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3.xml" ContentType="application/vnd.openxmlformats-officedocument.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rawings/drawing4.xml" ContentType="application/vnd.openxmlformats-officedocument.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drawings/drawing5.xml" ContentType="application/vnd.openxmlformats-officedocument.drawing+xml"/>
  <Override PartName="/xl/diagrams/data5.xml" ContentType="application/vnd.openxmlformats-officedocument.drawingml.diagramData+xml"/>
  <Override PartName="/xl/diagrams/layout5.xml" ContentType="application/vnd.openxmlformats-officedocument.drawingml.diagramLayout+xml"/>
  <Override PartName="/xl/diagrams/quickStyle5.xml" ContentType="application/vnd.openxmlformats-officedocument.drawingml.diagramStyle+xml"/>
  <Override PartName="/xl/diagrams/colors5.xml" ContentType="application/vnd.openxmlformats-officedocument.drawingml.diagramColors+xml"/>
  <Override PartName="/xl/diagrams/drawing5.xml" ContentType="application/vnd.ms-office.drawingml.diagramDrawing+xml"/>
  <Override PartName="/xl/drawings/drawing6.xml" ContentType="application/vnd.openxmlformats-officedocument.drawing+xml"/>
  <Override PartName="/xl/diagrams/data6.xml" ContentType="application/vnd.openxmlformats-officedocument.drawingml.diagramData+xml"/>
  <Override PartName="/xl/diagrams/layout6.xml" ContentType="application/vnd.openxmlformats-officedocument.drawingml.diagramLayout+xml"/>
  <Override PartName="/xl/diagrams/quickStyle6.xml" ContentType="application/vnd.openxmlformats-officedocument.drawingml.diagramStyle+xml"/>
  <Override PartName="/xl/diagrams/colors6.xml" ContentType="application/vnd.openxmlformats-officedocument.drawingml.diagramColors+xml"/>
  <Override PartName="/xl/diagrams/drawing6.xml" ContentType="application/vnd.ms-office.drawingml.diagramDrawing+xml"/>
  <Override PartName="/xl/drawings/drawing7.xml" ContentType="application/vnd.openxmlformats-officedocument.drawing+xml"/>
  <Override PartName="/xl/diagrams/data7.xml" ContentType="application/vnd.openxmlformats-officedocument.drawingml.diagramData+xml"/>
  <Override PartName="/xl/diagrams/layout7.xml" ContentType="application/vnd.openxmlformats-officedocument.drawingml.diagramLayout+xml"/>
  <Override PartName="/xl/diagrams/quickStyle7.xml" ContentType="application/vnd.openxmlformats-officedocument.drawingml.diagramStyle+xml"/>
  <Override PartName="/xl/diagrams/colors7.xml" ContentType="application/vnd.openxmlformats-officedocument.drawingml.diagramColors+xml"/>
  <Override PartName="/xl/diagrams/drawing7.xml" ContentType="application/vnd.ms-office.drawingml.diagramDrawing+xml"/>
  <Override PartName="/xl/drawings/drawing8.xml" ContentType="application/vnd.openxmlformats-officedocument.drawing+xml"/>
  <Override PartName="/xl/diagrams/data8.xml" ContentType="application/vnd.openxmlformats-officedocument.drawingml.diagramData+xml"/>
  <Override PartName="/xl/diagrams/layout8.xml" ContentType="application/vnd.openxmlformats-officedocument.drawingml.diagramLayout+xml"/>
  <Override PartName="/xl/diagrams/quickStyle8.xml" ContentType="application/vnd.openxmlformats-officedocument.drawingml.diagramStyle+xml"/>
  <Override PartName="/xl/diagrams/colors8.xml" ContentType="application/vnd.openxmlformats-officedocument.drawingml.diagramColors+xml"/>
  <Override PartName="/xl/diagrams/drawing8.xml" ContentType="application/vnd.ms-office.drawingml.diagram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IAW DOCUMENTS\"/>
    </mc:Choice>
  </mc:AlternateContent>
  <xr:revisionPtr revIDLastSave="0" documentId="13_ncr:1_{4182FFEC-E67C-448C-AD1C-0A675EDC2046}" xr6:coauthVersionLast="47" xr6:coauthVersionMax="47" xr10:uidLastSave="{00000000-0000-0000-0000-000000000000}"/>
  <bookViews>
    <workbookView xWindow="4965" yWindow="375" windowWidth="22485" windowHeight="14370" tabRatio="814" firstSheet="44" activeTab="48" xr2:uid="{00000000-000D-0000-FFFF-FFFF00000000}"/>
  </bookViews>
  <sheets>
    <sheet name="DASHBOARD" sheetId="23" r:id="rId1"/>
    <sheet name="DUES CONTRIBUTIONS" sheetId="24" r:id="rId2"/>
    <sheet name="LEVY CONTRIBUTIONS" sheetId="181" r:id="rId3"/>
    <sheet name="ACCOUNTS" sheetId="25" r:id="rId4"/>
    <sheet name="TREASURER BILL" sheetId="188" r:id="rId5"/>
    <sheet name="TRADING ACCOUNT" sheetId="189" r:id="rId6"/>
    <sheet name="PERSONAL PROFILE" sheetId="29" r:id="rId7"/>
    <sheet name="RECORDS" sheetId="28" r:id="rId8"/>
    <sheet name="YEARLY DUES FEES" sheetId="53" r:id="rId9"/>
    <sheet name="YEARLY DUES" sheetId="59" r:id="rId10"/>
    <sheet name="MONTHLY DUES 2023" sheetId="56" r:id="rId11"/>
    <sheet name="MONTHLY DUES 2024" sheetId="60" r:id="rId12"/>
    <sheet name="MONTHLY DUES 2025" sheetId="61" r:id="rId13"/>
    <sheet name="MONTHLY DUES 2026" sheetId="62" r:id="rId14"/>
    <sheet name="MONTHLY DUES 2027" sheetId="63" r:id="rId15"/>
    <sheet name="MONTHLY DUES 2028" sheetId="64" r:id="rId16"/>
    <sheet name="MONTHLY DUES 2029" sheetId="65" r:id="rId17"/>
    <sheet name="MONTHLY DUES 2030" sheetId="66" r:id="rId18"/>
    <sheet name="MONTHLY DUES 2031" sheetId="67" r:id="rId19"/>
    <sheet name="MONTHLY DUES 2032" sheetId="68" r:id="rId20"/>
    <sheet name=" SPECIAL LEVY FEES" sheetId="54" r:id="rId21"/>
    <sheet name="SPECIAL LEVY" sheetId="17" r:id="rId22"/>
    <sheet name="LEVY DISBURSMENT" sheetId="183" r:id="rId23"/>
    <sheet name="LEVY ACCOUNT" sheetId="184" r:id="rId24"/>
    <sheet name="LEVY TRAIL BALANCE" sheetId="185" r:id="rId25"/>
    <sheet name="MTN MOMO ACCOUNT" sheetId="26" r:id="rId26"/>
    <sheet name="PAYMENT VOUCHERS" sheetId="153" r:id="rId27"/>
    <sheet name="PETTY CASH ACCOUNT" sheetId="143" r:id="rId28"/>
    <sheet name="TRAIL BALANCE" sheetId="52" r:id="rId29"/>
    <sheet name="FIDELITY BANK" sheetId="95" r:id="rId30"/>
    <sheet name="BANK ACCOUNT TEMA" sheetId="20" r:id="rId31"/>
    <sheet name="CHRCK YOUR DUES BALANCE" sheetId="144" r:id="rId32"/>
    <sheet name="CHRCK YOUR LEVY BALANCE" sheetId="152" r:id="rId33"/>
    <sheet name="MEMBERS SHARES DEVIDENT" sheetId="178" r:id="rId34"/>
    <sheet name="CASH FLOW" sheetId="166" r:id="rId35"/>
    <sheet name="TREASURE BILL FOR MEMBERS" sheetId="179" state="hidden" r:id="rId36"/>
    <sheet name="SHARES HOLDINGS" sheetId="177" state="hidden" r:id="rId37"/>
    <sheet name="MEMBERS SHARES HOLDING" sheetId="167" r:id="rId38"/>
    <sheet name="B O G SHARES DEVIDENT " sheetId="116" state="hidden" r:id="rId39"/>
    <sheet name="CHECK YOUR SHARES HOLDING" sheetId="168" state="hidden" r:id="rId40"/>
    <sheet name="TREASURER BILL NO 1" sheetId="163" state="hidden" r:id="rId41"/>
    <sheet name="TREASURER BILL NO 2" sheetId="173" state="hidden" r:id="rId42"/>
    <sheet name="TREASURER BILL NO 3" sheetId="174" state="hidden" r:id="rId43"/>
    <sheet name="TREASURER BILL NO 4" sheetId="176" state="hidden" r:id="rId44"/>
    <sheet name="VEHICLE SHARES HOLDING" sheetId="180" r:id="rId45"/>
    <sheet name="PETTY CASH VEHICLE" sheetId="186" r:id="rId46"/>
    <sheet name="PERSONAL RECORD" sheetId="190" r:id="rId47"/>
    <sheet name="MEMBERS LIST" sheetId="16" r:id="rId48"/>
    <sheet name="PICTURES FOR MEMBERS" sheetId="192" r:id="rId49"/>
    <sheet name="REGISTRATION FORMS" sheetId="193" r:id="rId50"/>
    <sheet name="BRANCHES PASTORS" sheetId="1" r:id="rId51"/>
    <sheet name="ELDERS" sheetId="2" r:id="rId52"/>
    <sheet name="MEMBERS LIST UPPER CACE" sheetId="160" r:id="rId53"/>
  </sheets>
  <externalReferences>
    <externalReference r:id="rId54"/>
    <externalReference r:id="rId55"/>
  </externalReferences>
  <definedNames>
    <definedName name="_xlnm._FilterDatabase" localSheetId="20" hidden="1">' SPECIAL LEVY FEES'!$B$4:$N$4</definedName>
    <definedName name="_xlnm._FilterDatabase" localSheetId="30" hidden="1">'BANK ACCOUNT TEMA'!$B$6:$N$6</definedName>
    <definedName name="_xlnm._FilterDatabase" localSheetId="50" hidden="1">'BRANCHES PASTORS'!$B$7:$G$61</definedName>
    <definedName name="_xlnm._FilterDatabase" localSheetId="31">'CHRCK YOUR DUES BALANCE'!$B$7:$M$31</definedName>
    <definedName name="_xlnm._FilterDatabase" localSheetId="32">'CHRCK YOUR LEVY BALANCE'!$B$7:$G$23</definedName>
    <definedName name="_xlnm._FilterDatabase" localSheetId="51" hidden="1">ELDERS!$B$6:$H$103</definedName>
    <definedName name="_xlnm._FilterDatabase" localSheetId="29" hidden="1">'FIDELITY BANK'!$B$5:$N$5</definedName>
    <definedName name="_xlnm._FilterDatabase" localSheetId="47" hidden="1">'MEMBERS LIST'!$B$4:$AT$28</definedName>
    <definedName name="_xlnm._FilterDatabase" localSheetId="52" hidden="1">'MEMBERS LIST UPPER CACE'!$B$4:$H$101</definedName>
    <definedName name="_xlnm._FilterDatabase" localSheetId="10" hidden="1">'MONTHLY DUES 2023'!$B$4:$Q$22</definedName>
    <definedName name="_xlnm._FilterDatabase" localSheetId="11" hidden="1">'MONTHLY DUES 2024'!$B$4:$Q$24</definedName>
    <definedName name="_xlnm._FilterDatabase" localSheetId="12" hidden="1">'MONTHLY DUES 2025'!$B$4:$Q$25</definedName>
    <definedName name="_xlnm._FilterDatabase" localSheetId="13" hidden="1">'MONTHLY DUES 2026'!$B$4:$Q$22</definedName>
    <definedName name="_xlnm._FilterDatabase" localSheetId="14" hidden="1">'MONTHLY DUES 2027'!$B$4:$Q$27</definedName>
    <definedName name="_xlnm._FilterDatabase" localSheetId="15" hidden="1">'MONTHLY DUES 2028'!$B$4:$Q$27</definedName>
    <definedName name="_xlnm._FilterDatabase" localSheetId="16" hidden="1">'MONTHLY DUES 2029'!$B$4:$Q$27</definedName>
    <definedName name="_xlnm._FilterDatabase" localSheetId="17" hidden="1">'MONTHLY DUES 2030'!$B$4:$Q$27</definedName>
    <definedName name="_xlnm._FilterDatabase" localSheetId="18" hidden="1">'MONTHLY DUES 2031'!$B$4:$Q$27</definedName>
    <definedName name="_xlnm._FilterDatabase" localSheetId="19" hidden="1">'MONTHLY DUES 2032'!$B$4:$Q$27</definedName>
    <definedName name="_xlnm._FilterDatabase" localSheetId="25" hidden="1">'MTN MOMO ACCOUNT'!$B$4:$Y$65</definedName>
    <definedName name="_xlnm._FilterDatabase" localSheetId="26" hidden="1">'PAYMENT VOUCHERS'!$B$3:$M$58</definedName>
    <definedName name="_xlnm._FilterDatabase" localSheetId="27">'PETTY CASH ACCOUNT'!$B$4:$X$122</definedName>
    <definedName name="_xlnm._FilterDatabase" localSheetId="48">'PICTURES FOR MEMBERS'!#REF!</definedName>
    <definedName name="_xlnm._FilterDatabase" localSheetId="21" hidden="1">'SPECIAL LEVY'!$B$3:$N$3</definedName>
    <definedName name="_xlnm._FilterDatabase" localSheetId="44" hidden="1">'VEHICLE SHARES HOLDING'!$B$7:$J$30</definedName>
    <definedName name="_xlnm._FilterDatabase" localSheetId="9" hidden="1">'YEARLY DUES'!$B$4:$N$27</definedName>
    <definedName name="_xlnm._FilterDatabase" localSheetId="8" hidden="1">'YEARLY DUES FEES'!$B$4:$N$27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" i="59" l="1"/>
  <c r="G53" i="95"/>
  <c r="O131" i="143"/>
  <c r="P130" i="143"/>
  <c r="F130" i="143" s="1"/>
  <c r="R129" i="143"/>
  <c r="H128" i="143"/>
  <c r="W60" i="26"/>
  <c r="F218" i="153"/>
  <c r="E212" i="153"/>
  <c r="E218" i="153" s="1"/>
  <c r="D10" i="144"/>
  <c r="D11" i="144"/>
  <c r="D14" i="144"/>
  <c r="D15" i="144"/>
  <c r="D17" i="144"/>
  <c r="D8" i="144"/>
  <c r="D18" i="144"/>
  <c r="D19" i="144"/>
  <c r="D20" i="144"/>
  <c r="D21" i="144"/>
  <c r="D22" i="144"/>
  <c r="D12" i="144"/>
  <c r="D16" i="144"/>
  <c r="D13" i="144"/>
  <c r="D23" i="144"/>
  <c r="D24" i="144"/>
  <c r="D25" i="144"/>
  <c r="D26" i="144"/>
  <c r="D27" i="144"/>
  <c r="D28" i="144"/>
  <c r="D29" i="144"/>
  <c r="D30" i="144"/>
  <c r="D31" i="144"/>
  <c r="D9" i="144"/>
  <c r="G52" i="95"/>
  <c r="D54" i="95"/>
  <c r="E54" i="95"/>
  <c r="D55" i="95"/>
  <c r="E55" i="95"/>
  <c r="D56" i="95"/>
  <c r="E56" i="95"/>
  <c r="D57" i="95"/>
  <c r="E57" i="95"/>
  <c r="D58" i="95"/>
  <c r="E58" i="95"/>
  <c r="D59" i="95"/>
  <c r="E59" i="95"/>
  <c r="D60" i="95"/>
  <c r="E60" i="95"/>
  <c r="D61" i="95"/>
  <c r="E61" i="95"/>
  <c r="D62" i="95"/>
  <c r="E62" i="95"/>
  <c r="D63" i="95"/>
  <c r="E63" i="95"/>
  <c r="D64" i="95"/>
  <c r="E64" i="95"/>
  <c r="D65" i="95"/>
  <c r="E65" i="95"/>
  <c r="D66" i="95"/>
  <c r="E66" i="95"/>
  <c r="E128" i="143"/>
  <c r="F128" i="143"/>
  <c r="E129" i="143"/>
  <c r="F129" i="143"/>
  <c r="E130" i="143"/>
  <c r="E131" i="143"/>
  <c r="F131" i="143"/>
  <c r="E132" i="143"/>
  <c r="F132" i="143"/>
  <c r="E133" i="143"/>
  <c r="F133" i="143"/>
  <c r="E134" i="143"/>
  <c r="F134" i="143"/>
  <c r="E135" i="143"/>
  <c r="F135" i="143"/>
  <c r="E136" i="143"/>
  <c r="F136" i="143"/>
  <c r="E137" i="143"/>
  <c r="F137" i="143"/>
  <c r="E138" i="143"/>
  <c r="F138" i="143"/>
  <c r="E139" i="143"/>
  <c r="F139" i="143"/>
  <c r="E140" i="143"/>
  <c r="F140" i="143"/>
  <c r="P126" i="143"/>
  <c r="R125" i="143"/>
  <c r="E204" i="153"/>
  <c r="O127" i="143" s="1"/>
  <c r="D21" i="190"/>
  <c r="E6" i="167"/>
  <c r="D38" i="166"/>
  <c r="C12" i="166"/>
  <c r="D26" i="52"/>
  <c r="C13" i="52"/>
  <c r="F116" i="143"/>
  <c r="F120" i="143"/>
  <c r="V66" i="26"/>
  <c r="L9" i="167"/>
  <c r="L10" i="167"/>
  <c r="L11" i="167"/>
  <c r="L12" i="167"/>
  <c r="L13" i="167"/>
  <c r="L14" i="167"/>
  <c r="L26" i="167"/>
  <c r="L8" i="167"/>
  <c r="L7" i="167"/>
  <c r="D13" i="166"/>
  <c r="D23" i="52"/>
  <c r="I141" i="143"/>
  <c r="J141" i="143"/>
  <c r="K141" i="143"/>
  <c r="L141" i="143"/>
  <c r="M141" i="143"/>
  <c r="X141" i="143"/>
  <c r="M10" i="144"/>
  <c r="M11" i="144"/>
  <c r="M14" i="144"/>
  <c r="M18" i="144"/>
  <c r="M17" i="144"/>
  <c r="M21" i="144"/>
  <c r="M22" i="144"/>
  <c r="M19" i="144"/>
  <c r="M15" i="144"/>
  <c r="M8" i="144"/>
  <c r="M12" i="144"/>
  <c r="M16" i="144"/>
  <c r="M20" i="144"/>
  <c r="M13" i="144"/>
  <c r="M23" i="144"/>
  <c r="M24" i="144"/>
  <c r="M25" i="144"/>
  <c r="M26" i="144"/>
  <c r="M27" i="144"/>
  <c r="M28" i="144"/>
  <c r="M29" i="144"/>
  <c r="M30" i="144"/>
  <c r="M31" i="144"/>
  <c r="M9" i="144"/>
  <c r="F51" i="183"/>
  <c r="F52" i="183" s="1"/>
  <c r="F53" i="183" s="1"/>
  <c r="G6" i="26" l="1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5" i="26"/>
  <c r="T66" i="26"/>
  <c r="H9" i="59"/>
  <c r="H13" i="59"/>
  <c r="D13" i="59" s="1"/>
  <c r="H18" i="59"/>
  <c r="H24" i="59"/>
  <c r="H26" i="59"/>
  <c r="D13" i="190"/>
  <c r="AK6" i="16"/>
  <c r="AK7" i="16"/>
  <c r="AK8" i="16"/>
  <c r="AK9" i="16"/>
  <c r="AK10" i="16"/>
  <c r="AK11" i="16"/>
  <c r="AK12" i="16"/>
  <c r="AK13" i="16"/>
  <c r="AK14" i="16"/>
  <c r="AK15" i="16"/>
  <c r="AK16" i="16"/>
  <c r="AK17" i="16"/>
  <c r="AK18" i="16"/>
  <c r="AK19" i="16"/>
  <c r="AK20" i="16"/>
  <c r="AK21" i="16"/>
  <c r="AK22" i="16"/>
  <c r="AK23" i="16"/>
  <c r="AK24" i="16"/>
  <c r="AK25" i="16"/>
  <c r="AK26" i="16"/>
  <c r="AK27" i="16"/>
  <c r="AK28" i="16"/>
  <c r="AK5" i="16"/>
  <c r="AP9" i="16"/>
  <c r="AP13" i="16"/>
  <c r="AP18" i="16"/>
  <c r="AP24" i="16"/>
  <c r="AP26" i="16"/>
  <c r="AO9" i="16"/>
  <c r="AO13" i="16"/>
  <c r="AO18" i="16"/>
  <c r="AO24" i="16"/>
  <c r="AO26" i="16"/>
  <c r="AN9" i="16"/>
  <c r="AN13" i="16"/>
  <c r="AN18" i="16"/>
  <c r="AN24" i="16"/>
  <c r="AN26" i="16"/>
  <c r="AM6" i="16"/>
  <c r="AM7" i="16"/>
  <c r="AM8" i="16"/>
  <c r="AM9" i="16"/>
  <c r="AM10" i="16"/>
  <c r="AM11" i="16"/>
  <c r="AM12" i="16"/>
  <c r="AM13" i="16"/>
  <c r="AM14" i="16"/>
  <c r="AM15" i="16"/>
  <c r="AM16" i="16"/>
  <c r="AM17" i="16"/>
  <c r="AM18" i="16"/>
  <c r="AM19" i="16"/>
  <c r="AM20" i="16"/>
  <c r="AM21" i="16"/>
  <c r="AM22" i="16"/>
  <c r="AM23" i="16"/>
  <c r="AM24" i="16"/>
  <c r="AM25" i="16"/>
  <c r="AM26" i="16"/>
  <c r="AM27" i="16"/>
  <c r="AM28" i="16"/>
  <c r="AM5" i="16"/>
  <c r="G35" i="190"/>
  <c r="F35" i="190"/>
  <c r="E35" i="190"/>
  <c r="D35" i="190"/>
  <c r="C35" i="190"/>
  <c r="H32" i="190"/>
  <c r="G32" i="190"/>
  <c r="F32" i="190"/>
  <c r="E32" i="190"/>
  <c r="D32" i="190"/>
  <c r="C32" i="190"/>
  <c r="G30" i="190"/>
  <c r="H25" i="190"/>
  <c r="G25" i="190"/>
  <c r="E25" i="190"/>
  <c r="D25" i="190"/>
  <c r="C25" i="190"/>
  <c r="H24" i="190"/>
  <c r="F24" i="190"/>
  <c r="E24" i="190"/>
  <c r="D24" i="190"/>
  <c r="C24" i="190"/>
  <c r="H9" i="190"/>
  <c r="G9" i="190"/>
  <c r="F9" i="190"/>
  <c r="E9" i="190"/>
  <c r="D9" i="190"/>
  <c r="C9" i="190"/>
  <c r="C19" i="190"/>
  <c r="H17" i="190"/>
  <c r="G17" i="190"/>
  <c r="F17" i="190"/>
  <c r="E17" i="190"/>
  <c r="D17" i="190"/>
  <c r="C17" i="190"/>
  <c r="H15" i="190"/>
  <c r="G15" i="190"/>
  <c r="F15" i="190"/>
  <c r="E15" i="190"/>
  <c r="D15" i="190"/>
  <c r="C15" i="190"/>
  <c r="H13" i="190"/>
  <c r="G13" i="190"/>
  <c r="F13" i="190"/>
  <c r="E13" i="190"/>
  <c r="C13" i="190"/>
  <c r="H11" i="190"/>
  <c r="G11" i="190"/>
  <c r="F11" i="190"/>
  <c r="E11" i="190"/>
  <c r="D11" i="190"/>
  <c r="C11" i="190"/>
  <c r="AI30" i="16"/>
  <c r="C30" i="16"/>
  <c r="E30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E30" i="16"/>
  <c r="AF30" i="16"/>
  <c r="AG30" i="16"/>
  <c r="AH30" i="16"/>
  <c r="F29" i="190"/>
  <c r="E29" i="190"/>
  <c r="D29" i="190"/>
  <c r="C29" i="190"/>
  <c r="F28" i="190"/>
  <c r="E28" i="190"/>
  <c r="D28" i="190"/>
  <c r="C28" i="190"/>
  <c r="E19" i="190" l="1"/>
  <c r="AQ26" i="16"/>
  <c r="D30" i="190"/>
  <c r="G19" i="190"/>
  <c r="AM30" i="16"/>
  <c r="AK30" i="16"/>
  <c r="AQ9" i="16"/>
  <c r="AQ13" i="16"/>
  <c r="AQ18" i="16"/>
  <c r="C30" i="190"/>
  <c r="AQ24" i="16"/>
  <c r="F30" i="190"/>
  <c r="E26" i="190"/>
  <c r="E30" i="190"/>
  <c r="G26" i="190"/>
  <c r="C26" i="190"/>
  <c r="H28" i="190"/>
  <c r="H35" i="190"/>
  <c r="H26" i="190"/>
  <c r="D26" i="190"/>
  <c r="D49" i="95" l="1"/>
  <c r="E49" i="95"/>
  <c r="D50" i="95"/>
  <c r="E50" i="95"/>
  <c r="E51" i="95"/>
  <c r="G51" i="95"/>
  <c r="D51" i="95" s="1"/>
  <c r="R122" i="143"/>
  <c r="P121" i="143"/>
  <c r="F121" i="143" s="1"/>
  <c r="E119" i="143"/>
  <c r="E121" i="143"/>
  <c r="E196" i="153"/>
  <c r="O123" i="143" s="1"/>
  <c r="F205" i="153"/>
  <c r="E205" i="153"/>
  <c r="W59" i="26" s="1"/>
  <c r="D23" i="62"/>
  <c r="D11" i="17"/>
  <c r="D12" i="54"/>
  <c r="C11" i="52"/>
  <c r="F12" i="178"/>
  <c r="G12" i="178"/>
  <c r="H12" i="178"/>
  <c r="I12" i="178"/>
  <c r="K12" i="178"/>
  <c r="L12" i="178"/>
  <c r="M12" i="178"/>
  <c r="N12" i="178"/>
  <c r="N13" i="167"/>
  <c r="O13" i="167"/>
  <c r="P13" i="167"/>
  <c r="Q13" i="167"/>
  <c r="H13" i="167"/>
  <c r="I13" i="167"/>
  <c r="J13" i="167"/>
  <c r="E13" i="167"/>
  <c r="AP12" i="16" s="1"/>
  <c r="E11" i="177"/>
  <c r="E12" i="177"/>
  <c r="D12" i="53"/>
  <c r="F16" i="144" s="1"/>
  <c r="E12" i="59"/>
  <c r="F12" i="59"/>
  <c r="G12" i="59"/>
  <c r="I16" i="144"/>
  <c r="J16" i="144"/>
  <c r="K16" i="144"/>
  <c r="H124" i="143" l="1"/>
  <c r="E23" i="62"/>
  <c r="H19" i="59"/>
  <c r="H12" i="26"/>
  <c r="I12" i="26"/>
  <c r="J12" i="26"/>
  <c r="M12" i="26"/>
  <c r="N12" i="26"/>
  <c r="O12" i="26"/>
  <c r="P12" i="26"/>
  <c r="Q12" i="26"/>
  <c r="R12" i="26"/>
  <c r="E13" i="26"/>
  <c r="E14" i="26"/>
  <c r="E12" i="26"/>
  <c r="D13" i="62"/>
  <c r="H12" i="59" s="1"/>
  <c r="G18" i="59"/>
  <c r="G24" i="59"/>
  <c r="D44" i="95"/>
  <c r="D45" i="95"/>
  <c r="D46" i="95"/>
  <c r="D47" i="95"/>
  <c r="D48" i="95"/>
  <c r="D52" i="95"/>
  <c r="D53" i="95"/>
  <c r="E48" i="95"/>
  <c r="E106" i="143"/>
  <c r="E9" i="143"/>
  <c r="E10" i="143"/>
  <c r="E11" i="143"/>
  <c r="E12" i="143"/>
  <c r="F13" i="143"/>
  <c r="E14" i="143"/>
  <c r="F15" i="143"/>
  <c r="E16" i="143"/>
  <c r="R26" i="143"/>
  <c r="R24" i="143"/>
  <c r="D55" i="26"/>
  <c r="E55" i="26"/>
  <c r="E29" i="26"/>
  <c r="D49" i="26"/>
  <c r="D57" i="26"/>
  <c r="E57" i="26"/>
  <c r="D44" i="26"/>
  <c r="D42" i="26"/>
  <c r="D34" i="26"/>
  <c r="E35" i="26"/>
  <c r="B9" i="184"/>
  <c r="B8" i="184"/>
  <c r="B7" i="184"/>
  <c r="B6" i="184"/>
  <c r="B5" i="184"/>
  <c r="B4" i="184"/>
  <c r="B70" i="183"/>
  <c r="B59" i="183"/>
  <c r="B49" i="183"/>
  <c r="B38" i="183"/>
  <c r="B16" i="183"/>
  <c r="B27" i="183"/>
  <c r="K101" i="186"/>
  <c r="J101" i="186"/>
  <c r="I101" i="186"/>
  <c r="D101" i="186"/>
  <c r="C101" i="186"/>
  <c r="B101" i="186"/>
  <c r="S101" i="186"/>
  <c r="F99" i="186"/>
  <c r="E99" i="186"/>
  <c r="F98" i="186"/>
  <c r="E98" i="186"/>
  <c r="F97" i="186"/>
  <c r="F96" i="186"/>
  <c r="E96" i="186"/>
  <c r="F95" i="186"/>
  <c r="E95" i="186"/>
  <c r="F94" i="186"/>
  <c r="E94" i="186"/>
  <c r="E93" i="186"/>
  <c r="F93" i="186"/>
  <c r="F92" i="186"/>
  <c r="E92" i="186"/>
  <c r="F91" i="186"/>
  <c r="E91" i="186"/>
  <c r="F90" i="186"/>
  <c r="E90" i="186"/>
  <c r="F89" i="186"/>
  <c r="F88" i="186"/>
  <c r="E88" i="186"/>
  <c r="F87" i="186"/>
  <c r="E87" i="186"/>
  <c r="F86" i="186"/>
  <c r="E86" i="186"/>
  <c r="F85" i="186"/>
  <c r="E85" i="186"/>
  <c r="E84" i="186"/>
  <c r="F84" i="186"/>
  <c r="F83" i="186"/>
  <c r="E83" i="186"/>
  <c r="F82" i="186"/>
  <c r="F81" i="186"/>
  <c r="E81" i="186"/>
  <c r="F80" i="186"/>
  <c r="F79" i="186"/>
  <c r="E79" i="186"/>
  <c r="F78" i="186"/>
  <c r="E78" i="186"/>
  <c r="E77" i="186"/>
  <c r="F77" i="186"/>
  <c r="F76" i="186"/>
  <c r="E76" i="186"/>
  <c r="F75" i="186"/>
  <c r="F74" i="186"/>
  <c r="E74" i="186"/>
  <c r="F73" i="186"/>
  <c r="E73" i="186"/>
  <c r="F72" i="186"/>
  <c r="E72" i="186"/>
  <c r="F71" i="186"/>
  <c r="E71" i="186"/>
  <c r="F70" i="186"/>
  <c r="E70" i="186"/>
  <c r="F69" i="186"/>
  <c r="E69" i="186"/>
  <c r="F68" i="186"/>
  <c r="E68" i="186"/>
  <c r="F67" i="186"/>
  <c r="E67" i="186"/>
  <c r="F66" i="186"/>
  <c r="E66" i="186"/>
  <c r="F65" i="186"/>
  <c r="E65" i="186"/>
  <c r="F64" i="186"/>
  <c r="E64" i="186"/>
  <c r="F63" i="186"/>
  <c r="F62" i="186"/>
  <c r="E62" i="186"/>
  <c r="F61" i="186"/>
  <c r="E61" i="186"/>
  <c r="F60" i="186"/>
  <c r="E60" i="186"/>
  <c r="F59" i="186"/>
  <c r="E59" i="186"/>
  <c r="F58" i="186"/>
  <c r="E58" i="186"/>
  <c r="F57" i="186"/>
  <c r="E57" i="186"/>
  <c r="F56" i="186"/>
  <c r="E56" i="186"/>
  <c r="F55" i="186"/>
  <c r="E55" i="186"/>
  <c r="F54" i="186"/>
  <c r="E54" i="186"/>
  <c r="F53" i="186"/>
  <c r="E53" i="186"/>
  <c r="F52" i="186"/>
  <c r="F51" i="186"/>
  <c r="E51" i="186"/>
  <c r="F50" i="186"/>
  <c r="E50" i="186"/>
  <c r="F49" i="186"/>
  <c r="E49" i="186"/>
  <c r="F48" i="186"/>
  <c r="E48" i="186"/>
  <c r="F47" i="186"/>
  <c r="F46" i="186"/>
  <c r="E46" i="186"/>
  <c r="F45" i="186"/>
  <c r="E45" i="186"/>
  <c r="F44" i="186"/>
  <c r="E44" i="186"/>
  <c r="F43" i="186"/>
  <c r="E43" i="186"/>
  <c r="E42" i="186"/>
  <c r="F42" i="186"/>
  <c r="F41" i="186"/>
  <c r="E41" i="186"/>
  <c r="F40" i="186"/>
  <c r="F39" i="186"/>
  <c r="E39" i="186"/>
  <c r="Q101" i="186"/>
  <c r="F38" i="186"/>
  <c r="E38" i="186"/>
  <c r="F37" i="186"/>
  <c r="F36" i="186"/>
  <c r="E36" i="186"/>
  <c r="F35" i="186"/>
  <c r="E35" i="186"/>
  <c r="F34" i="186"/>
  <c r="E34" i="186"/>
  <c r="F33" i="186"/>
  <c r="E33" i="186"/>
  <c r="P101" i="186"/>
  <c r="F32" i="186"/>
  <c r="E32" i="186"/>
  <c r="F31" i="186"/>
  <c r="E31" i="186"/>
  <c r="F30" i="186"/>
  <c r="E30" i="186"/>
  <c r="F29" i="186"/>
  <c r="F28" i="186"/>
  <c r="E28" i="186"/>
  <c r="E27" i="186"/>
  <c r="F27" i="186"/>
  <c r="F26" i="186"/>
  <c r="E26" i="186"/>
  <c r="E25" i="186"/>
  <c r="F24" i="186"/>
  <c r="E24" i="186"/>
  <c r="F23" i="186"/>
  <c r="E23" i="186"/>
  <c r="F22" i="186"/>
  <c r="E22" i="186"/>
  <c r="F21" i="186"/>
  <c r="E21" i="186"/>
  <c r="F20" i="186"/>
  <c r="E20" i="186"/>
  <c r="F19" i="186"/>
  <c r="E19" i="186"/>
  <c r="R101" i="186"/>
  <c r="E18" i="186"/>
  <c r="F17" i="186"/>
  <c r="E17" i="186"/>
  <c r="F16" i="186"/>
  <c r="E16" i="186"/>
  <c r="F15" i="186"/>
  <c r="E15" i="186"/>
  <c r="F14" i="186"/>
  <c r="E14" i="186"/>
  <c r="F13" i="186"/>
  <c r="E13" i="186"/>
  <c r="F12" i="186"/>
  <c r="F11" i="186"/>
  <c r="E11" i="186"/>
  <c r="F10" i="186"/>
  <c r="E10" i="186"/>
  <c r="F9" i="186"/>
  <c r="E9" i="186"/>
  <c r="F8" i="186"/>
  <c r="E8" i="186"/>
  <c r="F7" i="186"/>
  <c r="E7" i="186"/>
  <c r="F6" i="186"/>
  <c r="E6" i="186"/>
  <c r="M101" i="186"/>
  <c r="F5" i="186"/>
  <c r="E5" i="186"/>
  <c r="E4" i="186"/>
  <c r="J9" i="184"/>
  <c r="I9" i="184"/>
  <c r="H9" i="184"/>
  <c r="G8" i="184"/>
  <c r="I7" i="184"/>
  <c r="G7" i="184"/>
  <c r="I6" i="184"/>
  <c r="G6" i="184"/>
  <c r="I5" i="184"/>
  <c r="H5" i="184"/>
  <c r="H24" i="184" s="1"/>
  <c r="D12" i="185" s="1"/>
  <c r="I4" i="184"/>
  <c r="G4" i="184"/>
  <c r="K24" i="184"/>
  <c r="E23" i="184"/>
  <c r="E22" i="184"/>
  <c r="E21" i="184"/>
  <c r="E20" i="184"/>
  <c r="E19" i="184"/>
  <c r="E18" i="184"/>
  <c r="E17" i="184"/>
  <c r="E16" i="184"/>
  <c r="E15" i="184"/>
  <c r="E14" i="184"/>
  <c r="E13" i="184"/>
  <c r="E12" i="184"/>
  <c r="E11" i="184"/>
  <c r="E10" i="184"/>
  <c r="E42" i="183"/>
  <c r="J7" i="184" s="1"/>
  <c r="E31" i="183"/>
  <c r="J6" i="184" s="1"/>
  <c r="E63" i="183"/>
  <c r="E65" i="183" s="1"/>
  <c r="E52" i="183"/>
  <c r="E54" i="183" s="1"/>
  <c r="E20" i="183"/>
  <c r="E22" i="183" s="1"/>
  <c r="E87" i="183"/>
  <c r="D87" i="183"/>
  <c r="E98" i="183"/>
  <c r="D98" i="183"/>
  <c r="E109" i="183"/>
  <c r="D109" i="183"/>
  <c r="E76" i="183"/>
  <c r="E44" i="183"/>
  <c r="E33" i="183"/>
  <c r="F103" i="183"/>
  <c r="F104" i="183" s="1"/>
  <c r="F105" i="183" s="1"/>
  <c r="B101" i="183"/>
  <c r="F92" i="183"/>
  <c r="B90" i="183"/>
  <c r="F81" i="183"/>
  <c r="B79" i="183"/>
  <c r="B68" i="183"/>
  <c r="J5" i="184" l="1"/>
  <c r="J8" i="184"/>
  <c r="E13" i="62"/>
  <c r="L16" i="144"/>
  <c r="G16" i="144" s="1"/>
  <c r="H16" i="144" s="1"/>
  <c r="E16" i="144" s="1"/>
  <c r="K12" i="26"/>
  <c r="D12" i="26" s="1"/>
  <c r="F18" i="186"/>
  <c r="H101" i="186"/>
  <c r="O101" i="186"/>
  <c r="E89" i="186"/>
  <c r="L101" i="186"/>
  <c r="N101" i="186"/>
  <c r="G4" i="186"/>
  <c r="G5" i="186" s="1"/>
  <c r="G6" i="186" s="1"/>
  <c r="G7" i="186" s="1"/>
  <c r="G8" i="186" s="1"/>
  <c r="G9" i="186" s="1"/>
  <c r="G10" i="186" s="1"/>
  <c r="G11" i="186" s="1"/>
  <c r="E12" i="186"/>
  <c r="F25" i="186"/>
  <c r="G24" i="184"/>
  <c r="D11" i="185" s="1"/>
  <c r="I24" i="184"/>
  <c r="D13" i="185" s="1"/>
  <c r="E5" i="184"/>
  <c r="E8" i="184"/>
  <c r="E6" i="184"/>
  <c r="E9" i="184"/>
  <c r="E7" i="184"/>
  <c r="F106" i="183"/>
  <c r="F107" i="183" s="1"/>
  <c r="F108" i="183" s="1"/>
  <c r="F87" i="183"/>
  <c r="F98" i="183"/>
  <c r="F82" i="183"/>
  <c r="F83" i="183" s="1"/>
  <c r="F84" i="183" s="1"/>
  <c r="F85" i="183" s="1"/>
  <c r="F86" i="183" s="1"/>
  <c r="F109" i="183"/>
  <c r="F93" i="183"/>
  <c r="F94" i="183" s="1"/>
  <c r="F95" i="183" s="1"/>
  <c r="F96" i="183" s="1"/>
  <c r="F97" i="183" s="1"/>
  <c r="D12" i="59" l="1"/>
  <c r="AJ12" i="16" s="1"/>
  <c r="AL12" i="16" s="1"/>
  <c r="J12" i="178"/>
  <c r="E12" i="178" s="1"/>
  <c r="K13" i="167"/>
  <c r="G13" i="167" s="1"/>
  <c r="AN12" i="16" s="1"/>
  <c r="D43" i="26"/>
  <c r="F101" i="186"/>
  <c r="G12" i="186"/>
  <c r="G13" i="186" s="1"/>
  <c r="G14" i="186" s="1"/>
  <c r="G15" i="186" s="1"/>
  <c r="G16" i="186" s="1"/>
  <c r="G17" i="186" s="1"/>
  <c r="G18" i="186" s="1"/>
  <c r="G19" i="186" s="1"/>
  <c r="G20" i="186" s="1"/>
  <c r="G21" i="186" s="1"/>
  <c r="G22" i="186" s="1"/>
  <c r="G23" i="186" s="1"/>
  <c r="G24" i="186" s="1"/>
  <c r="G25" i="186" s="1"/>
  <c r="G26" i="186" s="1"/>
  <c r="G27" i="186" s="1"/>
  <c r="G28" i="186" s="1"/>
  <c r="G29" i="186" s="1"/>
  <c r="G30" i="186" s="1"/>
  <c r="G31" i="186" s="1"/>
  <c r="G32" i="186" s="1"/>
  <c r="G33" i="186" s="1"/>
  <c r="G34" i="186" s="1"/>
  <c r="G35" i="186" s="1"/>
  <c r="G36" i="186" s="1"/>
  <c r="G37" i="186" s="1"/>
  <c r="G38" i="186" s="1"/>
  <c r="G39" i="186" s="1"/>
  <c r="G40" i="186" s="1"/>
  <c r="G41" i="186" s="1"/>
  <c r="G42" i="186" s="1"/>
  <c r="G43" i="186" s="1"/>
  <c r="G44" i="186" s="1"/>
  <c r="G45" i="186" s="1"/>
  <c r="G46" i="186" s="1"/>
  <c r="G47" i="186" s="1"/>
  <c r="G48" i="186" s="1"/>
  <c r="G49" i="186" s="1"/>
  <c r="G50" i="186" s="1"/>
  <c r="G51" i="186" s="1"/>
  <c r="G52" i="186" s="1"/>
  <c r="G53" i="186" s="1"/>
  <c r="G54" i="186" s="1"/>
  <c r="G55" i="186" s="1"/>
  <c r="G56" i="186" s="1"/>
  <c r="G57" i="186" s="1"/>
  <c r="G58" i="186" s="1"/>
  <c r="G59" i="186" s="1"/>
  <c r="G60" i="186" s="1"/>
  <c r="G61" i="186" s="1"/>
  <c r="G62" i="186" s="1"/>
  <c r="G63" i="186" s="1"/>
  <c r="G64" i="186" s="1"/>
  <c r="G65" i="186" s="1"/>
  <c r="G66" i="186" s="1"/>
  <c r="G67" i="186" s="1"/>
  <c r="G68" i="186" s="1"/>
  <c r="G69" i="186" s="1"/>
  <c r="G70" i="186" s="1"/>
  <c r="G71" i="186" s="1"/>
  <c r="G72" i="186" s="1"/>
  <c r="G73" i="186" s="1"/>
  <c r="G74" i="186" s="1"/>
  <c r="G75" i="186" s="1"/>
  <c r="G76" i="186" s="1"/>
  <c r="G77" i="186" s="1"/>
  <c r="G78" i="186" s="1"/>
  <c r="G79" i="186" s="1"/>
  <c r="G80" i="186" s="1"/>
  <c r="G81" i="186" s="1"/>
  <c r="G82" i="186" s="1"/>
  <c r="G83" i="186" s="1"/>
  <c r="G84" i="186" s="1"/>
  <c r="G85" i="186" s="1"/>
  <c r="G86" i="186" s="1"/>
  <c r="G87" i="186" s="1"/>
  <c r="G88" i="186" s="1"/>
  <c r="G89" i="186" s="1"/>
  <c r="G90" i="186" s="1"/>
  <c r="G91" i="186" s="1"/>
  <c r="G92" i="186" s="1"/>
  <c r="G93" i="186" s="1"/>
  <c r="G94" i="186" s="1"/>
  <c r="G95" i="186" s="1"/>
  <c r="G96" i="186" s="1"/>
  <c r="G97" i="186" s="1"/>
  <c r="G98" i="186" s="1"/>
  <c r="G99" i="186" s="1"/>
  <c r="E101" i="186"/>
  <c r="F16" i="178"/>
  <c r="F25" i="178"/>
  <c r="D21" i="166"/>
  <c r="D36" i="166"/>
  <c r="D10" i="62"/>
  <c r="H21" i="59" s="1"/>
  <c r="E11" i="180"/>
  <c r="F9" i="178" s="1"/>
  <c r="E12" i="180"/>
  <c r="E15" i="180"/>
  <c r="E16" i="180"/>
  <c r="F13" i="178" s="1"/>
  <c r="E19" i="180"/>
  <c r="L17" i="167" s="1"/>
  <c r="E20" i="180"/>
  <c r="E23" i="180"/>
  <c r="L20" i="167" s="1"/>
  <c r="E24" i="180"/>
  <c r="L21" i="167" s="1"/>
  <c r="E28" i="180"/>
  <c r="E29" i="180"/>
  <c r="L24" i="167" s="1"/>
  <c r="D9" i="180"/>
  <c r="E9" i="180" s="1"/>
  <c r="F7" i="178" s="1"/>
  <c r="D10" i="180"/>
  <c r="E10" i="180" s="1"/>
  <c r="F8" i="178" s="1"/>
  <c r="D11" i="180"/>
  <c r="D12" i="180"/>
  <c r="D13" i="180"/>
  <c r="E13" i="180" s="1"/>
  <c r="F10" i="178" s="1"/>
  <c r="D14" i="180"/>
  <c r="E14" i="180" s="1"/>
  <c r="F11" i="178" s="1"/>
  <c r="D15" i="180"/>
  <c r="D16" i="180"/>
  <c r="D17" i="180"/>
  <c r="E17" i="180" s="1"/>
  <c r="D18" i="180"/>
  <c r="E18" i="180" s="1"/>
  <c r="D19" i="180"/>
  <c r="D20" i="180"/>
  <c r="D21" i="180"/>
  <c r="E21" i="180" s="1"/>
  <c r="D22" i="180"/>
  <c r="E22" i="180" s="1"/>
  <c r="D23" i="180"/>
  <c r="D24" i="180"/>
  <c r="D25" i="180"/>
  <c r="E25" i="180" s="1"/>
  <c r="D26" i="180"/>
  <c r="E26" i="180" s="1"/>
  <c r="D27" i="180"/>
  <c r="E27" i="180" s="1"/>
  <c r="D28" i="180"/>
  <c r="D29" i="180"/>
  <c r="D30" i="180"/>
  <c r="E30" i="180" s="1"/>
  <c r="D8" i="180"/>
  <c r="E8" i="180" s="1"/>
  <c r="F6" i="178" s="1"/>
  <c r="J34" i="180"/>
  <c r="J33" i="180"/>
  <c r="J32" i="180"/>
  <c r="L67" i="95"/>
  <c r="E113" i="143"/>
  <c r="E114" i="143"/>
  <c r="E115" i="143"/>
  <c r="E117" i="143"/>
  <c r="E118" i="143"/>
  <c r="S119" i="143"/>
  <c r="F119" i="143" s="1"/>
  <c r="R118" i="143"/>
  <c r="F118" i="143" s="1"/>
  <c r="R117" i="143"/>
  <c r="F117" i="143" s="1"/>
  <c r="E122" i="143"/>
  <c r="F122" i="143"/>
  <c r="E123" i="143"/>
  <c r="F123" i="143"/>
  <c r="E124" i="143"/>
  <c r="F124" i="143"/>
  <c r="E125" i="143"/>
  <c r="F125" i="143"/>
  <c r="E126" i="143"/>
  <c r="F126" i="143"/>
  <c r="E127" i="143"/>
  <c r="F127" i="143"/>
  <c r="E46" i="95"/>
  <c r="E47" i="95"/>
  <c r="R114" i="143"/>
  <c r="R113" i="143"/>
  <c r="E183" i="153"/>
  <c r="O115" i="143" s="1"/>
  <c r="F115" i="143" s="1"/>
  <c r="E180" i="153"/>
  <c r="O110" i="143" s="1"/>
  <c r="I6" i="168"/>
  <c r="H6" i="168"/>
  <c r="G6" i="168"/>
  <c r="F6" i="168"/>
  <c r="E6" i="177"/>
  <c r="E7" i="177"/>
  <c r="E8" i="177"/>
  <c r="E9" i="177"/>
  <c r="E10" i="177"/>
  <c r="E13" i="177"/>
  <c r="E14" i="177"/>
  <c r="E15" i="177"/>
  <c r="E16" i="177"/>
  <c r="E17" i="177"/>
  <c r="E18" i="177"/>
  <c r="E19" i="177"/>
  <c r="E20" i="177"/>
  <c r="E21" i="177"/>
  <c r="E22" i="177"/>
  <c r="E23" i="177"/>
  <c r="E5" i="177"/>
  <c r="D25" i="179"/>
  <c r="D7" i="179"/>
  <c r="D8" i="179"/>
  <c r="D9" i="179"/>
  <c r="D10" i="179"/>
  <c r="D11" i="179"/>
  <c r="D12" i="179"/>
  <c r="D13" i="179"/>
  <c r="D14" i="179"/>
  <c r="D15" i="179"/>
  <c r="D16" i="179"/>
  <c r="D17" i="179"/>
  <c r="D18" i="179"/>
  <c r="D19" i="179"/>
  <c r="D20" i="179"/>
  <c r="D21" i="179"/>
  <c r="D22" i="179"/>
  <c r="D23" i="179"/>
  <c r="D6" i="179"/>
  <c r="C390" i="163"/>
  <c r="H16" i="179"/>
  <c r="H24" i="179"/>
  <c r="G10" i="179"/>
  <c r="G12" i="179"/>
  <c r="G14" i="179"/>
  <c r="G16" i="179"/>
  <c r="G6" i="179"/>
  <c r="F7" i="179"/>
  <c r="F10" i="179"/>
  <c r="F11" i="179"/>
  <c r="F12" i="179"/>
  <c r="F14" i="179"/>
  <c r="F6" i="179"/>
  <c r="E7" i="179"/>
  <c r="E10" i="179"/>
  <c r="E11" i="179"/>
  <c r="E14" i="179"/>
  <c r="E6" i="179"/>
  <c r="G7" i="178"/>
  <c r="H7" i="178"/>
  <c r="G11" i="178"/>
  <c r="J17" i="178"/>
  <c r="K24" i="178"/>
  <c r="L24" i="178"/>
  <c r="M24" i="178"/>
  <c r="N24" i="178"/>
  <c r="G6" i="178"/>
  <c r="C25" i="179"/>
  <c r="B25" i="179"/>
  <c r="C26" i="178"/>
  <c r="B26" i="178"/>
  <c r="N25" i="178"/>
  <c r="I25" i="178"/>
  <c r="H25" i="178"/>
  <c r="C25" i="177"/>
  <c r="B25" i="177"/>
  <c r="L23" i="167" l="1"/>
  <c r="F22" i="178"/>
  <c r="L16" i="167"/>
  <c r="F15" i="178"/>
  <c r="L25" i="167"/>
  <c r="F24" i="178"/>
  <c r="L19" i="167"/>
  <c r="F18" i="178"/>
  <c r="L18" i="167"/>
  <c r="F17" i="178"/>
  <c r="L15" i="167"/>
  <c r="F14" i="178"/>
  <c r="F20" i="178"/>
  <c r="F21" i="178"/>
  <c r="L22" i="167"/>
  <c r="F23" i="178"/>
  <c r="F19" i="178"/>
  <c r="F26" i="178" s="1"/>
  <c r="E10" i="62"/>
  <c r="G101" i="186"/>
  <c r="L27" i="167" l="1"/>
  <c r="D11" i="20"/>
  <c r="D12" i="20"/>
  <c r="D13" i="20"/>
  <c r="E9" i="153"/>
  <c r="O8" i="143" s="1"/>
  <c r="F61" i="143"/>
  <c r="R112" i="143"/>
  <c r="F112" i="143" s="1"/>
  <c r="R111" i="143"/>
  <c r="F111" i="143" s="1"/>
  <c r="F110" i="143"/>
  <c r="P109" i="143"/>
  <c r="F109" i="143" s="1"/>
  <c r="R108" i="143"/>
  <c r="F108" i="143" s="1"/>
  <c r="P106" i="143"/>
  <c r="F106" i="143" s="1"/>
  <c r="R104" i="143"/>
  <c r="F104" i="143" s="1"/>
  <c r="P102" i="143"/>
  <c r="F102" i="143" s="1"/>
  <c r="E100" i="143"/>
  <c r="F101" i="143"/>
  <c r="E102" i="143"/>
  <c r="E103" i="143"/>
  <c r="E104" i="143"/>
  <c r="F105" i="143"/>
  <c r="E107" i="143"/>
  <c r="E108" i="143"/>
  <c r="E109" i="143"/>
  <c r="E110" i="143"/>
  <c r="E111" i="143"/>
  <c r="E112" i="143"/>
  <c r="F113" i="143"/>
  <c r="F114" i="143"/>
  <c r="R100" i="143"/>
  <c r="F100" i="143" s="1"/>
  <c r="P98" i="143"/>
  <c r="F98" i="143" s="1"/>
  <c r="F97" i="143"/>
  <c r="E98" i="143"/>
  <c r="E99" i="143"/>
  <c r="R96" i="143"/>
  <c r="F96" i="143" s="1"/>
  <c r="P94" i="143"/>
  <c r="F94" i="143" s="1"/>
  <c r="F93" i="143"/>
  <c r="E94" i="143"/>
  <c r="E95" i="143"/>
  <c r="E96" i="143"/>
  <c r="R92" i="143"/>
  <c r="F92" i="143" s="1"/>
  <c r="R91" i="143"/>
  <c r="F91" i="143" s="1"/>
  <c r="P89" i="143"/>
  <c r="F89" i="143" s="1"/>
  <c r="F88" i="143"/>
  <c r="E89" i="143"/>
  <c r="E90" i="143"/>
  <c r="E91" i="143"/>
  <c r="R87" i="143"/>
  <c r="F87" i="143" s="1"/>
  <c r="P85" i="143"/>
  <c r="F85" i="143" s="1"/>
  <c r="F84" i="143"/>
  <c r="S83" i="143"/>
  <c r="F83" i="143" s="1"/>
  <c r="R81" i="143"/>
  <c r="F81" i="143" s="1"/>
  <c r="S82" i="143"/>
  <c r="S141" i="143" s="1"/>
  <c r="E80" i="143"/>
  <c r="P79" i="143"/>
  <c r="F79" i="143" s="1"/>
  <c r="R78" i="143"/>
  <c r="F78" i="143" s="1"/>
  <c r="E74" i="143"/>
  <c r="E75" i="143"/>
  <c r="E76" i="143"/>
  <c r="E78" i="143"/>
  <c r="E79" i="143"/>
  <c r="E82" i="143"/>
  <c r="R76" i="143"/>
  <c r="F76" i="143" s="1"/>
  <c r="P74" i="143"/>
  <c r="F74" i="143" s="1"/>
  <c r="F73" i="143"/>
  <c r="F77" i="143"/>
  <c r="R72" i="143"/>
  <c r="F72" i="143" s="1"/>
  <c r="R71" i="143"/>
  <c r="F71" i="143" s="1"/>
  <c r="P69" i="143"/>
  <c r="F69" i="143" s="1"/>
  <c r="E69" i="143"/>
  <c r="E70" i="143"/>
  <c r="E71" i="143"/>
  <c r="F68" i="143"/>
  <c r="R67" i="143"/>
  <c r="F67" i="143" s="1"/>
  <c r="P65" i="143"/>
  <c r="F65" i="143" s="1"/>
  <c r="R63" i="143"/>
  <c r="F63" i="143" s="1"/>
  <c r="P62" i="143"/>
  <c r="F62" i="143" s="1"/>
  <c r="R60" i="143"/>
  <c r="F60" i="143" s="1"/>
  <c r="P58" i="143"/>
  <c r="F58" i="143" s="1"/>
  <c r="F57" i="143"/>
  <c r="R56" i="143"/>
  <c r="F56" i="143" s="1"/>
  <c r="P54" i="143"/>
  <c r="F54" i="143" s="1"/>
  <c r="E54" i="143"/>
  <c r="E55" i="143"/>
  <c r="E56" i="143"/>
  <c r="R52" i="143"/>
  <c r="F52" i="143" s="1"/>
  <c r="R51" i="143"/>
  <c r="F51" i="143" s="1"/>
  <c r="E50" i="143"/>
  <c r="E51" i="143"/>
  <c r="T49" i="143"/>
  <c r="F49" i="143" s="1"/>
  <c r="R47" i="143"/>
  <c r="F47" i="143" s="1"/>
  <c r="R46" i="143"/>
  <c r="F46" i="143" s="1"/>
  <c r="E45" i="143"/>
  <c r="E46" i="143"/>
  <c r="E47" i="143"/>
  <c r="P44" i="143"/>
  <c r="R42" i="143"/>
  <c r="F42" i="143" s="1"/>
  <c r="R41" i="143"/>
  <c r="F41" i="143" s="1"/>
  <c r="R40" i="143"/>
  <c r="F40" i="143" s="1"/>
  <c r="T39" i="143"/>
  <c r="F39" i="143" s="1"/>
  <c r="F38" i="143"/>
  <c r="F53" i="143"/>
  <c r="R37" i="143"/>
  <c r="F37" i="143" s="1"/>
  <c r="R36" i="143"/>
  <c r="F36" i="143" s="1"/>
  <c r="U34" i="143"/>
  <c r="U141" i="143" s="1"/>
  <c r="R32" i="143"/>
  <c r="F32" i="143" s="1"/>
  <c r="R31" i="143"/>
  <c r="F31" i="143" s="1"/>
  <c r="R30" i="143"/>
  <c r="F30" i="143" s="1"/>
  <c r="T29" i="143"/>
  <c r="F29" i="143" s="1"/>
  <c r="T28" i="143"/>
  <c r="F26" i="143"/>
  <c r="F24" i="143"/>
  <c r="R22" i="143"/>
  <c r="F22" i="143" s="1"/>
  <c r="R21" i="143"/>
  <c r="F21" i="143" s="1"/>
  <c r="R19" i="143"/>
  <c r="F19" i="143" s="1"/>
  <c r="R18" i="143"/>
  <c r="F18" i="143" s="1"/>
  <c r="V16" i="143"/>
  <c r="V141" i="143" s="1"/>
  <c r="F23" i="143"/>
  <c r="E17" i="143"/>
  <c r="E18" i="143"/>
  <c r="E19" i="143"/>
  <c r="E20" i="143"/>
  <c r="E21" i="143"/>
  <c r="E22" i="143"/>
  <c r="E24" i="143"/>
  <c r="E26" i="143"/>
  <c r="E28" i="143"/>
  <c r="E29" i="143"/>
  <c r="E30" i="143"/>
  <c r="E31" i="143"/>
  <c r="E32" i="143"/>
  <c r="E34" i="143"/>
  <c r="E35" i="143"/>
  <c r="E37" i="143"/>
  <c r="E39" i="143"/>
  <c r="E40" i="143"/>
  <c r="E41" i="143"/>
  <c r="E42" i="143"/>
  <c r="E44" i="143"/>
  <c r="E49" i="143"/>
  <c r="E52" i="143"/>
  <c r="E58" i="143"/>
  <c r="E60" i="143"/>
  <c r="E62" i="143"/>
  <c r="E63" i="143"/>
  <c r="E65" i="143"/>
  <c r="E67" i="143"/>
  <c r="E72" i="143"/>
  <c r="E83" i="143"/>
  <c r="E85" i="143"/>
  <c r="E87" i="143"/>
  <c r="E92" i="143"/>
  <c r="E6" i="143"/>
  <c r="E7" i="143"/>
  <c r="E8" i="143"/>
  <c r="R12" i="143"/>
  <c r="F12" i="143" s="1"/>
  <c r="R9" i="143"/>
  <c r="Q10" i="143"/>
  <c r="F10" i="143" s="1"/>
  <c r="Q7" i="143"/>
  <c r="F7" i="143" s="1"/>
  <c r="Q6" i="143"/>
  <c r="U37" i="26"/>
  <c r="D59" i="26"/>
  <c r="D60" i="26"/>
  <c r="D61" i="26"/>
  <c r="D62" i="26"/>
  <c r="D63" i="26"/>
  <c r="E64" i="26"/>
  <c r="E61" i="26"/>
  <c r="E62" i="26"/>
  <c r="E63" i="26"/>
  <c r="E59" i="26"/>
  <c r="E60" i="26"/>
  <c r="E37" i="26"/>
  <c r="E7" i="26"/>
  <c r="E8" i="26"/>
  <c r="E9" i="26"/>
  <c r="E10" i="26"/>
  <c r="E11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6" i="26"/>
  <c r="Q35" i="26"/>
  <c r="D35" i="26" s="1"/>
  <c r="K37" i="26"/>
  <c r="Q37" i="26"/>
  <c r="Q32" i="26"/>
  <c r="D32" i="26" s="1"/>
  <c r="H6" i="26"/>
  <c r="H9" i="26"/>
  <c r="H11" i="26"/>
  <c r="H13" i="26"/>
  <c r="S66" i="26"/>
  <c r="Y66" i="26"/>
  <c r="E176" i="153"/>
  <c r="E167" i="153"/>
  <c r="O103" i="143" s="1"/>
  <c r="F103" i="143" s="1"/>
  <c r="E159" i="153"/>
  <c r="O99" i="143" s="1"/>
  <c r="F99" i="143" s="1"/>
  <c r="E151" i="153"/>
  <c r="O95" i="143" s="1"/>
  <c r="F95" i="143" s="1"/>
  <c r="E142" i="153"/>
  <c r="O90" i="143" s="1"/>
  <c r="F90" i="143" s="1"/>
  <c r="E135" i="153"/>
  <c r="O86" i="143" s="1"/>
  <c r="F86" i="143" s="1"/>
  <c r="E125" i="153"/>
  <c r="E129" i="153" s="1"/>
  <c r="E116" i="153"/>
  <c r="O75" i="143" s="1"/>
  <c r="F75" i="143" s="1"/>
  <c r="E107" i="153"/>
  <c r="O70" i="143" s="1"/>
  <c r="F70" i="143" s="1"/>
  <c r="E99" i="153"/>
  <c r="O66" i="143" s="1"/>
  <c r="F66" i="143" s="1"/>
  <c r="E97" i="153"/>
  <c r="O64" i="143" s="1"/>
  <c r="F64" i="143" s="1"/>
  <c r="E88" i="153"/>
  <c r="O59" i="143" s="1"/>
  <c r="F59" i="143" s="1"/>
  <c r="E80" i="153"/>
  <c r="O55" i="143" s="1"/>
  <c r="F55" i="143" s="1"/>
  <c r="E71" i="153"/>
  <c r="O50" i="143" s="1"/>
  <c r="F50" i="143" s="1"/>
  <c r="E69" i="153"/>
  <c r="O48" i="143" s="1"/>
  <c r="F48" i="143" s="1"/>
  <c r="E66" i="153"/>
  <c r="O45" i="143" s="1"/>
  <c r="F45" i="143" s="1"/>
  <c r="E64" i="153"/>
  <c r="O43" i="143" s="1"/>
  <c r="F43" i="143" s="1"/>
  <c r="E52" i="153"/>
  <c r="O35" i="143" s="1"/>
  <c r="F35" i="143" s="1"/>
  <c r="E50" i="153"/>
  <c r="O33" i="143" s="1"/>
  <c r="F33" i="143" s="1"/>
  <c r="E38" i="153"/>
  <c r="E29" i="153"/>
  <c r="O20" i="143" s="1"/>
  <c r="F20" i="143" s="1"/>
  <c r="E26" i="153"/>
  <c r="O17" i="143" s="1"/>
  <c r="F17" i="143" s="1"/>
  <c r="F20" i="153"/>
  <c r="E12" i="153"/>
  <c r="O11" i="143" s="1"/>
  <c r="F11" i="143" s="1"/>
  <c r="T141" i="143" l="1"/>
  <c r="F9" i="143"/>
  <c r="R141" i="143"/>
  <c r="Q141" i="143"/>
  <c r="P141" i="143"/>
  <c r="F25" i="143"/>
  <c r="O27" i="143"/>
  <c r="F27" i="143" s="1"/>
  <c r="H77" i="143"/>
  <c r="W48" i="26"/>
  <c r="E48" i="26" s="1"/>
  <c r="D22" i="52"/>
  <c r="D19" i="166" s="1"/>
  <c r="F16" i="143"/>
  <c r="F44" i="143"/>
  <c r="F82" i="143"/>
  <c r="F8" i="143"/>
  <c r="O107" i="143"/>
  <c r="F107" i="143" s="1"/>
  <c r="F6" i="143"/>
  <c r="F28" i="143"/>
  <c r="F34" i="143"/>
  <c r="D37" i="26"/>
  <c r="O80" i="143"/>
  <c r="F80" i="143" s="1"/>
  <c r="E14" i="153"/>
  <c r="W30" i="26" s="1"/>
  <c r="E30" i="26" s="1"/>
  <c r="P11" i="167"/>
  <c r="G392" i="163"/>
  <c r="H392" i="163" s="1"/>
  <c r="E392" i="163"/>
  <c r="D392" i="163"/>
  <c r="I390" i="163"/>
  <c r="G390" i="163"/>
  <c r="G10" i="163"/>
  <c r="H10" i="163" s="1"/>
  <c r="E10" i="163"/>
  <c r="D10" i="163"/>
  <c r="I8" i="163"/>
  <c r="G8" i="163"/>
  <c r="E8" i="163"/>
  <c r="F330" i="163" s="1"/>
  <c r="G388" i="173"/>
  <c r="G390" i="173"/>
  <c r="H390" i="173" s="1"/>
  <c r="E390" i="173"/>
  <c r="D390" i="173"/>
  <c r="G8" i="173"/>
  <c r="I388" i="173"/>
  <c r="G10" i="173"/>
  <c r="H10" i="173" s="1"/>
  <c r="E10" i="173"/>
  <c r="D10" i="173"/>
  <c r="I8" i="173"/>
  <c r="E8" i="173"/>
  <c r="F89" i="173" s="1"/>
  <c r="H89" i="173" s="1"/>
  <c r="G210" i="174"/>
  <c r="H210" i="174" s="1"/>
  <c r="E210" i="174"/>
  <c r="D210" i="174"/>
  <c r="G208" i="174"/>
  <c r="I208" i="174"/>
  <c r="G11" i="174"/>
  <c r="E11" i="174"/>
  <c r="D11" i="174"/>
  <c r="G9" i="174"/>
  <c r="O141" i="143" l="1"/>
  <c r="D15" i="52" s="1"/>
  <c r="D18" i="52"/>
  <c r="D15" i="166" s="1"/>
  <c r="D19" i="52"/>
  <c r="D16" i="166" s="1"/>
  <c r="D21" i="52"/>
  <c r="D18" i="166" s="1"/>
  <c r="D20" i="52"/>
  <c r="D17" i="166" s="1"/>
  <c r="F97" i="163"/>
  <c r="F33" i="163"/>
  <c r="H33" i="163" s="1"/>
  <c r="F65" i="163"/>
  <c r="H65" i="163" s="1"/>
  <c r="F129" i="163"/>
  <c r="H129" i="163" s="1"/>
  <c r="F161" i="163"/>
  <c r="F193" i="163"/>
  <c r="H193" i="163" s="1"/>
  <c r="F225" i="163"/>
  <c r="H225" i="163" s="1"/>
  <c r="F265" i="163"/>
  <c r="F317" i="163"/>
  <c r="H317" i="163" s="1"/>
  <c r="F46" i="163"/>
  <c r="H46" i="163" s="1"/>
  <c r="F78" i="163"/>
  <c r="H78" i="163" s="1"/>
  <c r="F110" i="163"/>
  <c r="H110" i="163" s="1"/>
  <c r="F142" i="163"/>
  <c r="H142" i="163" s="1"/>
  <c r="F174" i="163"/>
  <c r="H174" i="163" s="1"/>
  <c r="F206" i="163"/>
  <c r="H206" i="163" s="1"/>
  <c r="F237" i="163"/>
  <c r="H237" i="163" s="1"/>
  <c r="F287" i="163"/>
  <c r="H287" i="163" s="1"/>
  <c r="F338" i="163"/>
  <c r="F17" i="163"/>
  <c r="H17" i="163" s="1"/>
  <c r="F49" i="163"/>
  <c r="F81" i="163"/>
  <c r="H81" i="163" s="1"/>
  <c r="F113" i="163"/>
  <c r="H113" i="163" s="1"/>
  <c r="F145" i="163"/>
  <c r="F177" i="163"/>
  <c r="F209" i="163"/>
  <c r="H209" i="163" s="1"/>
  <c r="F251" i="163"/>
  <c r="H251" i="163" s="1"/>
  <c r="F290" i="163"/>
  <c r="H290" i="163" s="1"/>
  <c r="F362" i="163"/>
  <c r="H362" i="163" s="1"/>
  <c r="F30" i="163"/>
  <c r="H30" i="163" s="1"/>
  <c r="F62" i="163"/>
  <c r="H62" i="163" s="1"/>
  <c r="F94" i="163"/>
  <c r="H94" i="163" s="1"/>
  <c r="F126" i="163"/>
  <c r="H126" i="163" s="1"/>
  <c r="F158" i="163"/>
  <c r="H158" i="163" s="1"/>
  <c r="F190" i="163"/>
  <c r="H190" i="163" s="1"/>
  <c r="F222" i="163"/>
  <c r="H222" i="163" s="1"/>
  <c r="F262" i="163"/>
  <c r="F301" i="163"/>
  <c r="F22" i="163"/>
  <c r="H22" i="163" s="1"/>
  <c r="F70" i="163"/>
  <c r="H70" i="163" s="1"/>
  <c r="F102" i="163"/>
  <c r="H102" i="163" s="1"/>
  <c r="F134" i="163"/>
  <c r="H134" i="163" s="1"/>
  <c r="F150" i="163"/>
  <c r="H150" i="163" s="1"/>
  <c r="F166" i="163"/>
  <c r="H166" i="163" s="1"/>
  <c r="F182" i="163"/>
  <c r="H182" i="163" s="1"/>
  <c r="F198" i="163"/>
  <c r="H198" i="163" s="1"/>
  <c r="F214" i="163"/>
  <c r="H214" i="163" s="1"/>
  <c r="F230" i="163"/>
  <c r="H230" i="163" s="1"/>
  <c r="F255" i="163"/>
  <c r="H255" i="163" s="1"/>
  <c r="F269" i="163"/>
  <c r="F322" i="163"/>
  <c r="H322" i="163" s="1"/>
  <c r="F370" i="163"/>
  <c r="H370" i="163" s="1"/>
  <c r="F38" i="163"/>
  <c r="H38" i="163" s="1"/>
  <c r="F54" i="163"/>
  <c r="H54" i="163" s="1"/>
  <c r="F86" i="163"/>
  <c r="H86" i="163" s="1"/>
  <c r="F118" i="163"/>
  <c r="H118" i="163" s="1"/>
  <c r="F294" i="163"/>
  <c r="H294" i="163" s="1"/>
  <c r="F25" i="163"/>
  <c r="H25" i="163" s="1"/>
  <c r="F41" i="163"/>
  <c r="F57" i="163"/>
  <c r="F73" i="163"/>
  <c r="H73" i="163" s="1"/>
  <c r="F89" i="163"/>
  <c r="H89" i="163" s="1"/>
  <c r="F105" i="163"/>
  <c r="H105" i="163" s="1"/>
  <c r="F121" i="163"/>
  <c r="F137" i="163"/>
  <c r="H137" i="163" s="1"/>
  <c r="F153" i="163"/>
  <c r="H153" i="163" s="1"/>
  <c r="F169" i="163"/>
  <c r="F185" i="163"/>
  <c r="H185" i="163" s="1"/>
  <c r="F201" i="163"/>
  <c r="H201" i="163" s="1"/>
  <c r="F217" i="163"/>
  <c r="F233" i="163"/>
  <c r="F258" i="163"/>
  <c r="H258" i="163" s="1"/>
  <c r="F283" i="163"/>
  <c r="H283" i="163" s="1"/>
  <c r="F297" i="163"/>
  <c r="H161" i="163"/>
  <c r="H330" i="163"/>
  <c r="F379" i="163"/>
  <c r="F375" i="163"/>
  <c r="F371" i="163"/>
  <c r="F367" i="163"/>
  <c r="F363" i="163"/>
  <c r="F359" i="163"/>
  <c r="F355" i="163"/>
  <c r="F351" i="163"/>
  <c r="F347" i="163"/>
  <c r="F343" i="163"/>
  <c r="F339" i="163"/>
  <c r="F335" i="163"/>
  <c r="F331" i="163"/>
  <c r="F327" i="163"/>
  <c r="F323" i="163"/>
  <c r="F319" i="163"/>
  <c r="F315" i="163"/>
  <c r="F376" i="163"/>
  <c r="F372" i="163"/>
  <c r="F368" i="163"/>
  <c r="F364" i="163"/>
  <c r="F360" i="163"/>
  <c r="F356" i="163"/>
  <c r="F352" i="163"/>
  <c r="F348" i="163"/>
  <c r="F344" i="163"/>
  <c r="F340" i="163"/>
  <c r="F336" i="163"/>
  <c r="F332" i="163"/>
  <c r="F328" i="163"/>
  <c r="F324" i="163"/>
  <c r="F320" i="163"/>
  <c r="F316" i="163"/>
  <c r="F312" i="163"/>
  <c r="F308" i="163"/>
  <c r="F304" i="163"/>
  <c r="F300" i="163"/>
  <c r="F296" i="163"/>
  <c r="F292" i="163"/>
  <c r="F288" i="163"/>
  <c r="F284" i="163"/>
  <c r="F280" i="163"/>
  <c r="F276" i="163"/>
  <c r="F272" i="163"/>
  <c r="F268" i="163"/>
  <c r="F264" i="163"/>
  <c r="F260" i="163"/>
  <c r="F256" i="163"/>
  <c r="F252" i="163"/>
  <c r="F248" i="163"/>
  <c r="F244" i="163"/>
  <c r="F240" i="163"/>
  <c r="F236" i="163"/>
  <c r="F232" i="163"/>
  <c r="F377" i="163"/>
  <c r="F369" i="163"/>
  <c r="F361" i="163"/>
  <c r="F353" i="163"/>
  <c r="F345" i="163"/>
  <c r="F337" i="163"/>
  <c r="F329" i="163"/>
  <c r="F321" i="163"/>
  <c r="F313" i="163"/>
  <c r="F311" i="163"/>
  <c r="F309" i="163"/>
  <c r="F302" i="163"/>
  <c r="F295" i="163"/>
  <c r="F293" i="163"/>
  <c r="F286" i="163"/>
  <c r="F279" i="163"/>
  <c r="F277" i="163"/>
  <c r="F270" i="163"/>
  <c r="F263" i="163"/>
  <c r="F261" i="163"/>
  <c r="F254" i="163"/>
  <c r="F247" i="163"/>
  <c r="F245" i="163"/>
  <c r="F238" i="163"/>
  <c r="F231" i="163"/>
  <c r="F227" i="163"/>
  <c r="F223" i="163"/>
  <c r="F219" i="163"/>
  <c r="F215" i="163"/>
  <c r="F211" i="163"/>
  <c r="F207" i="163"/>
  <c r="F203" i="163"/>
  <c r="F199" i="163"/>
  <c r="F195" i="163"/>
  <c r="F191" i="163"/>
  <c r="F187" i="163"/>
  <c r="F183" i="163"/>
  <c r="F179" i="163"/>
  <c r="F175" i="163"/>
  <c r="F171" i="163"/>
  <c r="F167" i="163"/>
  <c r="F163" i="163"/>
  <c r="F159" i="163"/>
  <c r="F155" i="163"/>
  <c r="F151" i="163"/>
  <c r="F147" i="163"/>
  <c r="F143" i="163"/>
  <c r="F139" i="163"/>
  <c r="F135" i="163"/>
  <c r="F131" i="163"/>
  <c r="F127" i="163"/>
  <c r="F123" i="163"/>
  <c r="F119" i="163"/>
  <c r="F115" i="163"/>
  <c r="F111" i="163"/>
  <c r="F107" i="163"/>
  <c r="F103" i="163"/>
  <c r="F99" i="163"/>
  <c r="F95" i="163"/>
  <c r="F91" i="163"/>
  <c r="F87" i="163"/>
  <c r="F83" i="163"/>
  <c r="F79" i="163"/>
  <c r="F75" i="163"/>
  <c r="F71" i="163"/>
  <c r="F67" i="163"/>
  <c r="F63" i="163"/>
  <c r="F59" i="163"/>
  <c r="F55" i="163"/>
  <c r="F51" i="163"/>
  <c r="F47" i="163"/>
  <c r="F43" i="163"/>
  <c r="F39" i="163"/>
  <c r="F35" i="163"/>
  <c r="F31" i="163"/>
  <c r="F27" i="163"/>
  <c r="F23" i="163"/>
  <c r="F19" i="163"/>
  <c r="F373" i="163"/>
  <c r="F365" i="163"/>
  <c r="F357" i="163"/>
  <c r="F341" i="163"/>
  <c r="F333" i="163"/>
  <c r="F374" i="163"/>
  <c r="F366" i="163"/>
  <c r="F358" i="163"/>
  <c r="F350" i="163"/>
  <c r="F342" i="163"/>
  <c r="F334" i="163"/>
  <c r="F326" i="163"/>
  <c r="F318" i="163"/>
  <c r="F307" i="163"/>
  <c r="F305" i="163"/>
  <c r="F298" i="163"/>
  <c r="F291" i="163"/>
  <c r="F289" i="163"/>
  <c r="F282" i="163"/>
  <c r="F275" i="163"/>
  <c r="F273" i="163"/>
  <c r="F266" i="163"/>
  <c r="F259" i="163"/>
  <c r="F257" i="163"/>
  <c r="F250" i="163"/>
  <c r="F243" i="163"/>
  <c r="F241" i="163"/>
  <c r="F234" i="163"/>
  <c r="F228" i="163"/>
  <c r="F224" i="163"/>
  <c r="F220" i="163"/>
  <c r="F216" i="163"/>
  <c r="F212" i="163"/>
  <c r="F208" i="163"/>
  <c r="F204" i="163"/>
  <c r="F200" i="163"/>
  <c r="F196" i="163"/>
  <c r="F192" i="163"/>
  <c r="F188" i="163"/>
  <c r="F184" i="163"/>
  <c r="F180" i="163"/>
  <c r="F176" i="163"/>
  <c r="F172" i="163"/>
  <c r="F168" i="163"/>
  <c r="F164" i="163"/>
  <c r="F160" i="163"/>
  <c r="F156" i="163"/>
  <c r="F152" i="163"/>
  <c r="F148" i="163"/>
  <c r="F144" i="163"/>
  <c r="F140" i="163"/>
  <c r="F136" i="163"/>
  <c r="F132" i="163"/>
  <c r="F128" i="163"/>
  <c r="F124" i="163"/>
  <c r="F120" i="163"/>
  <c r="F116" i="163"/>
  <c r="F112" i="163"/>
  <c r="F108" i="163"/>
  <c r="F104" i="163"/>
  <c r="F100" i="163"/>
  <c r="F96" i="163"/>
  <c r="F92" i="163"/>
  <c r="F88" i="163"/>
  <c r="F84" i="163"/>
  <c r="F80" i="163"/>
  <c r="F76" i="163"/>
  <c r="F72" i="163"/>
  <c r="F68" i="163"/>
  <c r="F64" i="163"/>
  <c r="F60" i="163"/>
  <c r="F56" i="163"/>
  <c r="F52" i="163"/>
  <c r="F48" i="163"/>
  <c r="F44" i="163"/>
  <c r="F40" i="163"/>
  <c r="F36" i="163"/>
  <c r="F32" i="163"/>
  <c r="F28" i="163"/>
  <c r="F24" i="163"/>
  <c r="F20" i="163"/>
  <c r="F16" i="163"/>
  <c r="F8" i="163"/>
  <c r="E390" i="163" s="1"/>
  <c r="F349" i="163"/>
  <c r="F325" i="163"/>
  <c r="F18" i="163"/>
  <c r="F26" i="163"/>
  <c r="F34" i="163"/>
  <c r="F42" i="163"/>
  <c r="F50" i="163"/>
  <c r="F58" i="163"/>
  <c r="F66" i="163"/>
  <c r="F74" i="163"/>
  <c r="F82" i="163"/>
  <c r="F90" i="163"/>
  <c r="F98" i="163"/>
  <c r="F106" i="163"/>
  <c r="F114" i="163"/>
  <c r="F122" i="163"/>
  <c r="F130" i="163"/>
  <c r="F138" i="163"/>
  <c r="F146" i="163"/>
  <c r="F154" i="163"/>
  <c r="F162" i="163"/>
  <c r="F170" i="163"/>
  <c r="F178" i="163"/>
  <c r="F186" i="163"/>
  <c r="F194" i="163"/>
  <c r="F202" i="163"/>
  <c r="F210" i="163"/>
  <c r="F218" i="163"/>
  <c r="F226" i="163"/>
  <c r="F235" i="163"/>
  <c r="F242" i="163"/>
  <c r="F249" i="163"/>
  <c r="F267" i="163"/>
  <c r="F274" i="163"/>
  <c r="F281" i="163"/>
  <c r="F299" i="163"/>
  <c r="F306" i="163"/>
  <c r="F314" i="163"/>
  <c r="F354" i="163"/>
  <c r="H97" i="163"/>
  <c r="H301" i="163"/>
  <c r="F21" i="163"/>
  <c r="F29" i="163"/>
  <c r="F37" i="163"/>
  <c r="F45" i="163"/>
  <c r="F53" i="163"/>
  <c r="F61" i="163"/>
  <c r="F69" i="163"/>
  <c r="F77" i="163"/>
  <c r="F85" i="163"/>
  <c r="F93" i="163"/>
  <c r="F101" i="163"/>
  <c r="F109" i="163"/>
  <c r="F117" i="163"/>
  <c r="F125" i="163"/>
  <c r="F133" i="163"/>
  <c r="F141" i="163"/>
  <c r="F149" i="163"/>
  <c r="F157" i="163"/>
  <c r="F165" i="163"/>
  <c r="F173" i="163"/>
  <c r="F181" i="163"/>
  <c r="F189" i="163"/>
  <c r="F197" i="163"/>
  <c r="F205" i="163"/>
  <c r="F213" i="163"/>
  <c r="F221" i="163"/>
  <c r="F229" i="163"/>
  <c r="F239" i="163"/>
  <c r="F246" i="163"/>
  <c r="F253" i="163"/>
  <c r="F271" i="163"/>
  <c r="F278" i="163"/>
  <c r="F285" i="163"/>
  <c r="F303" i="163"/>
  <c r="F310" i="163"/>
  <c r="F346" i="163"/>
  <c r="F378" i="163"/>
  <c r="F25" i="173"/>
  <c r="H25" i="173" s="1"/>
  <c r="F350" i="173"/>
  <c r="F184" i="173"/>
  <c r="F37" i="173"/>
  <c r="H37" i="173" s="1"/>
  <c r="F103" i="173"/>
  <c r="F231" i="173"/>
  <c r="F57" i="173"/>
  <c r="H57" i="173" s="1"/>
  <c r="F135" i="173"/>
  <c r="H135" i="173" s="1"/>
  <c r="F302" i="173"/>
  <c r="F69" i="173"/>
  <c r="H69" i="173" s="1"/>
  <c r="F159" i="173"/>
  <c r="F17" i="173"/>
  <c r="H17" i="173" s="1"/>
  <c r="F29" i="173"/>
  <c r="F49" i="173"/>
  <c r="H49" i="173" s="1"/>
  <c r="F61" i="173"/>
  <c r="F81" i="173"/>
  <c r="H81" i="173" s="1"/>
  <c r="F93" i="173"/>
  <c r="F111" i="173"/>
  <c r="H111" i="173" s="1"/>
  <c r="F136" i="173"/>
  <c r="F167" i="173"/>
  <c r="F192" i="173"/>
  <c r="H192" i="173" s="1"/>
  <c r="F239" i="173"/>
  <c r="H239" i="173" s="1"/>
  <c r="F318" i="173"/>
  <c r="F8" i="173"/>
  <c r="C388" i="173" s="1"/>
  <c r="F21" i="173"/>
  <c r="F41" i="173"/>
  <c r="H41" i="173" s="1"/>
  <c r="F53" i="173"/>
  <c r="F73" i="173"/>
  <c r="H73" i="173" s="1"/>
  <c r="F85" i="173"/>
  <c r="F119" i="173"/>
  <c r="H119" i="173" s="1"/>
  <c r="F143" i="173"/>
  <c r="H143" i="173" s="1"/>
  <c r="F175" i="173"/>
  <c r="H175" i="173" s="1"/>
  <c r="F199" i="173"/>
  <c r="H199" i="173" s="1"/>
  <c r="F255" i="173"/>
  <c r="H255" i="173" s="1"/>
  <c r="F366" i="173"/>
  <c r="H366" i="173" s="1"/>
  <c r="F33" i="173"/>
  <c r="H33" i="173" s="1"/>
  <c r="F45" i="173"/>
  <c r="F65" i="173"/>
  <c r="H65" i="173" s="1"/>
  <c r="F77" i="173"/>
  <c r="F99" i="173"/>
  <c r="H99" i="173" s="1"/>
  <c r="F120" i="173"/>
  <c r="H120" i="173" s="1"/>
  <c r="F152" i="173"/>
  <c r="F183" i="173"/>
  <c r="H183" i="173" s="1"/>
  <c r="F207" i="173"/>
  <c r="F286" i="173"/>
  <c r="H286" i="173" s="1"/>
  <c r="F16" i="173"/>
  <c r="H16" i="173" s="1"/>
  <c r="F24" i="173"/>
  <c r="H24" i="173" s="1"/>
  <c r="F32" i="173"/>
  <c r="F40" i="173"/>
  <c r="H40" i="173" s="1"/>
  <c r="F48" i="173"/>
  <c r="H48" i="173" s="1"/>
  <c r="F56" i="173"/>
  <c r="F64" i="173"/>
  <c r="H64" i="173" s="1"/>
  <c r="F72" i="173"/>
  <c r="H72" i="173" s="1"/>
  <c r="F80" i="173"/>
  <c r="F88" i="173"/>
  <c r="H88" i="173" s="1"/>
  <c r="F96" i="173"/>
  <c r="H96" i="173" s="1"/>
  <c r="F104" i="173"/>
  <c r="H104" i="173" s="1"/>
  <c r="F127" i="173"/>
  <c r="H127" i="173" s="1"/>
  <c r="F151" i="173"/>
  <c r="H151" i="173" s="1"/>
  <c r="F168" i="173"/>
  <c r="H168" i="173" s="1"/>
  <c r="F191" i="173"/>
  <c r="H191" i="173" s="1"/>
  <c r="F223" i="173"/>
  <c r="H223" i="173" s="1"/>
  <c r="F263" i="173"/>
  <c r="H263" i="173" s="1"/>
  <c r="H302" i="173"/>
  <c r="F379" i="173"/>
  <c r="F375" i="173"/>
  <c r="F371" i="173"/>
  <c r="F367" i="173"/>
  <c r="F363" i="173"/>
  <c r="F359" i="173"/>
  <c r="F355" i="173"/>
  <c r="F351" i="173"/>
  <c r="F347" i="173"/>
  <c r="F343" i="173"/>
  <c r="F339" i="173"/>
  <c r="F335" i="173"/>
  <c r="F331" i="173"/>
  <c r="F327" i="173"/>
  <c r="F323" i="173"/>
  <c r="F319" i="173"/>
  <c r="F315" i="173"/>
  <c r="F311" i="173"/>
  <c r="F307" i="173"/>
  <c r="F303" i="173"/>
  <c r="F299" i="173"/>
  <c r="F295" i="173"/>
  <c r="F291" i="173"/>
  <c r="F287" i="173"/>
  <c r="F283" i="173"/>
  <c r="F279" i="173"/>
  <c r="F275" i="173"/>
  <c r="F271" i="173"/>
  <c r="F267" i="173"/>
  <c r="F376" i="173"/>
  <c r="F372" i="173"/>
  <c r="F368" i="173"/>
  <c r="F364" i="173"/>
  <c r="F360" i="173"/>
  <c r="F356" i="173"/>
  <c r="F352" i="173"/>
  <c r="F348" i="173"/>
  <c r="F344" i="173"/>
  <c r="F340" i="173"/>
  <c r="F336" i="173"/>
  <c r="F332" i="173"/>
  <c r="F328" i="173"/>
  <c r="F324" i="173"/>
  <c r="F320" i="173"/>
  <c r="F316" i="173"/>
  <c r="F312" i="173"/>
  <c r="F308" i="173"/>
  <c r="F304" i="173"/>
  <c r="F300" i="173"/>
  <c r="F296" i="173"/>
  <c r="F292" i="173"/>
  <c r="F288" i="173"/>
  <c r="F284" i="173"/>
  <c r="F280" i="173"/>
  <c r="F276" i="173"/>
  <c r="F272" i="173"/>
  <c r="F268" i="173"/>
  <c r="F378" i="173"/>
  <c r="F370" i="173"/>
  <c r="F362" i="173"/>
  <c r="F354" i="173"/>
  <c r="F346" i="173"/>
  <c r="F338" i="173"/>
  <c r="F330" i="173"/>
  <c r="F322" i="173"/>
  <c r="F314" i="173"/>
  <c r="F306" i="173"/>
  <c r="F298" i="173"/>
  <c r="F290" i="173"/>
  <c r="F282" i="173"/>
  <c r="F274" i="173"/>
  <c r="F265" i="173"/>
  <c r="F261" i="173"/>
  <c r="F257" i="173"/>
  <c r="F253" i="173"/>
  <c r="F249" i="173"/>
  <c r="F245" i="173"/>
  <c r="F241" i="173"/>
  <c r="F237" i="173"/>
  <c r="F233" i="173"/>
  <c r="F229" i="173"/>
  <c r="F225" i="173"/>
  <c r="F221" i="173"/>
  <c r="F217" i="173"/>
  <c r="F213" i="173"/>
  <c r="F209" i="173"/>
  <c r="F205" i="173"/>
  <c r="F201" i="173"/>
  <c r="F197" i="173"/>
  <c r="F193" i="173"/>
  <c r="F189" i="173"/>
  <c r="F185" i="173"/>
  <c r="F181" i="173"/>
  <c r="F177" i="173"/>
  <c r="F173" i="173"/>
  <c r="F169" i="173"/>
  <c r="F165" i="173"/>
  <c r="F161" i="173"/>
  <c r="F157" i="173"/>
  <c r="F153" i="173"/>
  <c r="F149" i="173"/>
  <c r="F145" i="173"/>
  <c r="F141" i="173"/>
  <c r="F137" i="173"/>
  <c r="F133" i="173"/>
  <c r="F129" i="173"/>
  <c r="F125" i="173"/>
  <c r="F121" i="173"/>
  <c r="F117" i="173"/>
  <c r="F113" i="173"/>
  <c r="F109" i="173"/>
  <c r="F105" i="173"/>
  <c r="F101" i="173"/>
  <c r="F97" i="173"/>
  <c r="F377" i="173"/>
  <c r="F369" i="173"/>
  <c r="F361" i="173"/>
  <c r="F353" i="173"/>
  <c r="F345" i="173"/>
  <c r="F337" i="173"/>
  <c r="F329" i="173"/>
  <c r="F321" i="173"/>
  <c r="F313" i="173"/>
  <c r="F305" i="173"/>
  <c r="F297" i="173"/>
  <c r="F289" i="173"/>
  <c r="F281" i="173"/>
  <c r="F273" i="173"/>
  <c r="F266" i="173"/>
  <c r="F262" i="173"/>
  <c r="F258" i="173"/>
  <c r="F254" i="173"/>
  <c r="F250" i="173"/>
  <c r="F246" i="173"/>
  <c r="F242" i="173"/>
  <c r="F238" i="173"/>
  <c r="F234" i="173"/>
  <c r="F230" i="173"/>
  <c r="F226" i="173"/>
  <c r="F222" i="173"/>
  <c r="F218" i="173"/>
  <c r="F214" i="173"/>
  <c r="F210" i="173"/>
  <c r="F206" i="173"/>
  <c r="F202" i="173"/>
  <c r="F198" i="173"/>
  <c r="F194" i="173"/>
  <c r="F190" i="173"/>
  <c r="F186" i="173"/>
  <c r="F182" i="173"/>
  <c r="F178" i="173"/>
  <c r="F174" i="173"/>
  <c r="F170" i="173"/>
  <c r="F166" i="173"/>
  <c r="F162" i="173"/>
  <c r="F158" i="173"/>
  <c r="F154" i="173"/>
  <c r="F150" i="173"/>
  <c r="F146" i="173"/>
  <c r="F142" i="173"/>
  <c r="F138" i="173"/>
  <c r="F134" i="173"/>
  <c r="F130" i="173"/>
  <c r="F126" i="173"/>
  <c r="F122" i="173"/>
  <c r="F118" i="173"/>
  <c r="F114" i="173"/>
  <c r="F110" i="173"/>
  <c r="F106" i="173"/>
  <c r="F102" i="173"/>
  <c r="F365" i="173"/>
  <c r="F349" i="173"/>
  <c r="F333" i="173"/>
  <c r="F317" i="173"/>
  <c r="F301" i="173"/>
  <c r="F285" i="173"/>
  <c r="F269" i="173"/>
  <c r="F260" i="173"/>
  <c r="F252" i="173"/>
  <c r="F244" i="173"/>
  <c r="F236" i="173"/>
  <c r="F228" i="173"/>
  <c r="F220" i="173"/>
  <c r="F212" i="173"/>
  <c r="F204" i="173"/>
  <c r="F196" i="173"/>
  <c r="F188" i="173"/>
  <c r="F180" i="173"/>
  <c r="F172" i="173"/>
  <c r="F164" i="173"/>
  <c r="F156" i="173"/>
  <c r="F148" i="173"/>
  <c r="F140" i="173"/>
  <c r="F132" i="173"/>
  <c r="F124" i="173"/>
  <c r="F116" i="173"/>
  <c r="F108" i="173"/>
  <c r="F94" i="173"/>
  <c r="F90" i="173"/>
  <c r="F86" i="173"/>
  <c r="F82" i="173"/>
  <c r="F78" i="173"/>
  <c r="F74" i="173"/>
  <c r="F70" i="173"/>
  <c r="F66" i="173"/>
  <c r="F62" i="173"/>
  <c r="F58" i="173"/>
  <c r="F54" i="173"/>
  <c r="F50" i="173"/>
  <c r="F46" i="173"/>
  <c r="F42" i="173"/>
  <c r="F38" i="173"/>
  <c r="F34" i="173"/>
  <c r="F30" i="173"/>
  <c r="F26" i="173"/>
  <c r="F22" i="173"/>
  <c r="F18" i="173"/>
  <c r="F357" i="173"/>
  <c r="F341" i="173"/>
  <c r="F309" i="173"/>
  <c r="F277" i="173"/>
  <c r="F256" i="173"/>
  <c r="F248" i="173"/>
  <c r="F240" i="173"/>
  <c r="F232" i="173"/>
  <c r="F216" i="173"/>
  <c r="F208" i="173"/>
  <c r="F374" i="173"/>
  <c r="F358" i="173"/>
  <c r="F342" i="173"/>
  <c r="F326" i="173"/>
  <c r="F310" i="173"/>
  <c r="F294" i="173"/>
  <c r="F278" i="173"/>
  <c r="F259" i="173"/>
  <c r="F251" i="173"/>
  <c r="F243" i="173"/>
  <c r="F235" i="173"/>
  <c r="F227" i="173"/>
  <c r="F219" i="173"/>
  <c r="F211" i="173"/>
  <c r="F203" i="173"/>
  <c r="F195" i="173"/>
  <c r="F187" i="173"/>
  <c r="F179" i="173"/>
  <c r="F171" i="173"/>
  <c r="F163" i="173"/>
  <c r="F155" i="173"/>
  <c r="F147" i="173"/>
  <c r="F139" i="173"/>
  <c r="F131" i="173"/>
  <c r="F123" i="173"/>
  <c r="F115" i="173"/>
  <c r="F107" i="173"/>
  <c r="F100" i="173"/>
  <c r="F98" i="173"/>
  <c r="F95" i="173"/>
  <c r="F91" i="173"/>
  <c r="F87" i="173"/>
  <c r="F83" i="173"/>
  <c r="F79" i="173"/>
  <c r="F75" i="173"/>
  <c r="F71" i="173"/>
  <c r="F67" i="173"/>
  <c r="F63" i="173"/>
  <c r="F59" i="173"/>
  <c r="F55" i="173"/>
  <c r="F51" i="173"/>
  <c r="F47" i="173"/>
  <c r="F43" i="173"/>
  <c r="F39" i="173"/>
  <c r="F35" i="173"/>
  <c r="F31" i="173"/>
  <c r="F27" i="173"/>
  <c r="F23" i="173"/>
  <c r="F19" i="173"/>
  <c r="F373" i="173"/>
  <c r="F325" i="173"/>
  <c r="F293" i="173"/>
  <c r="F264" i="173"/>
  <c r="F224" i="173"/>
  <c r="F200" i="173"/>
  <c r="F20" i="173"/>
  <c r="F28" i="173"/>
  <c r="F36" i="173"/>
  <c r="F44" i="173"/>
  <c r="F52" i="173"/>
  <c r="F60" i="173"/>
  <c r="F68" i="173"/>
  <c r="F76" i="173"/>
  <c r="F84" i="173"/>
  <c r="F92" i="173"/>
  <c r="F112" i="173"/>
  <c r="F128" i="173"/>
  <c r="F144" i="173"/>
  <c r="F160" i="173"/>
  <c r="F176" i="173"/>
  <c r="F215" i="173"/>
  <c r="F247" i="173"/>
  <c r="F270" i="173"/>
  <c r="F334" i="173"/>
  <c r="H207" i="173"/>
  <c r="D14" i="166" l="1"/>
  <c r="H103" i="173"/>
  <c r="H350" i="173"/>
  <c r="H184" i="173"/>
  <c r="H152" i="173"/>
  <c r="H80" i="173"/>
  <c r="H159" i="173"/>
  <c r="H136" i="173"/>
  <c r="H318" i="173"/>
  <c r="H56" i="173"/>
  <c r="E388" i="173"/>
  <c r="F388" i="173" s="1"/>
  <c r="H338" i="163"/>
  <c r="H145" i="163"/>
  <c r="H169" i="163"/>
  <c r="H262" i="163"/>
  <c r="H177" i="163"/>
  <c r="H121" i="163"/>
  <c r="H49" i="163"/>
  <c r="H57" i="163"/>
  <c r="H233" i="163"/>
  <c r="H297" i="163"/>
  <c r="H265" i="163"/>
  <c r="H41" i="163"/>
  <c r="H269" i="163"/>
  <c r="H217" i="163"/>
  <c r="H378" i="163"/>
  <c r="H285" i="163"/>
  <c r="H213" i="163"/>
  <c r="H149" i="163"/>
  <c r="H85" i="163"/>
  <c r="H21" i="163"/>
  <c r="H306" i="163"/>
  <c r="H226" i="163"/>
  <c r="H194" i="163"/>
  <c r="H130" i="163"/>
  <c r="H98" i="163"/>
  <c r="H34" i="163"/>
  <c r="H24" i="163"/>
  <c r="H56" i="163"/>
  <c r="H88" i="163"/>
  <c r="H120" i="163"/>
  <c r="H152" i="163"/>
  <c r="H168" i="163"/>
  <c r="H200" i="163"/>
  <c r="H234" i="163"/>
  <c r="H257" i="163"/>
  <c r="H298" i="163"/>
  <c r="H358" i="163"/>
  <c r="H19" i="163"/>
  <c r="H51" i="163"/>
  <c r="H83" i="163"/>
  <c r="H115" i="163"/>
  <c r="H131" i="163"/>
  <c r="H163" i="163"/>
  <c r="H195" i="163"/>
  <c r="H227" i="163"/>
  <c r="H270" i="163"/>
  <c r="H311" i="163"/>
  <c r="H369" i="163"/>
  <c r="H256" i="163"/>
  <c r="H288" i="163"/>
  <c r="H320" i="163"/>
  <c r="H336" i="163"/>
  <c r="H368" i="163"/>
  <c r="H335" i="163"/>
  <c r="H367" i="163"/>
  <c r="H278" i="163"/>
  <c r="H205" i="163"/>
  <c r="H173" i="163"/>
  <c r="H109" i="163"/>
  <c r="H45" i="163"/>
  <c r="H299" i="163"/>
  <c r="H249" i="163"/>
  <c r="H186" i="163"/>
  <c r="H154" i="163"/>
  <c r="H90" i="163"/>
  <c r="H58" i="163"/>
  <c r="H26" i="163"/>
  <c r="H28" i="163"/>
  <c r="H60" i="163"/>
  <c r="H92" i="163"/>
  <c r="H124" i="163"/>
  <c r="H156" i="163"/>
  <c r="H188" i="163"/>
  <c r="H220" i="163"/>
  <c r="H259" i="163"/>
  <c r="H282" i="163"/>
  <c r="H334" i="163"/>
  <c r="H357" i="163"/>
  <c r="H39" i="163"/>
  <c r="H71" i="163"/>
  <c r="H103" i="163"/>
  <c r="H135" i="163"/>
  <c r="H167" i="163"/>
  <c r="H199" i="163"/>
  <c r="H215" i="163"/>
  <c r="H254" i="163"/>
  <c r="H295" i="163"/>
  <c r="H345" i="163"/>
  <c r="H377" i="163"/>
  <c r="H260" i="163"/>
  <c r="H292" i="163"/>
  <c r="H308" i="163"/>
  <c r="H324" i="163"/>
  <c r="H356" i="163"/>
  <c r="H372" i="163"/>
  <c r="H323" i="163"/>
  <c r="H339" i="163"/>
  <c r="H355" i="163"/>
  <c r="H371" i="163"/>
  <c r="H310" i="163"/>
  <c r="H271" i="163"/>
  <c r="H229" i="163"/>
  <c r="H197" i="163"/>
  <c r="H165" i="163"/>
  <c r="H133" i="163"/>
  <c r="H101" i="163"/>
  <c r="H69" i="163"/>
  <c r="H37" i="163"/>
  <c r="H354" i="163"/>
  <c r="H281" i="163"/>
  <c r="H242" i="163"/>
  <c r="H210" i="163"/>
  <c r="H178" i="163"/>
  <c r="H146" i="163"/>
  <c r="H114" i="163"/>
  <c r="H82" i="163"/>
  <c r="H50" i="163"/>
  <c r="H18" i="163"/>
  <c r="H16" i="163"/>
  <c r="H32" i="163"/>
  <c r="H48" i="163"/>
  <c r="H64" i="163"/>
  <c r="H80" i="163"/>
  <c r="H96" i="163"/>
  <c r="H112" i="163"/>
  <c r="H128" i="163"/>
  <c r="H144" i="163"/>
  <c r="H160" i="163"/>
  <c r="H176" i="163"/>
  <c r="H192" i="163"/>
  <c r="H208" i="163"/>
  <c r="H224" i="163"/>
  <c r="H243" i="163"/>
  <c r="H266" i="163"/>
  <c r="H289" i="163"/>
  <c r="H307" i="163"/>
  <c r="H342" i="163"/>
  <c r="H374" i="163"/>
  <c r="H365" i="163"/>
  <c r="H27" i="163"/>
  <c r="H43" i="163"/>
  <c r="H59" i="163"/>
  <c r="H75" i="163"/>
  <c r="H91" i="163"/>
  <c r="H107" i="163"/>
  <c r="H123" i="163"/>
  <c r="H139" i="163"/>
  <c r="H155" i="163"/>
  <c r="H171" i="163"/>
  <c r="H187" i="163"/>
  <c r="H203" i="163"/>
  <c r="H219" i="163"/>
  <c r="H238" i="163"/>
  <c r="H261" i="163"/>
  <c r="H279" i="163"/>
  <c r="H302" i="163"/>
  <c r="H321" i="163"/>
  <c r="H353" i="163"/>
  <c r="H232" i="163"/>
  <c r="H248" i="163"/>
  <c r="H264" i="163"/>
  <c r="H280" i="163"/>
  <c r="H296" i="163"/>
  <c r="H312" i="163"/>
  <c r="H328" i="163"/>
  <c r="H344" i="163"/>
  <c r="H360" i="163"/>
  <c r="H376" i="163"/>
  <c r="H327" i="163"/>
  <c r="H343" i="163"/>
  <c r="H359" i="163"/>
  <c r="H375" i="163"/>
  <c r="H246" i="163"/>
  <c r="H181" i="163"/>
  <c r="H117" i="163"/>
  <c r="H53" i="163"/>
  <c r="H267" i="163"/>
  <c r="H162" i="163"/>
  <c r="H66" i="163"/>
  <c r="H349" i="163"/>
  <c r="H40" i="163"/>
  <c r="H72" i="163"/>
  <c r="H104" i="163"/>
  <c r="H136" i="163"/>
  <c r="H184" i="163"/>
  <c r="H216" i="163"/>
  <c r="H275" i="163"/>
  <c r="H326" i="163"/>
  <c r="H341" i="163"/>
  <c r="H35" i="163"/>
  <c r="H67" i="163"/>
  <c r="H99" i="163"/>
  <c r="H147" i="163"/>
  <c r="H179" i="163"/>
  <c r="H211" i="163"/>
  <c r="H247" i="163"/>
  <c r="H293" i="163"/>
  <c r="H337" i="163"/>
  <c r="H240" i="163"/>
  <c r="H272" i="163"/>
  <c r="H304" i="163"/>
  <c r="H352" i="163"/>
  <c r="H319" i="163"/>
  <c r="H351" i="163"/>
  <c r="H346" i="163"/>
  <c r="H239" i="163"/>
  <c r="H141" i="163"/>
  <c r="H77" i="163"/>
  <c r="H218" i="163"/>
  <c r="H122" i="163"/>
  <c r="F390" i="163"/>
  <c r="H44" i="163"/>
  <c r="H76" i="163"/>
  <c r="H108" i="163"/>
  <c r="H140" i="163"/>
  <c r="H172" i="163"/>
  <c r="H204" i="163"/>
  <c r="H241" i="163"/>
  <c r="H305" i="163"/>
  <c r="H366" i="163"/>
  <c r="H23" i="163"/>
  <c r="H55" i="163"/>
  <c r="H87" i="163"/>
  <c r="H119" i="163"/>
  <c r="H151" i="163"/>
  <c r="H183" i="163"/>
  <c r="H231" i="163"/>
  <c r="H277" i="163"/>
  <c r="H313" i="163"/>
  <c r="H244" i="163"/>
  <c r="H276" i="163"/>
  <c r="H340" i="163"/>
  <c r="H303" i="163"/>
  <c r="H253" i="163"/>
  <c r="H221" i="163"/>
  <c r="H189" i="163"/>
  <c r="H157" i="163"/>
  <c r="H125" i="163"/>
  <c r="H93" i="163"/>
  <c r="H61" i="163"/>
  <c r="H29" i="163"/>
  <c r="H314" i="163"/>
  <c r="H274" i="163"/>
  <c r="H235" i="163"/>
  <c r="H202" i="163"/>
  <c r="H170" i="163"/>
  <c r="H138" i="163"/>
  <c r="H106" i="163"/>
  <c r="H74" i="163"/>
  <c r="H42" i="163"/>
  <c r="H325" i="163"/>
  <c r="H20" i="163"/>
  <c r="H36" i="163"/>
  <c r="H52" i="163"/>
  <c r="H68" i="163"/>
  <c r="H84" i="163"/>
  <c r="H100" i="163"/>
  <c r="H116" i="163"/>
  <c r="H132" i="163"/>
  <c r="H148" i="163"/>
  <c r="H164" i="163"/>
  <c r="H180" i="163"/>
  <c r="H196" i="163"/>
  <c r="H212" i="163"/>
  <c r="H228" i="163"/>
  <c r="H250" i="163"/>
  <c r="H273" i="163"/>
  <c r="H291" i="163"/>
  <c r="H318" i="163"/>
  <c r="H350" i="163"/>
  <c r="H333" i="163"/>
  <c r="H373" i="163"/>
  <c r="H31" i="163"/>
  <c r="H47" i="163"/>
  <c r="H63" i="163"/>
  <c r="H79" i="163"/>
  <c r="H95" i="163"/>
  <c r="H111" i="163"/>
  <c r="H127" i="163"/>
  <c r="H143" i="163"/>
  <c r="H159" i="163"/>
  <c r="H175" i="163"/>
  <c r="H191" i="163"/>
  <c r="H207" i="163"/>
  <c r="H223" i="163"/>
  <c r="H245" i="163"/>
  <c r="H263" i="163"/>
  <c r="H286" i="163"/>
  <c r="H309" i="163"/>
  <c r="H329" i="163"/>
  <c r="H361" i="163"/>
  <c r="H236" i="163"/>
  <c r="H252" i="163"/>
  <c r="H268" i="163"/>
  <c r="H284" i="163"/>
  <c r="H300" i="163"/>
  <c r="H316" i="163"/>
  <c r="H332" i="163"/>
  <c r="H348" i="163"/>
  <c r="H364" i="163"/>
  <c r="H315" i="163"/>
  <c r="H331" i="163"/>
  <c r="H347" i="163"/>
  <c r="H363" i="163"/>
  <c r="H379" i="163"/>
  <c r="D12" i="163"/>
  <c r="H167" i="173"/>
  <c r="H32" i="173"/>
  <c r="H231" i="173"/>
  <c r="H77" i="173"/>
  <c r="H53" i="173"/>
  <c r="H29" i="173"/>
  <c r="H61" i="173"/>
  <c r="H45" i="173"/>
  <c r="H85" i="173"/>
  <c r="H21" i="173"/>
  <c r="H93" i="173"/>
  <c r="H270" i="173"/>
  <c r="H76" i="173"/>
  <c r="H44" i="173"/>
  <c r="H200" i="173"/>
  <c r="H27" i="173"/>
  <c r="H75" i="173"/>
  <c r="H107" i="173"/>
  <c r="H171" i="173"/>
  <c r="H235" i="173"/>
  <c r="H342" i="173"/>
  <c r="H256" i="173"/>
  <c r="H46" i="173"/>
  <c r="H78" i="173"/>
  <c r="H132" i="173"/>
  <c r="H164" i="173"/>
  <c r="H228" i="173"/>
  <c r="H317" i="173"/>
  <c r="H118" i="173"/>
  <c r="H150" i="173"/>
  <c r="H166" i="173"/>
  <c r="H198" i="173"/>
  <c r="H230" i="173"/>
  <c r="H262" i="173"/>
  <c r="H321" i="173"/>
  <c r="H97" i="173"/>
  <c r="H129" i="173"/>
  <c r="H161" i="173"/>
  <c r="H193" i="173"/>
  <c r="H225" i="173"/>
  <c r="H257" i="173"/>
  <c r="H314" i="173"/>
  <c r="H378" i="173"/>
  <c r="H296" i="173"/>
  <c r="H328" i="173"/>
  <c r="H360" i="173"/>
  <c r="H279" i="173"/>
  <c r="H295" i="173"/>
  <c r="H327" i="173"/>
  <c r="H343" i="173"/>
  <c r="H359" i="173"/>
  <c r="H375" i="173"/>
  <c r="H247" i="173"/>
  <c r="H144" i="173"/>
  <c r="H224" i="173"/>
  <c r="H373" i="173"/>
  <c r="H31" i="173"/>
  <c r="H47" i="173"/>
  <c r="H63" i="173"/>
  <c r="H79" i="173"/>
  <c r="H95" i="173"/>
  <c r="H115" i="173"/>
  <c r="H147" i="173"/>
  <c r="H179" i="173"/>
  <c r="H211" i="173"/>
  <c r="H243" i="173"/>
  <c r="H294" i="173"/>
  <c r="H358" i="173"/>
  <c r="H232" i="173"/>
  <c r="H277" i="173"/>
  <c r="H18" i="173"/>
  <c r="H34" i="173"/>
  <c r="H50" i="173"/>
  <c r="H66" i="173"/>
  <c r="H82" i="173"/>
  <c r="H108" i="173"/>
  <c r="H140" i="173"/>
  <c r="H172" i="173"/>
  <c r="H204" i="173"/>
  <c r="H236" i="173"/>
  <c r="H269" i="173"/>
  <c r="H333" i="173"/>
  <c r="H106" i="173"/>
  <c r="H122" i="173"/>
  <c r="H138" i="173"/>
  <c r="H154" i="173"/>
  <c r="H170" i="173"/>
  <c r="H186" i="173"/>
  <c r="H202" i="173"/>
  <c r="H218" i="173"/>
  <c r="H234" i="173"/>
  <c r="H250" i="173"/>
  <c r="H266" i="173"/>
  <c r="H297" i="173"/>
  <c r="H329" i="173"/>
  <c r="H361" i="173"/>
  <c r="H101" i="173"/>
  <c r="H117" i="173"/>
  <c r="H133" i="173"/>
  <c r="H149" i="173"/>
  <c r="H165" i="173"/>
  <c r="H181" i="173"/>
  <c r="H197" i="173"/>
  <c r="H213" i="173"/>
  <c r="H229" i="173"/>
  <c r="H245" i="173"/>
  <c r="H261" i="173"/>
  <c r="H290" i="173"/>
  <c r="H322" i="173"/>
  <c r="H354" i="173"/>
  <c r="H268" i="173"/>
  <c r="H284" i="173"/>
  <c r="H300" i="173"/>
  <c r="H316" i="173"/>
  <c r="H332" i="173"/>
  <c r="H348" i="173"/>
  <c r="H364" i="173"/>
  <c r="H267" i="173"/>
  <c r="H283" i="173"/>
  <c r="H299" i="173"/>
  <c r="H315" i="173"/>
  <c r="H331" i="173"/>
  <c r="H347" i="173"/>
  <c r="H363" i="173"/>
  <c r="H379" i="173"/>
  <c r="H215" i="173"/>
  <c r="H128" i="173"/>
  <c r="H84" i="173"/>
  <c r="H68" i="173"/>
  <c r="H52" i="173"/>
  <c r="H36" i="173"/>
  <c r="H20" i="173"/>
  <c r="D12" i="173"/>
  <c r="H264" i="173"/>
  <c r="H19" i="173"/>
  <c r="H35" i="173"/>
  <c r="H51" i="173"/>
  <c r="H67" i="173"/>
  <c r="H83" i="173"/>
  <c r="H98" i="173"/>
  <c r="H123" i="173"/>
  <c r="H155" i="173"/>
  <c r="H187" i="173"/>
  <c r="H219" i="173"/>
  <c r="H251" i="173"/>
  <c r="H310" i="173"/>
  <c r="H374" i="173"/>
  <c r="H240" i="173"/>
  <c r="H309" i="173"/>
  <c r="H22" i="173"/>
  <c r="H38" i="173"/>
  <c r="H54" i="173"/>
  <c r="H70" i="173"/>
  <c r="H86" i="173"/>
  <c r="H116" i="173"/>
  <c r="H148" i="173"/>
  <c r="H180" i="173"/>
  <c r="H212" i="173"/>
  <c r="H244" i="173"/>
  <c r="H285" i="173"/>
  <c r="H349" i="173"/>
  <c r="H110" i="173"/>
  <c r="H126" i="173"/>
  <c r="H142" i="173"/>
  <c r="H158" i="173"/>
  <c r="H174" i="173"/>
  <c r="H190" i="173"/>
  <c r="H206" i="173"/>
  <c r="H222" i="173"/>
  <c r="H238" i="173"/>
  <c r="H254" i="173"/>
  <c r="H273" i="173"/>
  <c r="H305" i="173"/>
  <c r="H337" i="173"/>
  <c r="H369" i="173"/>
  <c r="H105" i="173"/>
  <c r="H121" i="173"/>
  <c r="H137" i="173"/>
  <c r="H153" i="173"/>
  <c r="H169" i="173"/>
  <c r="H185" i="173"/>
  <c r="H201" i="173"/>
  <c r="H217" i="173"/>
  <c r="H233" i="173"/>
  <c r="H249" i="173"/>
  <c r="H265" i="173"/>
  <c r="H298" i="173"/>
  <c r="H330" i="173"/>
  <c r="H362" i="173"/>
  <c r="H272" i="173"/>
  <c r="H288" i="173"/>
  <c r="H304" i="173"/>
  <c r="H320" i="173"/>
  <c r="H336" i="173"/>
  <c r="H352" i="173"/>
  <c r="H368" i="173"/>
  <c r="H271" i="173"/>
  <c r="H287" i="173"/>
  <c r="H303" i="173"/>
  <c r="H319" i="173"/>
  <c r="H335" i="173"/>
  <c r="H351" i="173"/>
  <c r="H367" i="173"/>
  <c r="H160" i="173"/>
  <c r="H92" i="173"/>
  <c r="H60" i="173"/>
  <c r="H28" i="173"/>
  <c r="H325" i="173"/>
  <c r="H43" i="173"/>
  <c r="H59" i="173"/>
  <c r="H91" i="173"/>
  <c r="H139" i="173"/>
  <c r="H203" i="173"/>
  <c r="H278" i="173"/>
  <c r="H216" i="173"/>
  <c r="H357" i="173"/>
  <c r="H30" i="173"/>
  <c r="H62" i="173"/>
  <c r="H94" i="173"/>
  <c r="H196" i="173"/>
  <c r="H260" i="173"/>
  <c r="H102" i="173"/>
  <c r="H134" i="173"/>
  <c r="H182" i="173"/>
  <c r="H214" i="173"/>
  <c r="H246" i="173"/>
  <c r="H289" i="173"/>
  <c r="H353" i="173"/>
  <c r="H113" i="173"/>
  <c r="H145" i="173"/>
  <c r="H177" i="173"/>
  <c r="H209" i="173"/>
  <c r="H241" i="173"/>
  <c r="H282" i="173"/>
  <c r="H346" i="173"/>
  <c r="H280" i="173"/>
  <c r="H312" i="173"/>
  <c r="H344" i="173"/>
  <c r="H376" i="173"/>
  <c r="H311" i="173"/>
  <c r="H334" i="173"/>
  <c r="H176" i="173"/>
  <c r="H112" i="173"/>
  <c r="H293" i="173"/>
  <c r="H23" i="173"/>
  <c r="H39" i="173"/>
  <c r="H55" i="173"/>
  <c r="H71" i="173"/>
  <c r="H87" i="173"/>
  <c r="H100" i="173"/>
  <c r="H131" i="173"/>
  <c r="H163" i="173"/>
  <c r="H195" i="173"/>
  <c r="H227" i="173"/>
  <c r="H259" i="173"/>
  <c r="H326" i="173"/>
  <c r="H208" i="173"/>
  <c r="H248" i="173"/>
  <c r="H341" i="173"/>
  <c r="H26" i="173"/>
  <c r="H42" i="173"/>
  <c r="H58" i="173"/>
  <c r="H74" i="173"/>
  <c r="H90" i="173"/>
  <c r="H124" i="173"/>
  <c r="H156" i="173"/>
  <c r="H188" i="173"/>
  <c r="H220" i="173"/>
  <c r="H252" i="173"/>
  <c r="H301" i="173"/>
  <c r="H365" i="173"/>
  <c r="H114" i="173"/>
  <c r="H130" i="173"/>
  <c r="H146" i="173"/>
  <c r="H162" i="173"/>
  <c r="H178" i="173"/>
  <c r="H194" i="173"/>
  <c r="H210" i="173"/>
  <c r="H226" i="173"/>
  <c r="H242" i="173"/>
  <c r="H258" i="173"/>
  <c r="H281" i="173"/>
  <c r="H313" i="173"/>
  <c r="H345" i="173"/>
  <c r="H377" i="173"/>
  <c r="H109" i="173"/>
  <c r="H125" i="173"/>
  <c r="H141" i="173"/>
  <c r="H157" i="173"/>
  <c r="H173" i="173"/>
  <c r="H189" i="173"/>
  <c r="H205" i="173"/>
  <c r="H221" i="173"/>
  <c r="H237" i="173"/>
  <c r="H253" i="173"/>
  <c r="H274" i="173"/>
  <c r="H306" i="173"/>
  <c r="H338" i="173"/>
  <c r="H370" i="173"/>
  <c r="H276" i="173"/>
  <c r="H292" i="173"/>
  <c r="H308" i="173"/>
  <c r="H324" i="173"/>
  <c r="H340" i="173"/>
  <c r="H356" i="173"/>
  <c r="H372" i="173"/>
  <c r="H275" i="173"/>
  <c r="H291" i="173"/>
  <c r="H307" i="173"/>
  <c r="H323" i="173"/>
  <c r="H339" i="173"/>
  <c r="H355" i="173"/>
  <c r="H371" i="173"/>
  <c r="F12" i="163" l="1"/>
  <c r="H12" i="163"/>
  <c r="H12" i="173"/>
  <c r="F759" i="163"/>
  <c r="F755" i="163"/>
  <c r="F751" i="163"/>
  <c r="F747" i="163"/>
  <c r="F743" i="163"/>
  <c r="F739" i="163"/>
  <c r="F735" i="163"/>
  <c r="F731" i="163"/>
  <c r="F727" i="163"/>
  <c r="F723" i="163"/>
  <c r="F719" i="163"/>
  <c r="F715" i="163"/>
  <c r="F711" i="163"/>
  <c r="F707" i="163"/>
  <c r="F703" i="163"/>
  <c r="F699" i="163"/>
  <c r="F695" i="163"/>
  <c r="F691" i="163"/>
  <c r="F687" i="163"/>
  <c r="F683" i="163"/>
  <c r="F679" i="163"/>
  <c r="F675" i="163"/>
  <c r="F671" i="163"/>
  <c r="F667" i="163"/>
  <c r="F663" i="163"/>
  <c r="F659" i="163"/>
  <c r="F655" i="163"/>
  <c r="F651" i="163"/>
  <c r="F758" i="163"/>
  <c r="F756" i="163"/>
  <c r="F749" i="163"/>
  <c r="F742" i="163"/>
  <c r="F740" i="163"/>
  <c r="F733" i="163"/>
  <c r="F726" i="163"/>
  <c r="F724" i="163"/>
  <c r="F717" i="163"/>
  <c r="F710" i="163"/>
  <c r="F708" i="163"/>
  <c r="F701" i="163"/>
  <c r="F694" i="163"/>
  <c r="F692" i="163"/>
  <c r="F685" i="163"/>
  <c r="F678" i="163"/>
  <c r="F676" i="163"/>
  <c r="F669" i="163"/>
  <c r="F662" i="163"/>
  <c r="F660" i="163"/>
  <c r="F653" i="163"/>
  <c r="F648" i="163"/>
  <c r="F644" i="163"/>
  <c r="F640" i="163"/>
  <c r="F636" i="163"/>
  <c r="F632" i="163"/>
  <c r="F628" i="163"/>
  <c r="F624" i="163"/>
  <c r="F620" i="163"/>
  <c r="F616" i="163"/>
  <c r="F612" i="163"/>
  <c r="F608" i="163"/>
  <c r="F604" i="163"/>
  <c r="F600" i="163"/>
  <c r="F596" i="163"/>
  <c r="F592" i="163"/>
  <c r="F588" i="163"/>
  <c r="F584" i="163"/>
  <c r="F580" i="163"/>
  <c r="F576" i="163"/>
  <c r="F572" i="163"/>
  <c r="F568" i="163"/>
  <c r="F564" i="163"/>
  <c r="F761" i="163"/>
  <c r="F754" i="163"/>
  <c r="F752" i="163"/>
  <c r="F745" i="163"/>
  <c r="F738" i="163"/>
  <c r="F736" i="163"/>
  <c r="F729" i="163"/>
  <c r="F722" i="163"/>
  <c r="F720" i="163"/>
  <c r="F713" i="163"/>
  <c r="F706" i="163"/>
  <c r="F704" i="163"/>
  <c r="F697" i="163"/>
  <c r="F690" i="163"/>
  <c r="F688" i="163"/>
  <c r="F681" i="163"/>
  <c r="F674" i="163"/>
  <c r="F672" i="163"/>
  <c r="F665" i="163"/>
  <c r="F658" i="163"/>
  <c r="F656" i="163"/>
  <c r="F649" i="163"/>
  <c r="F645" i="163"/>
  <c r="F641" i="163"/>
  <c r="F637" i="163"/>
  <c r="F633" i="163"/>
  <c r="F629" i="163"/>
  <c r="F625" i="163"/>
  <c r="F621" i="163"/>
  <c r="F757" i="163"/>
  <c r="F750" i="163"/>
  <c r="F732" i="163"/>
  <c r="F725" i="163"/>
  <c r="F718" i="163"/>
  <c r="F700" i="163"/>
  <c r="F693" i="163"/>
  <c r="F686" i="163"/>
  <c r="F668" i="163"/>
  <c r="F661" i="163"/>
  <c r="F654" i="163"/>
  <c r="F642" i="163"/>
  <c r="F634" i="163"/>
  <c r="F626" i="163"/>
  <c r="F619" i="163"/>
  <c r="F617" i="163"/>
  <c r="F610" i="163"/>
  <c r="F603" i="163"/>
  <c r="F601" i="163"/>
  <c r="F594" i="163"/>
  <c r="F587" i="163"/>
  <c r="F585" i="163"/>
  <c r="F578" i="163"/>
  <c r="F571" i="163"/>
  <c r="F569" i="163"/>
  <c r="F562" i="163"/>
  <c r="F558" i="163"/>
  <c r="F554" i="163"/>
  <c r="F550" i="163"/>
  <c r="F546" i="163"/>
  <c r="F542" i="163"/>
  <c r="F538" i="163"/>
  <c r="F534" i="163"/>
  <c r="F530" i="163"/>
  <c r="F526" i="163"/>
  <c r="F522" i="163"/>
  <c r="F518" i="163"/>
  <c r="F514" i="163"/>
  <c r="F510" i="163"/>
  <c r="F506" i="163"/>
  <c r="F502" i="163"/>
  <c r="F498" i="163"/>
  <c r="F494" i="163"/>
  <c r="F490" i="163"/>
  <c r="F486" i="163"/>
  <c r="F482" i="163"/>
  <c r="F478" i="163"/>
  <c r="F474" i="163"/>
  <c r="F470" i="163"/>
  <c r="F466" i="163"/>
  <c r="F462" i="163"/>
  <c r="F458" i="163"/>
  <c r="F454" i="163"/>
  <c r="F450" i="163"/>
  <c r="F760" i="163"/>
  <c r="F753" i="163"/>
  <c r="F746" i="163"/>
  <c r="F728" i="163"/>
  <c r="F721" i="163"/>
  <c r="F714" i="163"/>
  <c r="F696" i="163"/>
  <c r="F689" i="163"/>
  <c r="F682" i="163"/>
  <c r="F664" i="163"/>
  <c r="F657" i="163"/>
  <c r="F650" i="163"/>
  <c r="F647" i="163"/>
  <c r="F639" i="163"/>
  <c r="F631" i="163"/>
  <c r="F623" i="163"/>
  <c r="F615" i="163"/>
  <c r="F613" i="163"/>
  <c r="F606" i="163"/>
  <c r="F599" i="163"/>
  <c r="F597" i="163"/>
  <c r="F590" i="163"/>
  <c r="F583" i="163"/>
  <c r="F581" i="163"/>
  <c r="F574" i="163"/>
  <c r="F567" i="163"/>
  <c r="F565" i="163"/>
  <c r="F559" i="163"/>
  <c r="F555" i="163"/>
  <c r="F551" i="163"/>
  <c r="F547" i="163"/>
  <c r="F543" i="163"/>
  <c r="F539" i="163"/>
  <c r="F535" i="163"/>
  <c r="F531" i="163"/>
  <c r="F527" i="163"/>
  <c r="F523" i="163"/>
  <c r="F519" i="163"/>
  <c r="F515" i="163"/>
  <c r="F511" i="163"/>
  <c r="F507" i="163"/>
  <c r="F503" i="163"/>
  <c r="F499" i="163"/>
  <c r="F495" i="163"/>
  <c r="F491" i="163"/>
  <c r="F487" i="163"/>
  <c r="F483" i="163"/>
  <c r="F479" i="163"/>
  <c r="F475" i="163"/>
  <c r="F471" i="163"/>
  <c r="F467" i="163"/>
  <c r="F463" i="163"/>
  <c r="F459" i="163"/>
  <c r="F455" i="163"/>
  <c r="F451" i="163"/>
  <c r="F447" i="163"/>
  <c r="F443" i="163"/>
  <c r="F439" i="163"/>
  <c r="F716" i="163"/>
  <c r="F709" i="163"/>
  <c r="F702" i="163"/>
  <c r="F652" i="163"/>
  <c r="F646" i="163"/>
  <c r="F630" i="163"/>
  <c r="F609" i="163"/>
  <c r="F602" i="163"/>
  <c r="F595" i="163"/>
  <c r="F577" i="163"/>
  <c r="F570" i="163"/>
  <c r="F563" i="163"/>
  <c r="F560" i="163"/>
  <c r="F552" i="163"/>
  <c r="F544" i="163"/>
  <c r="F536" i="163"/>
  <c r="F528" i="163"/>
  <c r="F520" i="163"/>
  <c r="F512" i="163"/>
  <c r="F504" i="163"/>
  <c r="F496" i="163"/>
  <c r="F488" i="163"/>
  <c r="F480" i="163"/>
  <c r="F472" i="163"/>
  <c r="F464" i="163"/>
  <c r="F456" i="163"/>
  <c r="F445" i="163"/>
  <c r="F438" i="163"/>
  <c r="F436" i="163"/>
  <c r="F432" i="163"/>
  <c r="F428" i="163"/>
  <c r="F424" i="163"/>
  <c r="F420" i="163"/>
  <c r="F416" i="163"/>
  <c r="F412" i="163"/>
  <c r="F408" i="163"/>
  <c r="F404" i="163"/>
  <c r="F400" i="163"/>
  <c r="F744" i="163"/>
  <c r="F737" i="163"/>
  <c r="F730" i="163"/>
  <c r="F680" i="163"/>
  <c r="F673" i="163"/>
  <c r="F666" i="163"/>
  <c r="F635" i="163"/>
  <c r="F605" i="163"/>
  <c r="F598" i="163"/>
  <c r="F591" i="163"/>
  <c r="F573" i="163"/>
  <c r="F566" i="163"/>
  <c r="F557" i="163"/>
  <c r="F549" i="163"/>
  <c r="F541" i="163"/>
  <c r="F533" i="163"/>
  <c r="F525" i="163"/>
  <c r="F517" i="163"/>
  <c r="F509" i="163"/>
  <c r="F501" i="163"/>
  <c r="F493" i="163"/>
  <c r="F485" i="163"/>
  <c r="F477" i="163"/>
  <c r="F469" i="163"/>
  <c r="F461" i="163"/>
  <c r="F453" i="163"/>
  <c r="F448" i="163"/>
  <c r="F441" i="163"/>
  <c r="F433" i="163"/>
  <c r="F429" i="163"/>
  <c r="F425" i="163"/>
  <c r="F421" i="163"/>
  <c r="F417" i="163"/>
  <c r="F413" i="163"/>
  <c r="F409" i="163"/>
  <c r="F405" i="163"/>
  <c r="F401" i="163"/>
  <c r="F741" i="163"/>
  <c r="F684" i="163"/>
  <c r="F670" i="163"/>
  <c r="F622" i="163"/>
  <c r="F593" i="163"/>
  <c r="F586" i="163"/>
  <c r="F579" i="163"/>
  <c r="F548" i="163"/>
  <c r="F532" i="163"/>
  <c r="F516" i="163"/>
  <c r="F500" i="163"/>
  <c r="F484" i="163"/>
  <c r="F468" i="163"/>
  <c r="F452" i="163"/>
  <c r="F444" i="163"/>
  <c r="F437" i="163"/>
  <c r="F434" i="163"/>
  <c r="F426" i="163"/>
  <c r="F418" i="163"/>
  <c r="F410" i="163"/>
  <c r="F402" i="163"/>
  <c r="F734" i="163"/>
  <c r="F677" i="163"/>
  <c r="F638" i="163"/>
  <c r="F618" i="163"/>
  <c r="F611" i="163"/>
  <c r="F556" i="163"/>
  <c r="F524" i="163"/>
  <c r="F492" i="163"/>
  <c r="F460" i="163"/>
  <c r="F422" i="163"/>
  <c r="F406" i="163"/>
  <c r="F712" i="163"/>
  <c r="F698" i="163"/>
  <c r="F643" i="163"/>
  <c r="F614" i="163"/>
  <c r="F607" i="163"/>
  <c r="F553" i="163"/>
  <c r="F537" i="163"/>
  <c r="F521" i="163"/>
  <c r="F505" i="163"/>
  <c r="F489" i="163"/>
  <c r="F473" i="163"/>
  <c r="F457" i="163"/>
  <c r="F440" i="163"/>
  <c r="F431" i="163"/>
  <c r="F423" i="163"/>
  <c r="F415" i="163"/>
  <c r="F407" i="163"/>
  <c r="F399" i="163"/>
  <c r="F748" i="163"/>
  <c r="F540" i="163"/>
  <c r="F508" i="163"/>
  <c r="F476" i="163"/>
  <c r="F446" i="163"/>
  <c r="F430" i="163"/>
  <c r="F414" i="163"/>
  <c r="F398" i="163"/>
  <c r="F575" i="163"/>
  <c r="F529" i="163"/>
  <c r="F465" i="163"/>
  <c r="F411" i="163"/>
  <c r="F427" i="163"/>
  <c r="F435" i="163"/>
  <c r="F627" i="163"/>
  <c r="F545" i="163"/>
  <c r="F481" i="163"/>
  <c r="F442" i="163"/>
  <c r="F419" i="163"/>
  <c r="F589" i="163"/>
  <c r="F561" i="163"/>
  <c r="F497" i="163"/>
  <c r="F705" i="163"/>
  <c r="F582" i="163"/>
  <c r="F513" i="163"/>
  <c r="F449" i="163"/>
  <c r="F403" i="163"/>
  <c r="F397" i="173"/>
  <c r="H397" i="173" s="1"/>
  <c r="F401" i="173"/>
  <c r="H401" i="173" s="1"/>
  <c r="F406" i="173"/>
  <c r="H406" i="173" s="1"/>
  <c r="F408" i="173"/>
  <c r="H408" i="173" s="1"/>
  <c r="F411" i="173"/>
  <c r="H411" i="173" s="1"/>
  <c r="F421" i="173"/>
  <c r="H421" i="173" s="1"/>
  <c r="F426" i="173"/>
  <c r="H426" i="173" s="1"/>
  <c r="F428" i="173"/>
  <c r="H428" i="173" s="1"/>
  <c r="F431" i="173"/>
  <c r="H431" i="173" s="1"/>
  <c r="F437" i="173"/>
  <c r="H437" i="173" s="1"/>
  <c r="F442" i="173"/>
  <c r="H442" i="173" s="1"/>
  <c r="F444" i="173"/>
  <c r="H444" i="173" s="1"/>
  <c r="F447" i="173"/>
  <c r="H447" i="173" s="1"/>
  <c r="F453" i="173"/>
  <c r="H453" i="173" s="1"/>
  <c r="F458" i="173"/>
  <c r="H458" i="173" s="1"/>
  <c r="F460" i="173"/>
  <c r="H460" i="173" s="1"/>
  <c r="F463" i="173"/>
  <c r="H463" i="173" s="1"/>
  <c r="F469" i="173"/>
  <c r="H469" i="173" s="1"/>
  <c r="F473" i="173"/>
  <c r="H473" i="173" s="1"/>
  <c r="F477" i="173"/>
  <c r="H477" i="173" s="1"/>
  <c r="F481" i="173"/>
  <c r="H481" i="173" s="1"/>
  <c r="F485" i="173"/>
  <c r="H485" i="173" s="1"/>
  <c r="F489" i="173"/>
  <c r="H489" i="173" s="1"/>
  <c r="F493" i="173"/>
  <c r="H493" i="173" s="1"/>
  <c r="F497" i="173"/>
  <c r="H497" i="173" s="1"/>
  <c r="F501" i="173"/>
  <c r="H501" i="173" s="1"/>
  <c r="F505" i="173"/>
  <c r="H505" i="173" s="1"/>
  <c r="F509" i="173"/>
  <c r="H509" i="173" s="1"/>
  <c r="F513" i="173"/>
  <c r="H513" i="173" s="1"/>
  <c r="F517" i="173"/>
  <c r="H517" i="173" s="1"/>
  <c r="F521" i="173"/>
  <c r="H521" i="173" s="1"/>
  <c r="F525" i="173"/>
  <c r="H525" i="173" s="1"/>
  <c r="F529" i="173"/>
  <c r="H529" i="173" s="1"/>
  <c r="F533" i="173"/>
  <c r="H533" i="173" s="1"/>
  <c r="F537" i="173"/>
  <c r="H537" i="173" s="1"/>
  <c r="F541" i="173"/>
  <c r="H541" i="173" s="1"/>
  <c r="F545" i="173"/>
  <c r="H545" i="173" s="1"/>
  <c r="F549" i="173"/>
  <c r="H549" i="173" s="1"/>
  <c r="F553" i="173"/>
  <c r="H553" i="173" s="1"/>
  <c r="F557" i="173"/>
  <c r="H557" i="173" s="1"/>
  <c r="F561" i="173"/>
  <c r="H561" i="173" s="1"/>
  <c r="F564" i="173"/>
  <c r="H564" i="173" s="1"/>
  <c r="F566" i="173"/>
  <c r="H566" i="173" s="1"/>
  <c r="F570" i="173"/>
  <c r="H570" i="173" s="1"/>
  <c r="F574" i="173"/>
  <c r="H574" i="173" s="1"/>
  <c r="F398" i="173"/>
  <c r="H398" i="173" s="1"/>
  <c r="F407" i="173"/>
  <c r="H407" i="173" s="1"/>
  <c r="F409" i="173"/>
  <c r="H409" i="173" s="1"/>
  <c r="F412" i="173"/>
  <c r="H412" i="173" s="1"/>
  <c r="F418" i="173"/>
  <c r="H418" i="173" s="1"/>
  <c r="F424" i="173"/>
  <c r="H424" i="173" s="1"/>
  <c r="F430" i="173"/>
  <c r="H430" i="173" s="1"/>
  <c r="F433" i="173"/>
  <c r="H433" i="173" s="1"/>
  <c r="F436" i="173"/>
  <c r="H436" i="173" s="1"/>
  <c r="F443" i="173"/>
  <c r="H443" i="173" s="1"/>
  <c r="F445" i="173"/>
  <c r="H445" i="173" s="1"/>
  <c r="F448" i="173"/>
  <c r="H448" i="173" s="1"/>
  <c r="F455" i="173"/>
  <c r="H455" i="173" s="1"/>
  <c r="F457" i="173"/>
  <c r="H457" i="173" s="1"/>
  <c r="F467" i="173"/>
  <c r="H467" i="173" s="1"/>
  <c r="F470" i="173"/>
  <c r="H470" i="173" s="1"/>
  <c r="F478" i="173"/>
  <c r="H478" i="173" s="1"/>
  <c r="F486" i="173"/>
  <c r="H486" i="173" s="1"/>
  <c r="F494" i="173"/>
  <c r="H494" i="173" s="1"/>
  <c r="F502" i="173"/>
  <c r="H502" i="173" s="1"/>
  <c r="F510" i="173"/>
  <c r="H510" i="173" s="1"/>
  <c r="F518" i="173"/>
  <c r="H518" i="173" s="1"/>
  <c r="F526" i="173"/>
  <c r="H526" i="173" s="1"/>
  <c r="F534" i="173"/>
  <c r="H534" i="173" s="1"/>
  <c r="F542" i="173"/>
  <c r="H542" i="173" s="1"/>
  <c r="F550" i="173"/>
  <c r="H550" i="173" s="1"/>
  <c r="F558" i="173"/>
  <c r="H558" i="173" s="1"/>
  <c r="F576" i="173"/>
  <c r="H576" i="173" s="1"/>
  <c r="F399" i="173"/>
  <c r="H399" i="173" s="1"/>
  <c r="F404" i="173"/>
  <c r="H404" i="173" s="1"/>
  <c r="F410" i="173"/>
  <c r="H410" i="173" s="1"/>
  <c r="F413" i="173"/>
  <c r="H413" i="173" s="1"/>
  <c r="F416" i="173"/>
  <c r="H416" i="173" s="1"/>
  <c r="F419" i="173"/>
  <c r="H419" i="173" s="1"/>
  <c r="F422" i="173"/>
  <c r="H422" i="173" s="1"/>
  <c r="F434" i="173"/>
  <c r="H434" i="173" s="1"/>
  <c r="F440" i="173"/>
  <c r="H440" i="173" s="1"/>
  <c r="F446" i="173"/>
  <c r="H446" i="173" s="1"/>
  <c r="F449" i="173"/>
  <c r="H449" i="173" s="1"/>
  <c r="F452" i="173"/>
  <c r="H452" i="173" s="1"/>
  <c r="F459" i="173"/>
  <c r="H459" i="173" s="1"/>
  <c r="F461" i="173"/>
  <c r="H461" i="173" s="1"/>
  <c r="F464" i="173"/>
  <c r="H464" i="173" s="1"/>
  <c r="F471" i="173"/>
  <c r="H471" i="173" s="1"/>
  <c r="F476" i="173"/>
  <c r="H476" i="173" s="1"/>
  <c r="F479" i="173"/>
  <c r="H479" i="173" s="1"/>
  <c r="F402" i="173"/>
  <c r="H402" i="173" s="1"/>
  <c r="F414" i="173"/>
  <c r="H414" i="173" s="1"/>
  <c r="F423" i="173"/>
  <c r="H423" i="173" s="1"/>
  <c r="F425" i="173"/>
  <c r="H425" i="173" s="1"/>
  <c r="F435" i="173"/>
  <c r="H435" i="173" s="1"/>
  <c r="F438" i="173"/>
  <c r="H438" i="173" s="1"/>
  <c r="F450" i="173"/>
  <c r="H450" i="173" s="1"/>
  <c r="F456" i="173"/>
  <c r="H456" i="173" s="1"/>
  <c r="F462" i="173"/>
  <c r="H462" i="173" s="1"/>
  <c r="F465" i="173"/>
  <c r="H465" i="173" s="1"/>
  <c r="F468" i="173"/>
  <c r="H468" i="173" s="1"/>
  <c r="F474" i="173"/>
  <c r="H474" i="173" s="1"/>
  <c r="F482" i="173"/>
  <c r="H482" i="173" s="1"/>
  <c r="F490" i="173"/>
  <c r="H490" i="173" s="1"/>
  <c r="F498" i="173"/>
  <c r="H498" i="173" s="1"/>
  <c r="F506" i="173"/>
  <c r="H506" i="173" s="1"/>
  <c r="F514" i="173"/>
  <c r="H514" i="173" s="1"/>
  <c r="F522" i="173"/>
  <c r="H522" i="173" s="1"/>
  <c r="F530" i="173"/>
  <c r="H530" i="173" s="1"/>
  <c r="F538" i="173"/>
  <c r="H538" i="173" s="1"/>
  <c r="F546" i="173"/>
  <c r="H546" i="173" s="1"/>
  <c r="F554" i="173"/>
  <c r="H554" i="173" s="1"/>
  <c r="F562" i="173"/>
  <c r="H562" i="173" s="1"/>
  <c r="F577" i="173"/>
  <c r="H577" i="173" s="1"/>
  <c r="F581" i="173"/>
  <c r="H581" i="173" s="1"/>
  <c r="F585" i="173"/>
  <c r="H585" i="173" s="1"/>
  <c r="F589" i="173"/>
  <c r="H589" i="173" s="1"/>
  <c r="F593" i="173"/>
  <c r="H593" i="173" s="1"/>
  <c r="F597" i="173"/>
  <c r="H597" i="173" s="1"/>
  <c r="F601" i="173"/>
  <c r="H601" i="173" s="1"/>
  <c r="F605" i="173"/>
  <c r="H605" i="173" s="1"/>
  <c r="F609" i="173"/>
  <c r="H609" i="173" s="1"/>
  <c r="F613" i="173"/>
  <c r="H613" i="173" s="1"/>
  <c r="F617" i="173"/>
  <c r="H617" i="173" s="1"/>
  <c r="F400" i="173"/>
  <c r="H400" i="173" s="1"/>
  <c r="F472" i="173"/>
  <c r="H472" i="173" s="1"/>
  <c r="F487" i="173"/>
  <c r="H487" i="173" s="1"/>
  <c r="F492" i="173"/>
  <c r="H492" i="173" s="1"/>
  <c r="F503" i="173"/>
  <c r="H503" i="173" s="1"/>
  <c r="F508" i="173"/>
  <c r="H508" i="173" s="1"/>
  <c r="F519" i="173"/>
  <c r="H519" i="173" s="1"/>
  <c r="F524" i="173"/>
  <c r="H524" i="173" s="1"/>
  <c r="F535" i="173"/>
  <c r="H535" i="173" s="1"/>
  <c r="F540" i="173"/>
  <c r="H540" i="173" s="1"/>
  <c r="F551" i="173"/>
  <c r="H551" i="173" s="1"/>
  <c r="F556" i="173"/>
  <c r="H556" i="173" s="1"/>
  <c r="F567" i="173"/>
  <c r="H567" i="173" s="1"/>
  <c r="F572" i="173"/>
  <c r="H572" i="173" s="1"/>
  <c r="F621" i="173"/>
  <c r="H621" i="173" s="1"/>
  <c r="F625" i="173"/>
  <c r="H625" i="173" s="1"/>
  <c r="F629" i="173"/>
  <c r="H629" i="173" s="1"/>
  <c r="F633" i="173"/>
  <c r="H633" i="173" s="1"/>
  <c r="F637" i="173"/>
  <c r="H637" i="173" s="1"/>
  <c r="F641" i="173"/>
  <c r="H641" i="173" s="1"/>
  <c r="F645" i="173"/>
  <c r="H645" i="173" s="1"/>
  <c r="F649" i="173"/>
  <c r="H649" i="173" s="1"/>
  <c r="F653" i="173"/>
  <c r="H653" i="173" s="1"/>
  <c r="F657" i="173"/>
  <c r="H657" i="173" s="1"/>
  <c r="F662" i="173"/>
  <c r="H662" i="173" s="1"/>
  <c r="F664" i="173"/>
  <c r="H664" i="173" s="1"/>
  <c r="F667" i="173"/>
  <c r="H667" i="173" s="1"/>
  <c r="F673" i="173"/>
  <c r="H673" i="173" s="1"/>
  <c r="F678" i="173"/>
  <c r="H678" i="173" s="1"/>
  <c r="F680" i="173"/>
  <c r="H680" i="173" s="1"/>
  <c r="F683" i="173"/>
  <c r="H683" i="173" s="1"/>
  <c r="F689" i="173"/>
  <c r="H689" i="173" s="1"/>
  <c r="F694" i="173"/>
  <c r="H694" i="173" s="1"/>
  <c r="F696" i="173"/>
  <c r="H696" i="173" s="1"/>
  <c r="F699" i="173"/>
  <c r="H699" i="173" s="1"/>
  <c r="F705" i="173"/>
  <c r="H705" i="173" s="1"/>
  <c r="F710" i="173"/>
  <c r="H710" i="173" s="1"/>
  <c r="F712" i="173"/>
  <c r="H712" i="173" s="1"/>
  <c r="F714" i="173"/>
  <c r="H714" i="173" s="1"/>
  <c r="F718" i="173"/>
  <c r="H718" i="173" s="1"/>
  <c r="F722" i="173"/>
  <c r="H722" i="173" s="1"/>
  <c r="F726" i="173"/>
  <c r="H726" i="173" s="1"/>
  <c r="F730" i="173"/>
  <c r="H730" i="173" s="1"/>
  <c r="F734" i="173"/>
  <c r="H734" i="173" s="1"/>
  <c r="F738" i="173"/>
  <c r="H738" i="173" s="1"/>
  <c r="F742" i="173"/>
  <c r="H742" i="173" s="1"/>
  <c r="F746" i="173"/>
  <c r="H746" i="173" s="1"/>
  <c r="F750" i="173"/>
  <c r="H750" i="173" s="1"/>
  <c r="F754" i="173"/>
  <c r="H754" i="173" s="1"/>
  <c r="F403" i="173"/>
  <c r="H403" i="173" s="1"/>
  <c r="F415" i="173"/>
  <c r="H415" i="173" s="1"/>
  <c r="F427" i="173"/>
  <c r="H427" i="173" s="1"/>
  <c r="F439" i="173"/>
  <c r="H439" i="173" s="1"/>
  <c r="F451" i="173"/>
  <c r="H451" i="173" s="1"/>
  <c r="F475" i="173"/>
  <c r="H475" i="173" s="1"/>
  <c r="F483" i="173"/>
  <c r="H483" i="173" s="1"/>
  <c r="F488" i="173"/>
  <c r="H488" i="173" s="1"/>
  <c r="F499" i="173"/>
  <c r="H499" i="173" s="1"/>
  <c r="F504" i="173"/>
  <c r="H504" i="173" s="1"/>
  <c r="F515" i="173"/>
  <c r="H515" i="173" s="1"/>
  <c r="F520" i="173"/>
  <c r="H520" i="173" s="1"/>
  <c r="F531" i="173"/>
  <c r="H531" i="173" s="1"/>
  <c r="F536" i="173"/>
  <c r="H536" i="173" s="1"/>
  <c r="F547" i="173"/>
  <c r="H547" i="173" s="1"/>
  <c r="F552" i="173"/>
  <c r="H552" i="173" s="1"/>
  <c r="F563" i="173"/>
  <c r="H563" i="173" s="1"/>
  <c r="F568" i="173"/>
  <c r="H568" i="173" s="1"/>
  <c r="F573" i="173"/>
  <c r="H573" i="173" s="1"/>
  <c r="F578" i="173"/>
  <c r="H578" i="173" s="1"/>
  <c r="F580" i="173"/>
  <c r="H580" i="173" s="1"/>
  <c r="F583" i="173"/>
  <c r="H583" i="173" s="1"/>
  <c r="F586" i="173"/>
  <c r="H586" i="173" s="1"/>
  <c r="F588" i="173"/>
  <c r="H588" i="173" s="1"/>
  <c r="F591" i="173"/>
  <c r="H591" i="173" s="1"/>
  <c r="F594" i="173"/>
  <c r="H594" i="173" s="1"/>
  <c r="F596" i="173"/>
  <c r="H596" i="173" s="1"/>
  <c r="F599" i="173"/>
  <c r="H599" i="173" s="1"/>
  <c r="F602" i="173"/>
  <c r="H602" i="173" s="1"/>
  <c r="F604" i="173"/>
  <c r="H604" i="173" s="1"/>
  <c r="F607" i="173"/>
  <c r="H607" i="173" s="1"/>
  <c r="F610" i="173"/>
  <c r="H610" i="173" s="1"/>
  <c r="F612" i="173"/>
  <c r="H612" i="173" s="1"/>
  <c r="F615" i="173"/>
  <c r="H615" i="173" s="1"/>
  <c r="F618" i="173"/>
  <c r="H618" i="173" s="1"/>
  <c r="F622" i="173"/>
  <c r="H622" i="173" s="1"/>
  <c r="F626" i="173"/>
  <c r="H626" i="173" s="1"/>
  <c r="F630" i="173"/>
  <c r="H630" i="173" s="1"/>
  <c r="F634" i="173"/>
  <c r="H634" i="173" s="1"/>
  <c r="F638" i="173"/>
  <c r="H638" i="173" s="1"/>
  <c r="F642" i="173"/>
  <c r="H642" i="173" s="1"/>
  <c r="F646" i="173"/>
  <c r="H646" i="173" s="1"/>
  <c r="F650" i="173"/>
  <c r="H650" i="173" s="1"/>
  <c r="F654" i="173"/>
  <c r="H654" i="173" s="1"/>
  <c r="F658" i="173"/>
  <c r="H658" i="173" s="1"/>
  <c r="F660" i="173"/>
  <c r="H660" i="173" s="1"/>
  <c r="F663" i="173"/>
  <c r="H663" i="173" s="1"/>
  <c r="F669" i="173"/>
  <c r="H669" i="173" s="1"/>
  <c r="F674" i="173"/>
  <c r="H674" i="173" s="1"/>
  <c r="F676" i="173"/>
  <c r="H676" i="173" s="1"/>
  <c r="F679" i="173"/>
  <c r="H679" i="173" s="1"/>
  <c r="F685" i="173"/>
  <c r="H685" i="173" s="1"/>
  <c r="F690" i="173"/>
  <c r="H690" i="173" s="1"/>
  <c r="F692" i="173"/>
  <c r="H692" i="173" s="1"/>
  <c r="F695" i="173"/>
  <c r="H695" i="173" s="1"/>
  <c r="F701" i="173"/>
  <c r="H701" i="173" s="1"/>
  <c r="F706" i="173"/>
  <c r="H706" i="173" s="1"/>
  <c r="F708" i="173"/>
  <c r="H708" i="173" s="1"/>
  <c r="F711" i="173"/>
  <c r="H711" i="173" s="1"/>
  <c r="F405" i="173"/>
  <c r="H405" i="173" s="1"/>
  <c r="F417" i="173"/>
  <c r="H417" i="173" s="1"/>
  <c r="F429" i="173"/>
  <c r="H429" i="173" s="1"/>
  <c r="F441" i="173"/>
  <c r="H441" i="173" s="1"/>
  <c r="F454" i="173"/>
  <c r="H454" i="173" s="1"/>
  <c r="F466" i="173"/>
  <c r="H466" i="173" s="1"/>
  <c r="F484" i="173"/>
  <c r="H484" i="173" s="1"/>
  <c r="F495" i="173"/>
  <c r="H495" i="173" s="1"/>
  <c r="F500" i="173"/>
  <c r="H500" i="173" s="1"/>
  <c r="F511" i="173"/>
  <c r="H511" i="173" s="1"/>
  <c r="F516" i="173"/>
  <c r="H516" i="173" s="1"/>
  <c r="F527" i="173"/>
  <c r="H527" i="173" s="1"/>
  <c r="F532" i="173"/>
  <c r="H532" i="173" s="1"/>
  <c r="F543" i="173"/>
  <c r="H543" i="173" s="1"/>
  <c r="F548" i="173"/>
  <c r="H548" i="173" s="1"/>
  <c r="F559" i="173"/>
  <c r="H559" i="173" s="1"/>
  <c r="F569" i="173"/>
  <c r="H569" i="173" s="1"/>
  <c r="F575" i="173"/>
  <c r="H575" i="173" s="1"/>
  <c r="F620" i="173"/>
  <c r="H620" i="173" s="1"/>
  <c r="F624" i="173"/>
  <c r="H624" i="173" s="1"/>
  <c r="F628" i="173"/>
  <c r="H628" i="173" s="1"/>
  <c r="F632" i="173"/>
  <c r="H632" i="173" s="1"/>
  <c r="F636" i="173"/>
  <c r="H636" i="173" s="1"/>
  <c r="F640" i="173"/>
  <c r="H640" i="173" s="1"/>
  <c r="F644" i="173"/>
  <c r="H644" i="173" s="1"/>
  <c r="F648" i="173"/>
  <c r="H648" i="173" s="1"/>
  <c r="F652" i="173"/>
  <c r="H652" i="173" s="1"/>
  <c r="F656" i="173"/>
  <c r="H656" i="173" s="1"/>
  <c r="F659" i="173"/>
  <c r="H659" i="173" s="1"/>
  <c r="F665" i="173"/>
  <c r="H665" i="173" s="1"/>
  <c r="F670" i="173"/>
  <c r="H670" i="173" s="1"/>
  <c r="F672" i="173"/>
  <c r="H672" i="173" s="1"/>
  <c r="F675" i="173"/>
  <c r="H675" i="173" s="1"/>
  <c r="F681" i="173"/>
  <c r="H681" i="173" s="1"/>
  <c r="F686" i="173"/>
  <c r="H686" i="173" s="1"/>
  <c r="F688" i="173"/>
  <c r="H688" i="173" s="1"/>
  <c r="F691" i="173"/>
  <c r="H691" i="173" s="1"/>
  <c r="F697" i="173"/>
  <c r="H697" i="173" s="1"/>
  <c r="F702" i="173"/>
  <c r="H702" i="173" s="1"/>
  <c r="F704" i="173"/>
  <c r="H704" i="173" s="1"/>
  <c r="F707" i="173"/>
  <c r="H707" i="173" s="1"/>
  <c r="F713" i="173"/>
  <c r="H713" i="173" s="1"/>
  <c r="F715" i="173"/>
  <c r="H715" i="173" s="1"/>
  <c r="F719" i="173"/>
  <c r="H719" i="173" s="1"/>
  <c r="F721" i="173"/>
  <c r="H721" i="173" s="1"/>
  <c r="F723" i="173"/>
  <c r="H723" i="173" s="1"/>
  <c r="F727" i="173"/>
  <c r="H727" i="173" s="1"/>
  <c r="F729" i="173"/>
  <c r="H729" i="173" s="1"/>
  <c r="F733" i="173"/>
  <c r="H733" i="173" s="1"/>
  <c r="F737" i="173"/>
  <c r="H737" i="173" s="1"/>
  <c r="F741" i="173"/>
  <c r="H741" i="173" s="1"/>
  <c r="F745" i="173"/>
  <c r="H745" i="173" s="1"/>
  <c r="F749" i="173"/>
  <c r="H749" i="173" s="1"/>
  <c r="F753" i="173"/>
  <c r="H753" i="173" s="1"/>
  <c r="F757" i="173"/>
  <c r="H757" i="173" s="1"/>
  <c r="F759" i="173"/>
  <c r="H759" i="173" s="1"/>
  <c r="F491" i="173"/>
  <c r="H491" i="173" s="1"/>
  <c r="F512" i="173"/>
  <c r="H512" i="173" s="1"/>
  <c r="F555" i="173"/>
  <c r="H555" i="173" s="1"/>
  <c r="F587" i="173"/>
  <c r="H587" i="173" s="1"/>
  <c r="F598" i="173"/>
  <c r="H598" i="173" s="1"/>
  <c r="F608" i="173"/>
  <c r="H608" i="173" s="1"/>
  <c r="F619" i="173"/>
  <c r="H619" i="173" s="1"/>
  <c r="F627" i="173"/>
  <c r="H627" i="173" s="1"/>
  <c r="F635" i="173"/>
  <c r="H635" i="173" s="1"/>
  <c r="F643" i="173"/>
  <c r="H643" i="173" s="1"/>
  <c r="F651" i="173"/>
  <c r="H651" i="173" s="1"/>
  <c r="F668" i="173"/>
  <c r="H668" i="173" s="1"/>
  <c r="F677" i="173"/>
  <c r="H677" i="173" s="1"/>
  <c r="F687" i="173"/>
  <c r="H687" i="173" s="1"/>
  <c r="F717" i="173"/>
  <c r="H717" i="173" s="1"/>
  <c r="F725" i="173"/>
  <c r="H725" i="173" s="1"/>
  <c r="F758" i="173"/>
  <c r="H758" i="173" s="1"/>
  <c r="F748" i="173"/>
  <c r="H748" i="173" s="1"/>
  <c r="F396" i="173"/>
  <c r="H396" i="173" s="1"/>
  <c r="F420" i="173"/>
  <c r="H420" i="173" s="1"/>
  <c r="F496" i="173"/>
  <c r="H496" i="173" s="1"/>
  <c r="F539" i="173"/>
  <c r="H539" i="173" s="1"/>
  <c r="F560" i="173"/>
  <c r="H560" i="173" s="1"/>
  <c r="F579" i="173"/>
  <c r="H579" i="173" s="1"/>
  <c r="F590" i="173"/>
  <c r="H590" i="173" s="1"/>
  <c r="F600" i="173"/>
  <c r="H600" i="173" s="1"/>
  <c r="F611" i="173"/>
  <c r="H611" i="173" s="1"/>
  <c r="F661" i="173"/>
  <c r="H661" i="173" s="1"/>
  <c r="F671" i="173"/>
  <c r="H671" i="173" s="1"/>
  <c r="F698" i="173"/>
  <c r="H698" i="173" s="1"/>
  <c r="F432" i="173"/>
  <c r="H432" i="173" s="1"/>
  <c r="F480" i="173"/>
  <c r="H480" i="173" s="1"/>
  <c r="F523" i="173"/>
  <c r="H523" i="173" s="1"/>
  <c r="F544" i="173"/>
  <c r="H544" i="173" s="1"/>
  <c r="F565" i="173"/>
  <c r="H565" i="173" s="1"/>
  <c r="F582" i="173"/>
  <c r="H582" i="173" s="1"/>
  <c r="F592" i="173"/>
  <c r="H592" i="173" s="1"/>
  <c r="F603" i="173"/>
  <c r="H603" i="173" s="1"/>
  <c r="F614" i="173"/>
  <c r="H614" i="173" s="1"/>
  <c r="F623" i="173"/>
  <c r="H623" i="173" s="1"/>
  <c r="F631" i="173"/>
  <c r="H631" i="173" s="1"/>
  <c r="F639" i="173"/>
  <c r="H639" i="173" s="1"/>
  <c r="F647" i="173"/>
  <c r="H647" i="173" s="1"/>
  <c r="F655" i="173"/>
  <c r="H655" i="173" s="1"/>
  <c r="F682" i="173"/>
  <c r="H682" i="173" s="1"/>
  <c r="F700" i="173"/>
  <c r="H700" i="173" s="1"/>
  <c r="F709" i="173"/>
  <c r="H709" i="173" s="1"/>
  <c r="F731" i="173"/>
  <c r="H731" i="173" s="1"/>
  <c r="F735" i="173"/>
  <c r="H735" i="173" s="1"/>
  <c r="F739" i="173"/>
  <c r="H739" i="173" s="1"/>
  <c r="F743" i="173"/>
  <c r="H743" i="173" s="1"/>
  <c r="F747" i="173"/>
  <c r="H747" i="173" s="1"/>
  <c r="F751" i="173"/>
  <c r="H751" i="173" s="1"/>
  <c r="F755" i="173"/>
  <c r="H755" i="173" s="1"/>
  <c r="F507" i="173"/>
  <c r="H507" i="173" s="1"/>
  <c r="F528" i="173"/>
  <c r="H528" i="173" s="1"/>
  <c r="F571" i="173"/>
  <c r="H571" i="173" s="1"/>
  <c r="F584" i="173"/>
  <c r="H584" i="173" s="1"/>
  <c r="F595" i="173"/>
  <c r="H595" i="173" s="1"/>
  <c r="F606" i="173"/>
  <c r="H606" i="173" s="1"/>
  <c r="F616" i="173"/>
  <c r="H616" i="173" s="1"/>
  <c r="F666" i="173"/>
  <c r="H666" i="173" s="1"/>
  <c r="F684" i="173"/>
  <c r="H684" i="173" s="1"/>
  <c r="F693" i="173"/>
  <c r="H693" i="173" s="1"/>
  <c r="F703" i="173"/>
  <c r="H703" i="173" s="1"/>
  <c r="F716" i="173"/>
  <c r="H716" i="173" s="1"/>
  <c r="F720" i="173"/>
  <c r="H720" i="173" s="1"/>
  <c r="F724" i="173"/>
  <c r="H724" i="173" s="1"/>
  <c r="F728" i="173"/>
  <c r="H728" i="173" s="1"/>
  <c r="F732" i="173"/>
  <c r="H732" i="173" s="1"/>
  <c r="F736" i="173"/>
  <c r="H736" i="173" s="1"/>
  <c r="F740" i="173"/>
  <c r="H740" i="173" s="1"/>
  <c r="F744" i="173"/>
  <c r="H744" i="173" s="1"/>
  <c r="F752" i="173"/>
  <c r="H752" i="173" s="1"/>
  <c r="F756" i="173"/>
  <c r="H756" i="173" s="1"/>
  <c r="F12" i="173"/>
  <c r="H561" i="163" l="1"/>
  <c r="H427" i="163"/>
  <c r="H446" i="163"/>
  <c r="H423" i="163"/>
  <c r="H537" i="163"/>
  <c r="H422" i="163"/>
  <c r="H677" i="163"/>
  <c r="H444" i="163"/>
  <c r="H579" i="163"/>
  <c r="H421" i="163"/>
  <c r="H469" i="163"/>
  <c r="H533" i="163"/>
  <c r="H605" i="163"/>
  <c r="H400" i="163"/>
  <c r="H456" i="163"/>
  <c r="H520" i="163"/>
  <c r="H577" i="163"/>
  <c r="H709" i="163"/>
  <c r="H463" i="163"/>
  <c r="H495" i="163"/>
  <c r="H527" i="163"/>
  <c r="H559" i="163"/>
  <c r="H599" i="163"/>
  <c r="H650" i="163"/>
  <c r="H450" i="163"/>
  <c r="H482" i="163"/>
  <c r="H514" i="163"/>
  <c r="H546" i="163"/>
  <c r="H585" i="163"/>
  <c r="H626" i="163"/>
  <c r="H700" i="163"/>
  <c r="H629" i="163"/>
  <c r="H665" i="163"/>
  <c r="H706" i="163"/>
  <c r="H752" i="163"/>
  <c r="H600" i="163"/>
  <c r="H632" i="163"/>
  <c r="H669" i="163"/>
  <c r="H710" i="163"/>
  <c r="H756" i="163"/>
  <c r="H675" i="163"/>
  <c r="H707" i="163"/>
  <c r="H739" i="163"/>
  <c r="H582" i="163"/>
  <c r="H411" i="163"/>
  <c r="H476" i="163"/>
  <c r="H431" i="163"/>
  <c r="H553" i="163"/>
  <c r="H611" i="163"/>
  <c r="H426" i="163"/>
  <c r="H516" i="163"/>
  <c r="H409" i="163"/>
  <c r="H448" i="163"/>
  <c r="H541" i="163"/>
  <c r="H635" i="163"/>
  <c r="H404" i="163"/>
  <c r="H436" i="163"/>
  <c r="H496" i="163"/>
  <c r="H595" i="163"/>
  <c r="H716" i="163"/>
  <c r="H467" i="163"/>
  <c r="H499" i="163"/>
  <c r="H547" i="163"/>
  <c r="H583" i="163"/>
  <c r="H631" i="163"/>
  <c r="H696" i="163"/>
  <c r="H454" i="163"/>
  <c r="H486" i="163"/>
  <c r="H518" i="163"/>
  <c r="H569" i="163"/>
  <c r="H610" i="163"/>
  <c r="H668" i="163"/>
  <c r="H757" i="163"/>
  <c r="H649" i="163"/>
  <c r="H713" i="163"/>
  <c r="H754" i="163"/>
  <c r="H588" i="163"/>
  <c r="H653" i="163"/>
  <c r="H759" i="163"/>
  <c r="H403" i="163"/>
  <c r="H705" i="163"/>
  <c r="H419" i="163"/>
  <c r="H627" i="163"/>
  <c r="H465" i="163"/>
  <c r="H414" i="163"/>
  <c r="H508" i="163"/>
  <c r="H407" i="163"/>
  <c r="H440" i="163"/>
  <c r="H505" i="163"/>
  <c r="H607" i="163"/>
  <c r="H712" i="163"/>
  <c r="H492" i="163"/>
  <c r="H618" i="163"/>
  <c r="H402" i="163"/>
  <c r="H434" i="163"/>
  <c r="H468" i="163"/>
  <c r="H532" i="163"/>
  <c r="H593" i="163"/>
  <c r="H741" i="163"/>
  <c r="H413" i="163"/>
  <c r="H429" i="163"/>
  <c r="H453" i="163"/>
  <c r="H485" i="163"/>
  <c r="H517" i="163"/>
  <c r="H549" i="163"/>
  <c r="H591" i="163"/>
  <c r="H666" i="163"/>
  <c r="H737" i="163"/>
  <c r="H408" i="163"/>
  <c r="H424" i="163"/>
  <c r="H438" i="163"/>
  <c r="H472" i="163"/>
  <c r="H504" i="163"/>
  <c r="H536" i="163"/>
  <c r="H563" i="163"/>
  <c r="H602" i="163"/>
  <c r="H652" i="163"/>
  <c r="H439" i="163"/>
  <c r="H455" i="163"/>
  <c r="H471" i="163"/>
  <c r="H487" i="163"/>
  <c r="H503" i="163"/>
  <c r="H519" i="163"/>
  <c r="H535" i="163"/>
  <c r="H551" i="163"/>
  <c r="H567" i="163"/>
  <c r="H590" i="163"/>
  <c r="H613" i="163"/>
  <c r="H639" i="163"/>
  <c r="H664" i="163"/>
  <c r="H714" i="163"/>
  <c r="H753" i="163"/>
  <c r="H458" i="163"/>
  <c r="H474" i="163"/>
  <c r="H490" i="163"/>
  <c r="H506" i="163"/>
  <c r="H522" i="163"/>
  <c r="H538" i="163"/>
  <c r="H554" i="163"/>
  <c r="H571" i="163"/>
  <c r="H594" i="163"/>
  <c r="H617" i="163"/>
  <c r="H642" i="163"/>
  <c r="H686" i="163"/>
  <c r="H725" i="163"/>
  <c r="H621" i="163"/>
  <c r="H637" i="163"/>
  <c r="H656" i="163"/>
  <c r="H674" i="163"/>
  <c r="H697" i="163"/>
  <c r="H720" i="163"/>
  <c r="H738" i="163"/>
  <c r="H761" i="163"/>
  <c r="H576" i="163"/>
  <c r="H592" i="163"/>
  <c r="H608" i="163"/>
  <c r="H624" i="163"/>
  <c r="H640" i="163"/>
  <c r="H660" i="163"/>
  <c r="H678" i="163"/>
  <c r="H701" i="163"/>
  <c r="H724" i="163"/>
  <c r="H742" i="163"/>
  <c r="H651" i="163"/>
  <c r="H667" i="163"/>
  <c r="H683" i="163"/>
  <c r="H699" i="163"/>
  <c r="H715" i="163"/>
  <c r="H731" i="163"/>
  <c r="H747" i="163"/>
  <c r="H513" i="163"/>
  <c r="H481" i="163"/>
  <c r="H575" i="163"/>
  <c r="H748" i="163"/>
  <c r="H473" i="163"/>
  <c r="H643" i="163"/>
  <c r="H556" i="163"/>
  <c r="H418" i="163"/>
  <c r="H500" i="163"/>
  <c r="H670" i="163"/>
  <c r="H405" i="163"/>
  <c r="H441" i="163"/>
  <c r="H501" i="163"/>
  <c r="H566" i="163"/>
  <c r="H680" i="163"/>
  <c r="H416" i="163"/>
  <c r="H432" i="163"/>
  <c r="H488" i="163"/>
  <c r="H552" i="163"/>
  <c r="H630" i="163"/>
  <c r="H447" i="163"/>
  <c r="H479" i="163"/>
  <c r="H511" i="163"/>
  <c r="H543" i="163"/>
  <c r="H581" i="163"/>
  <c r="H623" i="163"/>
  <c r="H689" i="163"/>
  <c r="H728" i="163"/>
  <c r="H466" i="163"/>
  <c r="H498" i="163"/>
  <c r="H530" i="163"/>
  <c r="H562" i="163"/>
  <c r="H603" i="163"/>
  <c r="H661" i="163"/>
  <c r="H750" i="163"/>
  <c r="H645" i="163"/>
  <c r="H688" i="163"/>
  <c r="H729" i="163"/>
  <c r="H568" i="163"/>
  <c r="H584" i="163"/>
  <c r="H616" i="163"/>
  <c r="H648" i="163"/>
  <c r="H692" i="163"/>
  <c r="H733" i="163"/>
  <c r="H659" i="163"/>
  <c r="H691" i="163"/>
  <c r="H723" i="163"/>
  <c r="H755" i="163"/>
  <c r="H589" i="163"/>
  <c r="H545" i="163"/>
  <c r="D394" i="163"/>
  <c r="H398" i="163"/>
  <c r="H399" i="163"/>
  <c r="H489" i="163"/>
  <c r="H698" i="163"/>
  <c r="H460" i="163"/>
  <c r="H734" i="163"/>
  <c r="H452" i="163"/>
  <c r="H586" i="163"/>
  <c r="H684" i="163"/>
  <c r="H425" i="163"/>
  <c r="H477" i="163"/>
  <c r="H509" i="163"/>
  <c r="H573" i="163"/>
  <c r="H730" i="163"/>
  <c r="H420" i="163"/>
  <c r="H464" i="163"/>
  <c r="H528" i="163"/>
  <c r="H560" i="163"/>
  <c r="H646" i="163"/>
  <c r="H451" i="163"/>
  <c r="H483" i="163"/>
  <c r="H515" i="163"/>
  <c r="H531" i="163"/>
  <c r="H565" i="163"/>
  <c r="H606" i="163"/>
  <c r="H657" i="163"/>
  <c r="H746" i="163"/>
  <c r="H470" i="163"/>
  <c r="H502" i="163"/>
  <c r="H534" i="163"/>
  <c r="H550" i="163"/>
  <c r="H587" i="163"/>
  <c r="H634" i="163"/>
  <c r="H718" i="163"/>
  <c r="H633" i="163"/>
  <c r="H672" i="163"/>
  <c r="H690" i="163"/>
  <c r="H736" i="163"/>
  <c r="H572" i="163"/>
  <c r="H604" i="163"/>
  <c r="H620" i="163"/>
  <c r="H636" i="163"/>
  <c r="H676" i="163"/>
  <c r="H694" i="163"/>
  <c r="H717" i="163"/>
  <c r="H740" i="163"/>
  <c r="H758" i="163"/>
  <c r="H663" i="163"/>
  <c r="H679" i="163"/>
  <c r="H695" i="163"/>
  <c r="H711" i="163"/>
  <c r="H727" i="163"/>
  <c r="H743" i="163"/>
  <c r="H449" i="163"/>
  <c r="H497" i="163"/>
  <c r="H442" i="163"/>
  <c r="H435" i="163"/>
  <c r="H529" i="163"/>
  <c r="H430" i="163"/>
  <c r="H540" i="163"/>
  <c r="H415" i="163"/>
  <c r="H457" i="163"/>
  <c r="H521" i="163"/>
  <c r="H614" i="163"/>
  <c r="H406" i="163"/>
  <c r="H524" i="163"/>
  <c r="H638" i="163"/>
  <c r="H410" i="163"/>
  <c r="H437" i="163"/>
  <c r="H484" i="163"/>
  <c r="H548" i="163"/>
  <c r="H622" i="163"/>
  <c r="H401" i="163"/>
  <c r="H417" i="163"/>
  <c r="H433" i="163"/>
  <c r="H461" i="163"/>
  <c r="H493" i="163"/>
  <c r="H525" i="163"/>
  <c r="H557" i="163"/>
  <c r="H598" i="163"/>
  <c r="H673" i="163"/>
  <c r="H744" i="163"/>
  <c r="H412" i="163"/>
  <c r="H428" i="163"/>
  <c r="H445" i="163"/>
  <c r="H480" i="163"/>
  <c r="H512" i="163"/>
  <c r="H544" i="163"/>
  <c r="H570" i="163"/>
  <c r="H609" i="163"/>
  <c r="H702" i="163"/>
  <c r="H443" i="163"/>
  <c r="H459" i="163"/>
  <c r="H475" i="163"/>
  <c r="H491" i="163"/>
  <c r="H507" i="163"/>
  <c r="H523" i="163"/>
  <c r="H539" i="163"/>
  <c r="H555" i="163"/>
  <c r="H574" i="163"/>
  <c r="H597" i="163"/>
  <c r="H615" i="163"/>
  <c r="H647" i="163"/>
  <c r="H682" i="163"/>
  <c r="H721" i="163"/>
  <c r="H760" i="163"/>
  <c r="H462" i="163"/>
  <c r="H478" i="163"/>
  <c r="H494" i="163"/>
  <c r="H510" i="163"/>
  <c r="H526" i="163"/>
  <c r="H542" i="163"/>
  <c r="H558" i="163"/>
  <c r="H578" i="163"/>
  <c r="H601" i="163"/>
  <c r="H619" i="163"/>
  <c r="H654" i="163"/>
  <c r="H693" i="163"/>
  <c r="H732" i="163"/>
  <c r="H625" i="163"/>
  <c r="H641" i="163"/>
  <c r="H658" i="163"/>
  <c r="H681" i="163"/>
  <c r="H704" i="163"/>
  <c r="H722" i="163"/>
  <c r="H745" i="163"/>
  <c r="H564" i="163"/>
  <c r="H580" i="163"/>
  <c r="H596" i="163"/>
  <c r="H612" i="163"/>
  <c r="H628" i="163"/>
  <c r="H644" i="163"/>
  <c r="H662" i="163"/>
  <c r="H685" i="163"/>
  <c r="H708" i="163"/>
  <c r="H726" i="163"/>
  <c r="H749" i="163"/>
  <c r="H655" i="163"/>
  <c r="H671" i="163"/>
  <c r="H687" i="163"/>
  <c r="H703" i="163"/>
  <c r="H719" i="163"/>
  <c r="H735" i="163"/>
  <c r="H751" i="163"/>
  <c r="D392" i="173"/>
  <c r="F392" i="173" l="1"/>
  <c r="H392" i="173"/>
  <c r="F394" i="163"/>
  <c r="H394" i="163"/>
  <c r="I9" i="174"/>
  <c r="E9" i="174"/>
  <c r="F9" i="174" s="1"/>
  <c r="C208" i="174" s="1"/>
  <c r="I389" i="176"/>
  <c r="G10" i="176"/>
  <c r="H10" i="176" s="1"/>
  <c r="E10" i="176"/>
  <c r="D10" i="176"/>
  <c r="E8" i="176"/>
  <c r="Q18" i="167"/>
  <c r="Q26" i="167"/>
  <c r="G43" i="95"/>
  <c r="H12" i="167"/>
  <c r="F197" i="153"/>
  <c r="E197" i="153"/>
  <c r="P14" i="167"/>
  <c r="P16" i="167"/>
  <c r="P18" i="167"/>
  <c r="P7" i="167"/>
  <c r="O8" i="167"/>
  <c r="O11" i="167"/>
  <c r="O12" i="167"/>
  <c r="O14" i="167"/>
  <c r="O16" i="167"/>
  <c r="O7" i="167"/>
  <c r="N8" i="167"/>
  <c r="N11" i="167"/>
  <c r="N12" i="167"/>
  <c r="N16" i="167"/>
  <c r="N7" i="167"/>
  <c r="W58" i="26" l="1"/>
  <c r="E58" i="26" s="1"/>
  <c r="H120" i="143"/>
  <c r="E120" i="143" s="1"/>
  <c r="E208" i="174"/>
  <c r="F19" i="174"/>
  <c r="F23" i="174"/>
  <c r="F27" i="174"/>
  <c r="F31" i="174"/>
  <c r="F35" i="174"/>
  <c r="F39" i="174"/>
  <c r="F43" i="174"/>
  <c r="F47" i="174"/>
  <c r="F51" i="174"/>
  <c r="F55" i="174"/>
  <c r="F59" i="174"/>
  <c r="F63" i="174"/>
  <c r="F67" i="174"/>
  <c r="F71" i="174"/>
  <c r="F75" i="174"/>
  <c r="F79" i="174"/>
  <c r="F83" i="174"/>
  <c r="F87" i="174"/>
  <c r="F91" i="174"/>
  <c r="F95" i="174"/>
  <c r="F99" i="174"/>
  <c r="F103" i="174"/>
  <c r="F107" i="174"/>
  <c r="F111" i="174"/>
  <c r="F115" i="174"/>
  <c r="F119" i="174"/>
  <c r="F123" i="174"/>
  <c r="F127" i="174"/>
  <c r="F131" i="174"/>
  <c r="F135" i="174"/>
  <c r="F139" i="174"/>
  <c r="F143" i="174"/>
  <c r="F147" i="174"/>
  <c r="F151" i="174"/>
  <c r="F155" i="174"/>
  <c r="F159" i="174"/>
  <c r="F163" i="174"/>
  <c r="F167" i="174"/>
  <c r="F171" i="174"/>
  <c r="F20" i="174"/>
  <c r="F24" i="174"/>
  <c r="F28" i="174"/>
  <c r="F32" i="174"/>
  <c r="F36" i="174"/>
  <c r="F40" i="174"/>
  <c r="F44" i="174"/>
  <c r="F48" i="174"/>
  <c r="F52" i="174"/>
  <c r="F56" i="174"/>
  <c r="F60" i="174"/>
  <c r="F64" i="174"/>
  <c r="F68" i="174"/>
  <c r="F72" i="174"/>
  <c r="F76" i="174"/>
  <c r="F80" i="174"/>
  <c r="F84" i="174"/>
  <c r="F88" i="174"/>
  <c r="F92" i="174"/>
  <c r="F96" i="174"/>
  <c r="F100" i="174"/>
  <c r="F104" i="174"/>
  <c r="F108" i="174"/>
  <c r="F112" i="174"/>
  <c r="F116" i="174"/>
  <c r="F120" i="174"/>
  <c r="F124" i="174"/>
  <c r="F128" i="174"/>
  <c r="F132" i="174"/>
  <c r="F136" i="174"/>
  <c r="F140" i="174"/>
  <c r="F144" i="174"/>
  <c r="F148" i="174"/>
  <c r="F152" i="174"/>
  <c r="F156" i="174"/>
  <c r="F160" i="174"/>
  <c r="F164" i="174"/>
  <c r="F168" i="174"/>
  <c r="F172" i="174"/>
  <c r="F17" i="174"/>
  <c r="F21" i="174"/>
  <c r="F25" i="174"/>
  <c r="F29" i="174"/>
  <c r="F33" i="174"/>
  <c r="F37" i="174"/>
  <c r="F41" i="174"/>
  <c r="F45" i="174"/>
  <c r="F49" i="174"/>
  <c r="F53" i="174"/>
  <c r="F57" i="174"/>
  <c r="F61" i="174"/>
  <c r="F65" i="174"/>
  <c r="F69" i="174"/>
  <c r="F73" i="174"/>
  <c r="F77" i="174"/>
  <c r="F81" i="174"/>
  <c r="F85" i="174"/>
  <c r="F89" i="174"/>
  <c r="F93" i="174"/>
  <c r="F97" i="174"/>
  <c r="F101" i="174"/>
  <c r="F105" i="174"/>
  <c r="F109" i="174"/>
  <c r="F113" i="174"/>
  <c r="F117" i="174"/>
  <c r="F121" i="174"/>
  <c r="F125" i="174"/>
  <c r="F129" i="174"/>
  <c r="F133" i="174"/>
  <c r="F137" i="174"/>
  <c r="F141" i="174"/>
  <c r="F145" i="174"/>
  <c r="F149" i="174"/>
  <c r="F153" i="174"/>
  <c r="F157" i="174"/>
  <c r="F161" i="174"/>
  <c r="F165" i="174"/>
  <c r="F169" i="174"/>
  <c r="F173" i="174"/>
  <c r="F30" i="174"/>
  <c r="F46" i="174"/>
  <c r="F62" i="174"/>
  <c r="F78" i="174"/>
  <c r="F94" i="174"/>
  <c r="F110" i="174"/>
  <c r="F126" i="174"/>
  <c r="F142" i="174"/>
  <c r="F158" i="174"/>
  <c r="F174" i="174"/>
  <c r="F178" i="174"/>
  <c r="F182" i="174"/>
  <c r="F186" i="174"/>
  <c r="F190" i="174"/>
  <c r="F194" i="174"/>
  <c r="F16" i="174"/>
  <c r="F26" i="174"/>
  <c r="F42" i="174"/>
  <c r="F74" i="174"/>
  <c r="F122" i="174"/>
  <c r="F154" i="174"/>
  <c r="F181" i="174"/>
  <c r="F193" i="174"/>
  <c r="F18" i="174"/>
  <c r="F34" i="174"/>
  <c r="F50" i="174"/>
  <c r="F66" i="174"/>
  <c r="F82" i="174"/>
  <c r="F98" i="174"/>
  <c r="F114" i="174"/>
  <c r="F130" i="174"/>
  <c r="F146" i="174"/>
  <c r="F162" i="174"/>
  <c r="F175" i="174"/>
  <c r="F179" i="174"/>
  <c r="F183" i="174"/>
  <c r="F187" i="174"/>
  <c r="F191" i="174"/>
  <c r="F195" i="174"/>
  <c r="F58" i="174"/>
  <c r="F90" i="174"/>
  <c r="F138" i="174"/>
  <c r="F177" i="174"/>
  <c r="F189" i="174"/>
  <c r="F22" i="174"/>
  <c r="F38" i="174"/>
  <c r="F54" i="174"/>
  <c r="F70" i="174"/>
  <c r="F86" i="174"/>
  <c r="F102" i="174"/>
  <c r="F118" i="174"/>
  <c r="F134" i="174"/>
  <c r="F150" i="174"/>
  <c r="F166" i="174"/>
  <c r="F176" i="174"/>
  <c r="F180" i="174"/>
  <c r="F184" i="174"/>
  <c r="F188" i="174"/>
  <c r="F192" i="174"/>
  <c r="F196" i="174"/>
  <c r="F106" i="174"/>
  <c r="F170" i="174"/>
  <c r="F185" i="174"/>
  <c r="F197" i="174"/>
  <c r="F8" i="176"/>
  <c r="C389" i="176" s="1"/>
  <c r="F208" i="174" l="1"/>
  <c r="F247" i="174"/>
  <c r="F250" i="174"/>
  <c r="F255" i="174"/>
  <c r="F258" i="174"/>
  <c r="F263" i="174"/>
  <c r="F266" i="174"/>
  <c r="F271" i="174"/>
  <c r="F274" i="174"/>
  <c r="F279" i="174"/>
  <c r="F282" i="174"/>
  <c r="F287" i="174"/>
  <c r="F290" i="174"/>
  <c r="F295" i="174"/>
  <c r="F298" i="174"/>
  <c r="F300" i="174"/>
  <c r="F305" i="174"/>
  <c r="F308" i="174"/>
  <c r="F313" i="174"/>
  <c r="F219" i="174"/>
  <c r="F221" i="174"/>
  <c r="F223" i="174"/>
  <c r="F225" i="174"/>
  <c r="F227" i="174"/>
  <c r="F229" i="174"/>
  <c r="F231" i="174"/>
  <c r="F233" i="174"/>
  <c r="F235" i="174"/>
  <c r="F237" i="174"/>
  <c r="F239" i="174"/>
  <c r="F241" i="174"/>
  <c r="F243" i="174"/>
  <c r="F245" i="174"/>
  <c r="F248" i="174"/>
  <c r="F253" i="174"/>
  <c r="F256" i="174"/>
  <c r="F217" i="174"/>
  <c r="F246" i="174"/>
  <c r="F251" i="174"/>
  <c r="F254" i="174"/>
  <c r="F259" i="174"/>
  <c r="F262" i="174"/>
  <c r="F267" i="174"/>
  <c r="F270" i="174"/>
  <c r="F275" i="174"/>
  <c r="F278" i="174"/>
  <c r="F283" i="174"/>
  <c r="F286" i="174"/>
  <c r="F291" i="174"/>
  <c r="F294" i="174"/>
  <c r="F299" i="174"/>
  <c r="F301" i="174"/>
  <c r="F304" i="174"/>
  <c r="F309" i="174"/>
  <c r="F312" i="174"/>
  <c r="F222" i="174"/>
  <c r="F230" i="174"/>
  <c r="F238" i="174"/>
  <c r="F257" i="174"/>
  <c r="F264" i="174"/>
  <c r="F269" i="174"/>
  <c r="F280" i="174"/>
  <c r="F285" i="174"/>
  <c r="F296" i="174"/>
  <c r="F306" i="174"/>
  <c r="F311" i="174"/>
  <c r="F317" i="174"/>
  <c r="F320" i="174"/>
  <c r="F322" i="174"/>
  <c r="F324" i="174"/>
  <c r="F329" i="174"/>
  <c r="F332" i="174"/>
  <c r="F337" i="174"/>
  <c r="F340" i="174"/>
  <c r="F345" i="174"/>
  <c r="F348" i="174"/>
  <c r="F353" i="174"/>
  <c r="F356" i="174"/>
  <c r="F361" i="174"/>
  <c r="F364" i="174"/>
  <c r="F369" i="174"/>
  <c r="F372" i="174"/>
  <c r="F377" i="174"/>
  <c r="F380" i="174"/>
  <c r="F385" i="174"/>
  <c r="F388" i="174"/>
  <c r="F393" i="174"/>
  <c r="F396" i="174"/>
  <c r="F226" i="174"/>
  <c r="F242" i="174"/>
  <c r="F252" i="174"/>
  <c r="F288" i="174"/>
  <c r="F293" i="174"/>
  <c r="F303" i="174"/>
  <c r="F325" i="174"/>
  <c r="F333" i="174"/>
  <c r="F336" i="174"/>
  <c r="F344" i="174"/>
  <c r="F224" i="174"/>
  <c r="F232" i="174"/>
  <c r="F240" i="174"/>
  <c r="F249" i="174"/>
  <c r="F260" i="174"/>
  <c r="F265" i="174"/>
  <c r="F276" i="174"/>
  <c r="F281" i="174"/>
  <c r="F292" i="174"/>
  <c r="F297" i="174"/>
  <c r="F302" i="174"/>
  <c r="F307" i="174"/>
  <c r="F315" i="174"/>
  <c r="F318" i="174"/>
  <c r="F327" i="174"/>
  <c r="F330" i="174"/>
  <c r="F335" i="174"/>
  <c r="F338" i="174"/>
  <c r="F343" i="174"/>
  <c r="F346" i="174"/>
  <c r="F351" i="174"/>
  <c r="F354" i="174"/>
  <c r="F359" i="174"/>
  <c r="F362" i="174"/>
  <c r="F367" i="174"/>
  <c r="F370" i="174"/>
  <c r="F375" i="174"/>
  <c r="F378" i="174"/>
  <c r="F383" i="174"/>
  <c r="F386" i="174"/>
  <c r="F391" i="174"/>
  <c r="F394" i="174"/>
  <c r="F216" i="174"/>
  <c r="F218" i="174"/>
  <c r="F234" i="174"/>
  <c r="F261" i="174"/>
  <c r="F272" i="174"/>
  <c r="F277" i="174"/>
  <c r="F316" i="174"/>
  <c r="F321" i="174"/>
  <c r="F323" i="174"/>
  <c r="F328" i="174"/>
  <c r="F341" i="174"/>
  <c r="F349" i="174"/>
  <c r="F352" i="174"/>
  <c r="F220" i="174"/>
  <c r="F326" i="174"/>
  <c r="F347" i="174"/>
  <c r="F357" i="174"/>
  <c r="F368" i="174"/>
  <c r="F373" i="174"/>
  <c r="F384" i="174"/>
  <c r="F389" i="174"/>
  <c r="F228" i="174"/>
  <c r="F284" i="174"/>
  <c r="F319" i="174"/>
  <c r="F339" i="174"/>
  <c r="F350" i="174"/>
  <c r="F358" i="174"/>
  <c r="F363" i="174"/>
  <c r="F374" i="174"/>
  <c r="F379" i="174"/>
  <c r="F390" i="174"/>
  <c r="F395" i="174"/>
  <c r="F236" i="174"/>
  <c r="F268" i="174"/>
  <c r="F289" i="174"/>
  <c r="F310" i="174"/>
  <c r="F331" i="174"/>
  <c r="F342" i="174"/>
  <c r="F360" i="174"/>
  <c r="F365" i="174"/>
  <c r="F376" i="174"/>
  <c r="F381" i="174"/>
  <c r="F392" i="174"/>
  <c r="F397" i="174"/>
  <c r="F244" i="174"/>
  <c r="F273" i="174"/>
  <c r="F314" i="174"/>
  <c r="F334" i="174"/>
  <c r="F355" i="174"/>
  <c r="F366" i="174"/>
  <c r="F371" i="174"/>
  <c r="F382" i="174"/>
  <c r="F387" i="174"/>
  <c r="D13" i="174"/>
  <c r="I8" i="176"/>
  <c r="G8" i="176"/>
  <c r="F13" i="174" l="1"/>
  <c r="H13" i="174"/>
  <c r="H382" i="174"/>
  <c r="H310" i="174"/>
  <c r="H384" i="174"/>
  <c r="H321" i="174"/>
  <c r="H378" i="174"/>
  <c r="H330" i="174"/>
  <c r="H249" i="174"/>
  <c r="H303" i="174"/>
  <c r="H388" i="174"/>
  <c r="H356" i="174"/>
  <c r="H311" i="174"/>
  <c r="H309" i="174"/>
  <c r="H278" i="174"/>
  <c r="H262" i="174"/>
  <c r="H248" i="174"/>
  <c r="H239" i="174"/>
  <c r="H231" i="174"/>
  <c r="H308" i="174"/>
  <c r="H295" i="174"/>
  <c r="H279" i="174"/>
  <c r="H247" i="174"/>
  <c r="H371" i="174"/>
  <c r="H392" i="174"/>
  <c r="H289" i="174"/>
  <c r="H358" i="174"/>
  <c r="H284" i="174"/>
  <c r="H326" i="174"/>
  <c r="H234" i="174"/>
  <c r="H375" i="174"/>
  <c r="H343" i="174"/>
  <c r="H327" i="174"/>
  <c r="H276" i="174"/>
  <c r="H336" i="174"/>
  <c r="H385" i="174"/>
  <c r="H275" i="174"/>
  <c r="H366" i="174"/>
  <c r="H273" i="174"/>
  <c r="H381" i="174"/>
  <c r="H342" i="174"/>
  <c r="H268" i="174"/>
  <c r="H379" i="174"/>
  <c r="H350" i="174"/>
  <c r="H228" i="174"/>
  <c r="H368" i="174"/>
  <c r="H220" i="174"/>
  <c r="H328" i="174"/>
  <c r="H277" i="174"/>
  <c r="H218" i="174"/>
  <c r="H386" i="174"/>
  <c r="H370" i="174"/>
  <c r="H354" i="174"/>
  <c r="H338" i="174"/>
  <c r="H318" i="174"/>
  <c r="H297" i="174"/>
  <c r="H265" i="174"/>
  <c r="H232" i="174"/>
  <c r="H333" i="174"/>
  <c r="H288" i="174"/>
  <c r="H396" i="174"/>
  <c r="H380" i="174"/>
  <c r="H364" i="174"/>
  <c r="H348" i="174"/>
  <c r="H332" i="174"/>
  <c r="H320" i="174"/>
  <c r="H296" i="174"/>
  <c r="H264" i="174"/>
  <c r="H222" i="174"/>
  <c r="H301" i="174"/>
  <c r="H286" i="174"/>
  <c r="H270" i="174"/>
  <c r="H254" i="174"/>
  <c r="H256" i="174"/>
  <c r="H243" i="174"/>
  <c r="H235" i="174"/>
  <c r="H227" i="174"/>
  <c r="H219" i="174"/>
  <c r="H300" i="174"/>
  <c r="H287" i="174"/>
  <c r="H271" i="174"/>
  <c r="H255" i="174"/>
  <c r="H334" i="174"/>
  <c r="H395" i="174"/>
  <c r="H347" i="174"/>
  <c r="H362" i="174"/>
  <c r="H238" i="174"/>
  <c r="H360" i="174"/>
  <c r="H341" i="174"/>
  <c r="H353" i="174"/>
  <c r="H387" i="174"/>
  <c r="H355" i="174"/>
  <c r="H244" i="174"/>
  <c r="H376" i="174"/>
  <c r="H331" i="174"/>
  <c r="H236" i="174"/>
  <c r="H374" i="174"/>
  <c r="H339" i="174"/>
  <c r="H389" i="174"/>
  <c r="H357" i="174"/>
  <c r="H352" i="174"/>
  <c r="H323" i="174"/>
  <c r="H272" i="174"/>
  <c r="H216" i="174"/>
  <c r="H383" i="174"/>
  <c r="H367" i="174"/>
  <c r="H351" i="174"/>
  <c r="H335" i="174"/>
  <c r="H315" i="174"/>
  <c r="H292" i="174"/>
  <c r="H260" i="174"/>
  <c r="H224" i="174"/>
  <c r="H325" i="174"/>
  <c r="H252" i="174"/>
  <c r="H393" i="174"/>
  <c r="H377" i="174"/>
  <c r="H361" i="174"/>
  <c r="H345" i="174"/>
  <c r="H329" i="174"/>
  <c r="H317" i="174"/>
  <c r="H285" i="174"/>
  <c r="H257" i="174"/>
  <c r="H312" i="174"/>
  <c r="H299" i="174"/>
  <c r="H283" i="174"/>
  <c r="H267" i="174"/>
  <c r="H251" i="174"/>
  <c r="H253" i="174"/>
  <c r="H241" i="174"/>
  <c r="H233" i="174"/>
  <c r="H225" i="174"/>
  <c r="H313" i="174"/>
  <c r="H298" i="174"/>
  <c r="H282" i="174"/>
  <c r="H266" i="174"/>
  <c r="D212" i="174"/>
  <c r="F212" i="174" s="1"/>
  <c r="H250" i="174"/>
  <c r="H397" i="174"/>
  <c r="H319" i="174"/>
  <c r="H261" i="174"/>
  <c r="H307" i="174"/>
  <c r="H340" i="174"/>
  <c r="H223" i="174"/>
  <c r="H365" i="174"/>
  <c r="H363" i="174"/>
  <c r="H349" i="174"/>
  <c r="H394" i="174"/>
  <c r="H346" i="174"/>
  <c r="H281" i="174"/>
  <c r="H344" i="174"/>
  <c r="H242" i="174"/>
  <c r="H372" i="174"/>
  <c r="H324" i="174"/>
  <c r="H280" i="174"/>
  <c r="H294" i="174"/>
  <c r="H246" i="174"/>
  <c r="H263" i="174"/>
  <c r="H314" i="174"/>
  <c r="H390" i="174"/>
  <c r="H373" i="174"/>
  <c r="H316" i="174"/>
  <c r="H391" i="174"/>
  <c r="H359" i="174"/>
  <c r="H302" i="174"/>
  <c r="H240" i="174"/>
  <c r="H293" i="174"/>
  <c r="H226" i="174"/>
  <c r="H369" i="174"/>
  <c r="H337" i="174"/>
  <c r="H322" i="174"/>
  <c r="H306" i="174"/>
  <c r="H269" i="174"/>
  <c r="H230" i="174"/>
  <c r="H304" i="174"/>
  <c r="H291" i="174"/>
  <c r="H259" i="174"/>
  <c r="H217" i="174"/>
  <c r="H245" i="174"/>
  <c r="H237" i="174"/>
  <c r="H229" i="174"/>
  <c r="H221" i="174"/>
  <c r="H305" i="174"/>
  <c r="H290" i="174"/>
  <c r="H274" i="174"/>
  <c r="H258" i="174"/>
  <c r="H212" i="174" l="1"/>
  <c r="B43" i="116"/>
  <c r="C12" i="173" s="1"/>
  <c r="R18" i="167"/>
  <c r="R26" i="167"/>
  <c r="D14" i="62"/>
  <c r="H16" i="59" s="1"/>
  <c r="F189" i="153"/>
  <c r="E189" i="153"/>
  <c r="B89" i="116"/>
  <c r="C12" i="176" s="1"/>
  <c r="F169" i="153"/>
  <c r="E169" i="153"/>
  <c r="W54" i="26" s="1"/>
  <c r="E54" i="26" s="1"/>
  <c r="D36" i="95"/>
  <c r="D37" i="95"/>
  <c r="D38" i="95"/>
  <c r="D39" i="95"/>
  <c r="D33" i="95"/>
  <c r="D34" i="95"/>
  <c r="E33" i="95"/>
  <c r="D31" i="95"/>
  <c r="E31" i="95"/>
  <c r="E35" i="95"/>
  <c r="D28" i="95"/>
  <c r="E28" i="95"/>
  <c r="D29" i="95"/>
  <c r="E29" i="95"/>
  <c r="D30" i="95"/>
  <c r="E30" i="95"/>
  <c r="D32" i="95"/>
  <c r="E32" i="95"/>
  <c r="D23" i="95"/>
  <c r="E23" i="95"/>
  <c r="D24" i="95"/>
  <c r="E24" i="95"/>
  <c r="D25" i="95"/>
  <c r="E25" i="95"/>
  <c r="D26" i="95"/>
  <c r="E26" i="95"/>
  <c r="W56" i="26" l="1"/>
  <c r="E56" i="26" s="1"/>
  <c r="H105" i="143"/>
  <c r="E105" i="143" s="1"/>
  <c r="H101" i="143"/>
  <c r="E101" i="143" s="1"/>
  <c r="C392" i="173"/>
  <c r="G25" i="173"/>
  <c r="G40" i="173"/>
  <c r="G199" i="173"/>
  <c r="G99" i="173"/>
  <c r="G89" i="173"/>
  <c r="G104" i="173"/>
  <c r="G231" i="173"/>
  <c r="G103" i="173"/>
  <c r="G167" i="173"/>
  <c r="G56" i="173"/>
  <c r="G184" i="173"/>
  <c r="G286" i="173"/>
  <c r="G80" i="173"/>
  <c r="G32" i="173"/>
  <c r="G136" i="173"/>
  <c r="G255" i="173"/>
  <c r="G168" i="173"/>
  <c r="G65" i="173"/>
  <c r="G69" i="173"/>
  <c r="G191" i="173"/>
  <c r="G81" i="173"/>
  <c r="G77" i="173"/>
  <c r="G318" i="173"/>
  <c r="G88" i="173"/>
  <c r="G183" i="173"/>
  <c r="G24" i="173"/>
  <c r="G143" i="173"/>
  <c r="G111" i="173"/>
  <c r="G37" i="173"/>
  <c r="G120" i="173"/>
  <c r="G175" i="173"/>
  <c r="G127" i="173"/>
  <c r="G45" i="173"/>
  <c r="G21" i="173"/>
  <c r="G270" i="173"/>
  <c r="G44" i="173"/>
  <c r="G107" i="173"/>
  <c r="G235" i="173"/>
  <c r="G256" i="173"/>
  <c r="G78" i="173"/>
  <c r="G164" i="173"/>
  <c r="G317" i="173"/>
  <c r="G97" i="173"/>
  <c r="G314" i="173"/>
  <c r="G144" i="173"/>
  <c r="G373" i="173"/>
  <c r="G115" i="173"/>
  <c r="G179" i="173"/>
  <c r="G243" i="173"/>
  <c r="G358" i="173"/>
  <c r="G152" i="173"/>
  <c r="G48" i="173"/>
  <c r="G151" i="173"/>
  <c r="G17" i="173"/>
  <c r="G49" i="173"/>
  <c r="G96" i="173"/>
  <c r="G366" i="173"/>
  <c r="G73" i="173"/>
  <c r="G16" i="173"/>
  <c r="G85" i="173"/>
  <c r="G93" i="173"/>
  <c r="G76" i="173"/>
  <c r="G200" i="173"/>
  <c r="G171" i="173"/>
  <c r="G342" i="173"/>
  <c r="G46" i="173"/>
  <c r="G132" i="173"/>
  <c r="G228" i="173"/>
  <c r="G321" i="173"/>
  <c r="G378" i="173"/>
  <c r="G247" i="173"/>
  <c r="G224" i="173"/>
  <c r="G147" i="173"/>
  <c r="G211" i="173"/>
  <c r="G294" i="173"/>
  <c r="G232" i="173"/>
  <c r="G140" i="173"/>
  <c r="G204" i="173"/>
  <c r="G269" i="173"/>
  <c r="G329" i="173"/>
  <c r="G101" i="173"/>
  <c r="G133" i="173"/>
  <c r="G165" i="173"/>
  <c r="G197" i="173"/>
  <c r="G229" i="173"/>
  <c r="G322" i="173"/>
  <c r="G283" i="173"/>
  <c r="G315" i="173"/>
  <c r="G347" i="173"/>
  <c r="G379" i="173"/>
  <c r="G128" i="173"/>
  <c r="G68" i="173"/>
  <c r="G302" i="173"/>
  <c r="G223" i="173"/>
  <c r="G33" i="173"/>
  <c r="G61" i="173"/>
  <c r="G150" i="173"/>
  <c r="G198" i="173"/>
  <c r="G262" i="173"/>
  <c r="G129" i="173"/>
  <c r="G193" i="173"/>
  <c r="G257" i="173"/>
  <c r="G296" i="173"/>
  <c r="G360" i="173"/>
  <c r="G295" i="173"/>
  <c r="G343" i="173"/>
  <c r="G375" i="173"/>
  <c r="G47" i="173"/>
  <c r="G79" i="173"/>
  <c r="G34" i="173"/>
  <c r="G66" i="173"/>
  <c r="G172" i="173"/>
  <c r="G117" i="173"/>
  <c r="G213" i="173"/>
  <c r="G290" i="173"/>
  <c r="G268" i="173"/>
  <c r="G300" i="173"/>
  <c r="G332" i="173"/>
  <c r="G364" i="173"/>
  <c r="G363" i="173"/>
  <c r="G264" i="173"/>
  <c r="G155" i="173"/>
  <c r="G219" i="173"/>
  <c r="G310" i="173"/>
  <c r="G240" i="173"/>
  <c r="G22" i="173"/>
  <c r="G54" i="173"/>
  <c r="G86" i="173"/>
  <c r="G148" i="173"/>
  <c r="G212" i="173"/>
  <c r="G285" i="173"/>
  <c r="G273" i="173"/>
  <c r="G337" i="173"/>
  <c r="G330" i="173"/>
  <c r="G160" i="173"/>
  <c r="G60" i="173"/>
  <c r="G325" i="173"/>
  <c r="G139" i="173"/>
  <c r="G278" i="173"/>
  <c r="G357" i="173"/>
  <c r="G62" i="173"/>
  <c r="G196" i="173"/>
  <c r="G353" i="173"/>
  <c r="G282" i="173"/>
  <c r="G176" i="173"/>
  <c r="G293" i="173"/>
  <c r="G163" i="173"/>
  <c r="G227" i="173"/>
  <c r="G326" i="173"/>
  <c r="G248" i="173"/>
  <c r="G156" i="173"/>
  <c r="G220" i="173"/>
  <c r="G301" i="173"/>
  <c r="G281" i="173"/>
  <c r="G345" i="173"/>
  <c r="G109" i="173"/>
  <c r="G141" i="173"/>
  <c r="G173" i="173"/>
  <c r="G205" i="173"/>
  <c r="G274" i="173"/>
  <c r="G338" i="173"/>
  <c r="G291" i="173"/>
  <c r="G323" i="173"/>
  <c r="G355" i="173"/>
  <c r="G250" i="173"/>
  <c r="G261" i="173"/>
  <c r="G52" i="173"/>
  <c r="G20" i="173"/>
  <c r="G19" i="173"/>
  <c r="G83" i="173"/>
  <c r="G126" i="173"/>
  <c r="G190" i="173"/>
  <c r="G222" i="173"/>
  <c r="G121" i="173"/>
  <c r="G185" i="173"/>
  <c r="G217" i="173"/>
  <c r="G288" i="173"/>
  <c r="G352" i="173"/>
  <c r="G303" i="173"/>
  <c r="G335" i="173"/>
  <c r="G43" i="173"/>
  <c r="G91" i="173"/>
  <c r="G134" i="173"/>
  <c r="G214" i="173"/>
  <c r="G113" i="173"/>
  <c r="G177" i="173"/>
  <c r="G241" i="173"/>
  <c r="G312" i="173"/>
  <c r="G376" i="173"/>
  <c r="G23" i="173"/>
  <c r="G87" i="173"/>
  <c r="G42" i="173"/>
  <c r="G74" i="173"/>
  <c r="G130" i="173"/>
  <c r="G194" i="173"/>
  <c r="G226" i="173"/>
  <c r="G258" i="173"/>
  <c r="G189" i="173"/>
  <c r="G253" i="173"/>
  <c r="G292" i="173"/>
  <c r="G356" i="173"/>
  <c r="G369" i="173"/>
  <c r="G298" i="173"/>
  <c r="G92" i="173"/>
  <c r="G216" i="173"/>
  <c r="G260" i="173"/>
  <c r="G112" i="173"/>
  <c r="G195" i="173"/>
  <c r="G341" i="173"/>
  <c r="G124" i="173"/>
  <c r="G365" i="173"/>
  <c r="G377" i="173"/>
  <c r="G125" i="173"/>
  <c r="G370" i="173"/>
  <c r="G275" i="173"/>
  <c r="G371" i="173"/>
  <c r="G72" i="173"/>
  <c r="G29" i="173"/>
  <c r="G41" i="173"/>
  <c r="G75" i="173"/>
  <c r="G277" i="173"/>
  <c r="G108" i="173"/>
  <c r="G122" i="173"/>
  <c r="G154" i="173"/>
  <c r="G186" i="173"/>
  <c r="G218" i="173"/>
  <c r="G361" i="173"/>
  <c r="G331" i="173"/>
  <c r="G51" i="173"/>
  <c r="G158" i="173"/>
  <c r="G254" i="173"/>
  <c r="G153" i="173"/>
  <c r="G249" i="173"/>
  <c r="G320" i="173"/>
  <c r="G271" i="173"/>
  <c r="G367" i="173"/>
  <c r="G55" i="173"/>
  <c r="G162" i="173"/>
  <c r="G221" i="173"/>
  <c r="G324" i="173"/>
  <c r="G123" i="173"/>
  <c r="G244" i="173"/>
  <c r="G305" i="173"/>
  <c r="G362" i="173"/>
  <c r="G28" i="173"/>
  <c r="G203" i="173"/>
  <c r="G30" i="173"/>
  <c r="G289" i="173"/>
  <c r="G346" i="173"/>
  <c r="G131" i="173"/>
  <c r="G208" i="173"/>
  <c r="G188" i="173"/>
  <c r="G313" i="173"/>
  <c r="G157" i="173"/>
  <c r="G306" i="173"/>
  <c r="G307" i="173"/>
  <c r="G207" i="173"/>
  <c r="G350" i="173"/>
  <c r="G159" i="173"/>
  <c r="G119" i="173"/>
  <c r="G192" i="173"/>
  <c r="G263" i="173"/>
  <c r="G64" i="173"/>
  <c r="G118" i="173"/>
  <c r="G166" i="173"/>
  <c r="G230" i="173"/>
  <c r="G161" i="173"/>
  <c r="G225" i="173"/>
  <c r="G328" i="173"/>
  <c r="G279" i="173"/>
  <c r="G327" i="173"/>
  <c r="G359" i="173"/>
  <c r="G31" i="173"/>
  <c r="G63" i="173"/>
  <c r="G95" i="173"/>
  <c r="G18" i="173"/>
  <c r="G50" i="173"/>
  <c r="G82" i="173"/>
  <c r="G333" i="173"/>
  <c r="G297" i="173"/>
  <c r="G181" i="173"/>
  <c r="G284" i="173"/>
  <c r="G316" i="173"/>
  <c r="G348" i="173"/>
  <c r="G299" i="173"/>
  <c r="G84" i="173"/>
  <c r="G187" i="173"/>
  <c r="G251" i="173"/>
  <c r="G374" i="173"/>
  <c r="G309" i="173"/>
  <c r="G38" i="173"/>
  <c r="G70" i="173"/>
  <c r="G116" i="173"/>
  <c r="G180" i="173"/>
  <c r="G349" i="173"/>
  <c r="G94" i="173"/>
  <c r="G334" i="173"/>
  <c r="G259" i="173"/>
  <c r="G252" i="173"/>
  <c r="G339" i="173"/>
  <c r="G239" i="173"/>
  <c r="G170" i="173"/>
  <c r="G245" i="173"/>
  <c r="G215" i="173"/>
  <c r="G110" i="173"/>
  <c r="G238" i="173"/>
  <c r="G201" i="173"/>
  <c r="G368" i="173"/>
  <c r="G311" i="173"/>
  <c r="G26" i="173"/>
  <c r="G210" i="173"/>
  <c r="G308" i="173"/>
  <c r="G202" i="173"/>
  <c r="G267" i="173"/>
  <c r="G142" i="173"/>
  <c r="G233" i="173"/>
  <c r="G287" i="173"/>
  <c r="G102" i="173"/>
  <c r="G39" i="173"/>
  <c r="G242" i="173"/>
  <c r="G27" i="173"/>
  <c r="G138" i="173"/>
  <c r="G266" i="173"/>
  <c r="G98" i="173"/>
  <c r="G206" i="173"/>
  <c r="G169" i="173"/>
  <c r="G336" i="173"/>
  <c r="G351" i="173"/>
  <c r="G246" i="173"/>
  <c r="G209" i="173"/>
  <c r="G344" i="173"/>
  <c r="G100" i="173"/>
  <c r="G178" i="173"/>
  <c r="G276" i="173"/>
  <c r="G57" i="173"/>
  <c r="G236" i="173"/>
  <c r="G35" i="173"/>
  <c r="G105" i="173"/>
  <c r="G272" i="173"/>
  <c r="G58" i="173"/>
  <c r="G114" i="173"/>
  <c r="G340" i="173"/>
  <c r="G135" i="173"/>
  <c r="G53" i="173"/>
  <c r="G106" i="173"/>
  <c r="G234" i="173"/>
  <c r="G149" i="173"/>
  <c r="G354" i="173"/>
  <c r="G36" i="173"/>
  <c r="G67" i="173"/>
  <c r="G174" i="173"/>
  <c r="G137" i="173"/>
  <c r="G265" i="173"/>
  <c r="G304" i="173"/>
  <c r="G319" i="173"/>
  <c r="G59" i="173"/>
  <c r="G182" i="173"/>
  <c r="G145" i="173"/>
  <c r="G280" i="173"/>
  <c r="G71" i="173"/>
  <c r="G90" i="173"/>
  <c r="G146" i="173"/>
  <c r="G237" i="173"/>
  <c r="G372" i="173"/>
  <c r="E12" i="173"/>
  <c r="G12" i="173" s="1"/>
  <c r="K26" i="167"/>
  <c r="J26" i="167"/>
  <c r="M27" i="167"/>
  <c r="I8" i="167"/>
  <c r="I26" i="167"/>
  <c r="H8" i="167"/>
  <c r="H7" i="167"/>
  <c r="F28" i="60"/>
  <c r="G28" i="60"/>
  <c r="H28" i="60"/>
  <c r="I28" i="60"/>
  <c r="J28" i="60"/>
  <c r="K28" i="60"/>
  <c r="L28" i="60"/>
  <c r="M28" i="60"/>
  <c r="N28" i="60"/>
  <c r="O28" i="60"/>
  <c r="P28" i="60"/>
  <c r="Q28" i="60"/>
  <c r="E24" i="63"/>
  <c r="K22" i="178" s="1"/>
  <c r="E25" i="63"/>
  <c r="E26" i="63"/>
  <c r="E27" i="63"/>
  <c r="E24" i="64"/>
  <c r="L22" i="178" s="1"/>
  <c r="E25" i="64"/>
  <c r="E26" i="64"/>
  <c r="E27" i="64"/>
  <c r="E24" i="65"/>
  <c r="M22" i="178" s="1"/>
  <c r="E25" i="65"/>
  <c r="E26" i="65"/>
  <c r="E27" i="65"/>
  <c r="E24" i="66"/>
  <c r="N22" i="178" s="1"/>
  <c r="E25" i="66"/>
  <c r="E26" i="66"/>
  <c r="E27" i="66"/>
  <c r="E24" i="68"/>
  <c r="E25" i="68"/>
  <c r="E26" i="68"/>
  <c r="E27" i="68"/>
  <c r="E6" i="63"/>
  <c r="K7" i="178" s="1"/>
  <c r="E7" i="63"/>
  <c r="K8" i="178" s="1"/>
  <c r="E8" i="63"/>
  <c r="K9" i="178" s="1"/>
  <c r="E9" i="63"/>
  <c r="E10" i="63"/>
  <c r="K10" i="178" s="1"/>
  <c r="E11" i="63"/>
  <c r="K11" i="178" s="1"/>
  <c r="E12" i="63"/>
  <c r="E13" i="63"/>
  <c r="K13" i="178" s="1"/>
  <c r="E14" i="63"/>
  <c r="K14" i="178" s="1"/>
  <c r="E15" i="63"/>
  <c r="K15" i="178" s="1"/>
  <c r="E16" i="63"/>
  <c r="K16" i="178" s="1"/>
  <c r="E17" i="63"/>
  <c r="E18" i="63"/>
  <c r="K17" i="178" s="1"/>
  <c r="E19" i="63"/>
  <c r="K18" i="178" s="1"/>
  <c r="E20" i="63"/>
  <c r="K19" i="178" s="1"/>
  <c r="E21" i="63"/>
  <c r="K20" i="178" s="1"/>
  <c r="E22" i="63"/>
  <c r="K21" i="178" s="1"/>
  <c r="E23" i="63"/>
  <c r="K23" i="178" s="1"/>
  <c r="E6" i="64"/>
  <c r="L7" i="178" s="1"/>
  <c r="E7" i="64"/>
  <c r="L8" i="178" s="1"/>
  <c r="E8" i="64"/>
  <c r="L9" i="178" s="1"/>
  <c r="E9" i="64"/>
  <c r="E10" i="64"/>
  <c r="L10" i="178" s="1"/>
  <c r="E11" i="64"/>
  <c r="L11" i="178" s="1"/>
  <c r="E12" i="64"/>
  <c r="E13" i="64"/>
  <c r="L13" i="178" s="1"/>
  <c r="E14" i="64"/>
  <c r="L14" i="178" s="1"/>
  <c r="E15" i="64"/>
  <c r="L15" i="178" s="1"/>
  <c r="E16" i="64"/>
  <c r="L16" i="178" s="1"/>
  <c r="E17" i="64"/>
  <c r="E18" i="64"/>
  <c r="L17" i="178" s="1"/>
  <c r="E19" i="64"/>
  <c r="L18" i="178" s="1"/>
  <c r="E20" i="64"/>
  <c r="L19" i="178" s="1"/>
  <c r="E21" i="64"/>
  <c r="L20" i="178" s="1"/>
  <c r="E22" i="64"/>
  <c r="L21" i="178" s="1"/>
  <c r="E23" i="64"/>
  <c r="L23" i="178" s="1"/>
  <c r="E6" i="65"/>
  <c r="M7" i="178" s="1"/>
  <c r="E7" i="65"/>
  <c r="M8" i="178" s="1"/>
  <c r="E8" i="65"/>
  <c r="M9" i="178" s="1"/>
  <c r="E9" i="65"/>
  <c r="E10" i="65"/>
  <c r="M10" i="178" s="1"/>
  <c r="E11" i="65"/>
  <c r="M11" i="178" s="1"/>
  <c r="E12" i="65"/>
  <c r="E13" i="65"/>
  <c r="M13" i="178" s="1"/>
  <c r="E14" i="65"/>
  <c r="M14" i="178" s="1"/>
  <c r="E15" i="65"/>
  <c r="M15" i="178" s="1"/>
  <c r="E16" i="65"/>
  <c r="M16" i="178" s="1"/>
  <c r="E17" i="65"/>
  <c r="E18" i="65"/>
  <c r="M17" i="178" s="1"/>
  <c r="E19" i="65"/>
  <c r="M18" i="178" s="1"/>
  <c r="E20" i="65"/>
  <c r="M19" i="178" s="1"/>
  <c r="E21" i="65"/>
  <c r="M20" i="178" s="1"/>
  <c r="E22" i="65"/>
  <c r="M21" i="178" s="1"/>
  <c r="E23" i="65"/>
  <c r="M23" i="178" s="1"/>
  <c r="E6" i="66"/>
  <c r="N7" i="178" s="1"/>
  <c r="E7" i="66"/>
  <c r="N8" i="178" s="1"/>
  <c r="E8" i="66"/>
  <c r="N9" i="178" s="1"/>
  <c r="E9" i="66"/>
  <c r="E10" i="66"/>
  <c r="N10" i="178" s="1"/>
  <c r="E11" i="66"/>
  <c r="N11" i="178" s="1"/>
  <c r="E12" i="66"/>
  <c r="E13" i="66"/>
  <c r="N13" i="178" s="1"/>
  <c r="E14" i="66"/>
  <c r="N14" i="178" s="1"/>
  <c r="E15" i="66"/>
  <c r="N15" i="178" s="1"/>
  <c r="E16" i="66"/>
  <c r="N16" i="178" s="1"/>
  <c r="E17" i="66"/>
  <c r="E18" i="66"/>
  <c r="N17" i="178" s="1"/>
  <c r="E19" i="66"/>
  <c r="N18" i="178" s="1"/>
  <c r="E20" i="66"/>
  <c r="N19" i="178" s="1"/>
  <c r="E21" i="66"/>
  <c r="N20" i="178" s="1"/>
  <c r="E22" i="66"/>
  <c r="N21" i="178" s="1"/>
  <c r="E23" i="66"/>
  <c r="N23" i="178" s="1"/>
  <c r="E6" i="67"/>
  <c r="E7" i="67"/>
  <c r="E8" i="67"/>
  <c r="E9" i="67"/>
  <c r="E10" i="67"/>
  <c r="E11" i="67"/>
  <c r="E12" i="67"/>
  <c r="E13" i="67"/>
  <c r="E14" i="67"/>
  <c r="E15" i="67"/>
  <c r="E16" i="67"/>
  <c r="E17" i="67"/>
  <c r="E18" i="67"/>
  <c r="E19" i="67"/>
  <c r="E20" i="67"/>
  <c r="E21" i="67"/>
  <c r="E22" i="67"/>
  <c r="E23" i="67"/>
  <c r="E6" i="68"/>
  <c r="E7" i="68"/>
  <c r="E8" i="68"/>
  <c r="E9" i="68"/>
  <c r="E10" i="68"/>
  <c r="E11" i="68"/>
  <c r="E12" i="68"/>
  <c r="E13" i="68"/>
  <c r="E14" i="68"/>
  <c r="E15" i="68"/>
  <c r="E16" i="68"/>
  <c r="E17" i="68"/>
  <c r="E18" i="68"/>
  <c r="E19" i="68"/>
  <c r="E20" i="68"/>
  <c r="E21" i="68"/>
  <c r="E22" i="68"/>
  <c r="E23" i="68"/>
  <c r="E5" i="63"/>
  <c r="K6" i="178" s="1"/>
  <c r="K26" i="178" s="1"/>
  <c r="E5" i="64"/>
  <c r="L6" i="178" s="1"/>
  <c r="E5" i="65"/>
  <c r="E5" i="66"/>
  <c r="N6" i="178" s="1"/>
  <c r="E5" i="67"/>
  <c r="E5" i="68"/>
  <c r="C27" i="167"/>
  <c r="B27" i="167"/>
  <c r="N26" i="178" l="1"/>
  <c r="E30" i="65"/>
  <c r="M6" i="178"/>
  <c r="M26" i="178" s="1"/>
  <c r="L26" i="178"/>
  <c r="G735" i="173"/>
  <c r="G720" i="173"/>
  <c r="G743" i="173"/>
  <c r="G565" i="173"/>
  <c r="G396" i="173"/>
  <c r="E392" i="173" s="1"/>
  <c r="G392" i="173" s="1"/>
  <c r="D30" i="116" s="1"/>
  <c r="G619" i="173"/>
  <c r="G727" i="173"/>
  <c r="G670" i="173"/>
  <c r="G548" i="173"/>
  <c r="G708" i="173"/>
  <c r="G646" i="173"/>
  <c r="G594" i="173"/>
  <c r="G504" i="173"/>
  <c r="G730" i="173"/>
  <c r="G667" i="173"/>
  <c r="G551" i="173"/>
  <c r="G597" i="173"/>
  <c r="G482" i="173"/>
  <c r="G464" i="173"/>
  <c r="G558" i="173"/>
  <c r="G445" i="173"/>
  <c r="G557" i="173"/>
  <c r="G493" i="173"/>
  <c r="G428" i="173"/>
  <c r="G716" i="173"/>
  <c r="G739" i="173"/>
  <c r="G544" i="173"/>
  <c r="G748" i="173"/>
  <c r="G512" i="173"/>
  <c r="G713" i="173"/>
  <c r="G648" i="173"/>
  <c r="G511" i="173"/>
  <c r="G690" i="173"/>
  <c r="G626" i="173"/>
  <c r="G580" i="173"/>
  <c r="G451" i="173"/>
  <c r="G712" i="173"/>
  <c r="G649" i="173"/>
  <c r="G508" i="173"/>
  <c r="G577" i="173"/>
  <c r="G456" i="173"/>
  <c r="G446" i="173"/>
  <c r="G518" i="173"/>
  <c r="G424" i="173"/>
  <c r="G537" i="173"/>
  <c r="G473" i="173"/>
  <c r="G406" i="173"/>
  <c r="G682" i="173"/>
  <c r="G671" i="173"/>
  <c r="G635" i="173"/>
  <c r="G721" i="173"/>
  <c r="G659" i="173"/>
  <c r="G532" i="173"/>
  <c r="G701" i="173"/>
  <c r="G638" i="173"/>
  <c r="G588" i="173"/>
  <c r="G488" i="173"/>
  <c r="G722" i="173"/>
  <c r="G662" i="173"/>
  <c r="G496" i="173"/>
  <c r="G684" i="173"/>
  <c r="G709" i="173"/>
  <c r="G432" i="173"/>
  <c r="G555" i="173"/>
  <c r="G715" i="173"/>
  <c r="G652" i="173"/>
  <c r="G516" i="173"/>
  <c r="G692" i="173"/>
  <c r="G630" i="173"/>
  <c r="G583" i="173"/>
  <c r="G475" i="173"/>
  <c r="G714" i="173"/>
  <c r="G653" i="173"/>
  <c r="G519" i="173"/>
  <c r="G581" i="173"/>
  <c r="G462" i="173"/>
  <c r="G449" i="173"/>
  <c r="G526" i="173"/>
  <c r="G430" i="173"/>
  <c r="G541" i="173"/>
  <c r="G477" i="173"/>
  <c r="G408" i="173"/>
  <c r="G666" i="173"/>
  <c r="G728" i="173"/>
  <c r="G595" i="173"/>
  <c r="G611" i="173"/>
  <c r="G651" i="173"/>
  <c r="G686" i="173"/>
  <c r="G429" i="173"/>
  <c r="G604" i="173"/>
  <c r="G746" i="173"/>
  <c r="G621" i="173"/>
  <c r="G514" i="173"/>
  <c r="G410" i="173"/>
  <c r="G570" i="173"/>
  <c r="G444" i="173"/>
  <c r="G755" i="173"/>
  <c r="G698" i="173"/>
  <c r="G643" i="173"/>
  <c r="G723" i="173"/>
  <c r="G632" i="173"/>
  <c r="G417" i="173"/>
  <c r="G642" i="173"/>
  <c r="G563" i="173"/>
  <c r="G742" i="173"/>
  <c r="G664" i="173"/>
  <c r="G472" i="173"/>
  <c r="G506" i="173"/>
  <c r="G461" i="173"/>
  <c r="G486" i="173"/>
  <c r="G566" i="173"/>
  <c r="G489" i="173"/>
  <c r="G744" i="173"/>
  <c r="G592" i="173"/>
  <c r="G677" i="173"/>
  <c r="G707" i="173"/>
  <c r="G628" i="173"/>
  <c r="G405" i="173"/>
  <c r="G622" i="173"/>
  <c r="G552" i="173"/>
  <c r="G738" i="173"/>
  <c r="G645" i="173"/>
  <c r="G503" i="173"/>
  <c r="G562" i="173"/>
  <c r="G450" i="173"/>
  <c r="G440" i="173"/>
  <c r="G510" i="173"/>
  <c r="G418" i="173"/>
  <c r="G533" i="173"/>
  <c r="G469" i="173"/>
  <c r="G401" i="173"/>
  <c r="G724" i="173"/>
  <c r="G747" i="173"/>
  <c r="G582" i="173"/>
  <c r="G420" i="173"/>
  <c r="G587" i="173"/>
  <c r="G719" i="173"/>
  <c r="G656" i="173"/>
  <c r="G527" i="173"/>
  <c r="G695" i="173"/>
  <c r="G634" i="173"/>
  <c r="G586" i="173"/>
  <c r="G483" i="173"/>
  <c r="G718" i="173"/>
  <c r="G657" i="173"/>
  <c r="G524" i="173"/>
  <c r="G585" i="173"/>
  <c r="G465" i="173"/>
  <c r="G452" i="173"/>
  <c r="G534" i="173"/>
  <c r="G433" i="173"/>
  <c r="G545" i="173"/>
  <c r="G481" i="173"/>
  <c r="G411" i="173"/>
  <c r="G616" i="173"/>
  <c r="G507" i="173"/>
  <c r="G560" i="173"/>
  <c r="G757" i="173"/>
  <c r="G636" i="173"/>
  <c r="G676" i="173"/>
  <c r="G568" i="173"/>
  <c r="G699" i="173"/>
  <c r="G487" i="173"/>
  <c r="G435" i="173"/>
  <c r="G494" i="173"/>
  <c r="G525" i="173"/>
  <c r="G752" i="173"/>
  <c r="G700" i="173"/>
  <c r="G600" i="173"/>
  <c r="G608" i="173"/>
  <c r="G697" i="173"/>
  <c r="G575" i="173"/>
  <c r="G706" i="173"/>
  <c r="G612" i="173"/>
  <c r="G531" i="173"/>
  <c r="G726" i="173"/>
  <c r="G633" i="173"/>
  <c r="G609" i="173"/>
  <c r="G474" i="173"/>
  <c r="G419" i="173"/>
  <c r="G457" i="173"/>
  <c r="G553" i="173"/>
  <c r="G458" i="173"/>
  <c r="G703" i="173"/>
  <c r="G523" i="173"/>
  <c r="G491" i="173"/>
  <c r="G691" i="173"/>
  <c r="G569" i="173"/>
  <c r="G685" i="173"/>
  <c r="G610" i="173"/>
  <c r="G520" i="173"/>
  <c r="G710" i="173"/>
  <c r="G629" i="173"/>
  <c r="G400" i="173"/>
  <c r="G530" i="173"/>
  <c r="G423" i="173"/>
  <c r="G416" i="173"/>
  <c r="G478" i="173"/>
  <c r="G398" i="173"/>
  <c r="G517" i="173"/>
  <c r="G453" i="173"/>
  <c r="G571" i="173"/>
  <c r="G693" i="173"/>
  <c r="G731" i="173"/>
  <c r="G480" i="173"/>
  <c r="G725" i="173"/>
  <c r="G759" i="173"/>
  <c r="G704" i="173"/>
  <c r="G640" i="173"/>
  <c r="G495" i="173"/>
  <c r="G679" i="173"/>
  <c r="G618" i="173"/>
  <c r="G573" i="173"/>
  <c r="G427" i="173"/>
  <c r="G705" i="173"/>
  <c r="G641" i="173"/>
  <c r="G492" i="173"/>
  <c r="G554" i="173"/>
  <c r="G438" i="173"/>
  <c r="G434" i="173"/>
  <c r="G502" i="173"/>
  <c r="G412" i="173"/>
  <c r="G529" i="173"/>
  <c r="G463" i="173"/>
  <c r="G397" i="173"/>
  <c r="G756" i="173"/>
  <c r="G741" i="173"/>
  <c r="G620" i="173"/>
  <c r="G660" i="173"/>
  <c r="G536" i="173"/>
  <c r="G683" i="173"/>
  <c r="G613" i="173"/>
  <c r="G402" i="173"/>
  <c r="G467" i="173"/>
  <c r="G732" i="173"/>
  <c r="G639" i="173"/>
  <c r="G539" i="173"/>
  <c r="G753" i="173"/>
  <c r="G681" i="173"/>
  <c r="G543" i="173"/>
  <c r="G602" i="173"/>
  <c r="G499" i="173"/>
  <c r="G696" i="173"/>
  <c r="G593" i="173"/>
  <c r="G425" i="173"/>
  <c r="G404" i="173"/>
  <c r="G521" i="173"/>
  <c r="G442" i="173"/>
  <c r="G590" i="173"/>
  <c r="G749" i="173"/>
  <c r="G675" i="173"/>
  <c r="G669" i="173"/>
  <c r="G439" i="173"/>
  <c r="G694" i="173"/>
  <c r="G605" i="173"/>
  <c r="G498" i="173"/>
  <c r="G399" i="173"/>
  <c r="G455" i="173"/>
  <c r="G501" i="173"/>
  <c r="G437" i="173"/>
  <c r="G606" i="173"/>
  <c r="G655" i="173"/>
  <c r="G668" i="173"/>
  <c r="G745" i="173"/>
  <c r="G624" i="173"/>
  <c r="G441" i="173"/>
  <c r="G607" i="173"/>
  <c r="G547" i="173"/>
  <c r="G689" i="173"/>
  <c r="G625" i="173"/>
  <c r="G522" i="173"/>
  <c r="G414" i="173"/>
  <c r="G413" i="173"/>
  <c r="G574" i="173"/>
  <c r="G513" i="173"/>
  <c r="G647" i="173"/>
  <c r="G509" i="173"/>
  <c r="G674" i="173"/>
  <c r="G572" i="173"/>
  <c r="G443" i="173"/>
  <c r="G751" i="173"/>
  <c r="G500" i="173"/>
  <c r="G599" i="173"/>
  <c r="G567" i="173"/>
  <c r="G476" i="173"/>
  <c r="G564" i="173"/>
  <c r="G598" i="173"/>
  <c r="G661" i="173"/>
  <c r="G688" i="173"/>
  <c r="G663" i="173"/>
  <c r="G750" i="173"/>
  <c r="G617" i="173"/>
  <c r="G470" i="173"/>
  <c r="G447" i="173"/>
  <c r="G717" i="173"/>
  <c r="G415" i="173"/>
  <c r="G409" i="173"/>
  <c r="G687" i="173"/>
  <c r="G658" i="173"/>
  <c r="G540" i="173"/>
  <c r="G407" i="173"/>
  <c r="G758" i="173"/>
  <c r="G654" i="173"/>
  <c r="G535" i="173"/>
  <c r="G542" i="173"/>
  <c r="G421" i="173"/>
  <c r="G579" i="173"/>
  <c r="G559" i="173"/>
  <c r="G515" i="173"/>
  <c r="G601" i="173"/>
  <c r="G448" i="173"/>
  <c r="G614" i="173"/>
  <c r="G426" i="173"/>
  <c r="G729" i="173"/>
  <c r="G736" i="173"/>
  <c r="G702" i="173"/>
  <c r="G637" i="173"/>
  <c r="G460" i="173"/>
  <c r="G737" i="173"/>
  <c r="G591" i="173"/>
  <c r="G538" i="173"/>
  <c r="G505" i="173"/>
  <c r="G733" i="173"/>
  <c r="G578" i="173"/>
  <c r="G589" i="173"/>
  <c r="G436" i="173"/>
  <c r="G740" i="173"/>
  <c r="G627" i="173"/>
  <c r="G711" i="173"/>
  <c r="G734" i="173"/>
  <c r="G490" i="173"/>
  <c r="G561" i="173"/>
  <c r="G484" i="173"/>
  <c r="G754" i="173"/>
  <c r="G673" i="173"/>
  <c r="G615" i="173"/>
  <c r="G422" i="173"/>
  <c r="G603" i="173"/>
  <c r="G466" i="173"/>
  <c r="G680" i="173"/>
  <c r="G550" i="173"/>
  <c r="G631" i="173"/>
  <c r="G454" i="173"/>
  <c r="G678" i="173"/>
  <c r="G459" i="173"/>
  <c r="G485" i="173"/>
  <c r="G623" i="173"/>
  <c r="G672" i="173"/>
  <c r="G596" i="173"/>
  <c r="G556" i="173"/>
  <c r="G576" i="173"/>
  <c r="G431" i="173"/>
  <c r="G546" i="173"/>
  <c r="G584" i="173"/>
  <c r="G665" i="173"/>
  <c r="G403" i="173"/>
  <c r="G479" i="173"/>
  <c r="G644" i="173"/>
  <c r="G468" i="173"/>
  <c r="G549" i="173"/>
  <c r="G528" i="173"/>
  <c r="G650" i="173"/>
  <c r="G471" i="173"/>
  <c r="G497" i="173"/>
  <c r="E30" i="63"/>
  <c r="E30" i="67"/>
  <c r="E30" i="66"/>
  <c r="E31" i="67"/>
  <c r="E31" i="65"/>
  <c r="E30" i="68"/>
  <c r="E30" i="64"/>
  <c r="E31" i="63"/>
  <c r="E31" i="68"/>
  <c r="E31" i="66"/>
  <c r="E31" i="64"/>
  <c r="G35" i="95"/>
  <c r="D35" i="95" s="1"/>
  <c r="F161" i="153"/>
  <c r="E161" i="153"/>
  <c r="W53" i="26" s="1"/>
  <c r="E53" i="26" s="1"/>
  <c r="D31" i="116" l="1"/>
  <c r="F8" i="179"/>
  <c r="H97" i="143"/>
  <c r="E97" i="143" s="1"/>
  <c r="D24" i="61"/>
  <c r="D23" i="61"/>
  <c r="D22" i="61"/>
  <c r="D25" i="61"/>
  <c r="D5" i="61"/>
  <c r="E5" i="61" s="1"/>
  <c r="J7" i="167" l="1"/>
  <c r="I6" i="178"/>
  <c r="E24" i="61"/>
  <c r="G9" i="59"/>
  <c r="E25" i="61"/>
  <c r="G26" i="59"/>
  <c r="E23" i="61"/>
  <c r="G13" i="59"/>
  <c r="E22" i="61"/>
  <c r="G19" i="59"/>
  <c r="D32" i="116"/>
  <c r="F9" i="179"/>
  <c r="R7" i="167"/>
  <c r="J18" i="167" l="1"/>
  <c r="I17" i="178"/>
  <c r="D33" i="116"/>
  <c r="F13" i="179"/>
  <c r="R8" i="167"/>
  <c r="D34" i="116" l="1"/>
  <c r="F15" i="179"/>
  <c r="R9" i="167"/>
  <c r="D35" i="116" l="1"/>
  <c r="F16" i="179"/>
  <c r="R10" i="167"/>
  <c r="D36" i="116" l="1"/>
  <c r="F17" i="179"/>
  <c r="R11" i="167"/>
  <c r="D37" i="116" l="1"/>
  <c r="F18" i="179"/>
  <c r="R12" i="167"/>
  <c r="D14" i="61"/>
  <c r="E14" i="61" l="1"/>
  <c r="G17" i="59"/>
  <c r="D38" i="116"/>
  <c r="F19" i="179"/>
  <c r="R14" i="167"/>
  <c r="C31" i="160"/>
  <c r="B31" i="160"/>
  <c r="J17" i="167" l="1"/>
  <c r="I16" i="178"/>
  <c r="D39" i="116"/>
  <c r="F20" i="179"/>
  <c r="R15" i="167"/>
  <c r="D9" i="60"/>
  <c r="E9" i="60" s="1"/>
  <c r="I12" i="167" l="1"/>
  <c r="H11" i="178"/>
  <c r="D40" i="116"/>
  <c r="F21" i="179"/>
  <c r="D41" i="116" l="1"/>
  <c r="F23" i="179" s="1"/>
  <c r="F22" i="179"/>
  <c r="F25" i="179" l="1"/>
  <c r="F26" i="179"/>
  <c r="B64" i="116"/>
  <c r="C13" i="174" s="1"/>
  <c r="C212" i="174" l="1"/>
  <c r="G185" i="174"/>
  <c r="G193" i="174"/>
  <c r="G121" i="174"/>
  <c r="G88" i="174"/>
  <c r="G35" i="174"/>
  <c r="G175" i="174"/>
  <c r="G149" i="174"/>
  <c r="G148" i="174"/>
  <c r="G143" i="174"/>
  <c r="G63" i="174"/>
  <c r="G187" i="174"/>
  <c r="G154" i="174"/>
  <c r="G94" i="174"/>
  <c r="G129" i="174"/>
  <c r="G65" i="174"/>
  <c r="G160" i="174"/>
  <c r="G96" i="174"/>
  <c r="G32" i="174"/>
  <c r="G123" i="174"/>
  <c r="G59" i="174"/>
  <c r="G130" i="174"/>
  <c r="G89" i="174"/>
  <c r="G56" i="174"/>
  <c r="G19" i="174"/>
  <c r="G42" i="174"/>
  <c r="G53" i="174"/>
  <c r="G159" i="174"/>
  <c r="G22" i="174"/>
  <c r="G134" i="174"/>
  <c r="G183" i="174"/>
  <c r="G122" i="174"/>
  <c r="G173" i="174"/>
  <c r="G109" i="174"/>
  <c r="G45" i="174"/>
  <c r="G140" i="174"/>
  <c r="G76" i="174"/>
  <c r="G167" i="174"/>
  <c r="G103" i="174"/>
  <c r="G39" i="174"/>
  <c r="G195" i="174"/>
  <c r="G105" i="174"/>
  <c r="G72" i="174"/>
  <c r="G51" i="174"/>
  <c r="G110" i="174"/>
  <c r="G116" i="174"/>
  <c r="G16" i="174"/>
  <c r="G80" i="174"/>
  <c r="G182" i="174"/>
  <c r="G60" i="174"/>
  <c r="G23" i="174"/>
  <c r="G163" i="174"/>
  <c r="G188" i="174"/>
  <c r="G118" i="174"/>
  <c r="G194" i="174"/>
  <c r="G73" i="174"/>
  <c r="G40" i="174"/>
  <c r="G170" i="174"/>
  <c r="G181" i="174"/>
  <c r="G117" i="174"/>
  <c r="G100" i="174"/>
  <c r="G127" i="174"/>
  <c r="G184" i="174"/>
  <c r="G162" i="174"/>
  <c r="G26" i="174"/>
  <c r="G30" i="174"/>
  <c r="G113" i="174"/>
  <c r="G144" i="174"/>
  <c r="G171" i="174"/>
  <c r="G107" i="174"/>
  <c r="G43" i="174"/>
  <c r="G74" i="174"/>
  <c r="G41" i="174"/>
  <c r="G24" i="174"/>
  <c r="G166" i="174"/>
  <c r="G174" i="174"/>
  <c r="G164" i="174"/>
  <c r="G47" i="174"/>
  <c r="G197" i="174"/>
  <c r="G70" i="174"/>
  <c r="G157" i="174"/>
  <c r="G93" i="174"/>
  <c r="G29" i="174"/>
  <c r="G151" i="174"/>
  <c r="G66" i="174"/>
  <c r="G52" i="174"/>
  <c r="G177" i="174"/>
  <c r="G62" i="174"/>
  <c r="G25" i="174"/>
  <c r="G147" i="174"/>
  <c r="G102" i="174"/>
  <c r="G190" i="174"/>
  <c r="G69" i="174"/>
  <c r="G68" i="174"/>
  <c r="G95" i="174"/>
  <c r="G86" i="174"/>
  <c r="G98" i="174"/>
  <c r="G186" i="174"/>
  <c r="G161" i="174"/>
  <c r="G97" i="174"/>
  <c r="G33" i="174"/>
  <c r="G128" i="174"/>
  <c r="G64" i="174"/>
  <c r="G155" i="174"/>
  <c r="G91" i="174"/>
  <c r="G27" i="174"/>
  <c r="G126" i="174"/>
  <c r="G152" i="174"/>
  <c r="G115" i="174"/>
  <c r="G38" i="174"/>
  <c r="G165" i="174"/>
  <c r="G132" i="174"/>
  <c r="G106" i="174"/>
  <c r="G196" i="174"/>
  <c r="G189" i="174"/>
  <c r="G82" i="174"/>
  <c r="G142" i="174"/>
  <c r="G141" i="174"/>
  <c r="G77" i="174"/>
  <c r="G172" i="174"/>
  <c r="G108" i="174"/>
  <c r="G44" i="174"/>
  <c r="G135" i="174"/>
  <c r="G71" i="174"/>
  <c r="G192" i="174"/>
  <c r="G178" i="174"/>
  <c r="G168" i="174"/>
  <c r="G131" i="174"/>
  <c r="G138" i="174"/>
  <c r="G85" i="174"/>
  <c r="G111" i="174"/>
  <c r="G49" i="174"/>
  <c r="G146" i="174"/>
  <c r="G124" i="174"/>
  <c r="G87" i="174"/>
  <c r="G57" i="174"/>
  <c r="G133" i="174"/>
  <c r="G179" i="174"/>
  <c r="G153" i="174"/>
  <c r="G136" i="174"/>
  <c r="G99" i="174"/>
  <c r="G191" i="174"/>
  <c r="G46" i="174"/>
  <c r="G37" i="174"/>
  <c r="G36" i="174"/>
  <c r="G79" i="174"/>
  <c r="G90" i="174"/>
  <c r="G34" i="174"/>
  <c r="G158" i="174"/>
  <c r="G145" i="174"/>
  <c r="G81" i="174"/>
  <c r="G17" i="174"/>
  <c r="G112" i="174"/>
  <c r="G48" i="174"/>
  <c r="G139" i="174"/>
  <c r="G75" i="174"/>
  <c r="G54" i="174"/>
  <c r="G137" i="174"/>
  <c r="G104" i="174"/>
  <c r="G67" i="174"/>
  <c r="G114" i="174"/>
  <c r="G101" i="174"/>
  <c r="G84" i="174"/>
  <c r="G150" i="174"/>
  <c r="G180" i="174"/>
  <c r="G58" i="174"/>
  <c r="G18" i="174"/>
  <c r="G78" i="174"/>
  <c r="G125" i="174"/>
  <c r="G61" i="174"/>
  <c r="G156" i="174"/>
  <c r="G92" i="174"/>
  <c r="G28" i="174"/>
  <c r="G119" i="174"/>
  <c r="G55" i="174"/>
  <c r="G176" i="174"/>
  <c r="G169" i="174"/>
  <c r="G120" i="174"/>
  <c r="G83" i="174"/>
  <c r="G50" i="174"/>
  <c r="G21" i="174"/>
  <c r="G31" i="174"/>
  <c r="G20" i="174"/>
  <c r="G382" i="174" l="1"/>
  <c r="G384" i="174"/>
  <c r="G378" i="174"/>
  <c r="G249" i="174"/>
  <c r="G388" i="174"/>
  <c r="G311" i="174"/>
  <c r="G278" i="174"/>
  <c r="G231" i="174"/>
  <c r="G295" i="174"/>
  <c r="G247" i="174"/>
  <c r="G392" i="174"/>
  <c r="G358" i="174"/>
  <c r="G326" i="174"/>
  <c r="G375" i="174"/>
  <c r="G327" i="174"/>
  <c r="G275" i="174"/>
  <c r="G273" i="174"/>
  <c r="G342" i="174"/>
  <c r="G228" i="174"/>
  <c r="G220" i="174"/>
  <c r="G386" i="174"/>
  <c r="G318" i="174"/>
  <c r="G396" i="174"/>
  <c r="G222" i="174"/>
  <c r="G243" i="174"/>
  <c r="G334" i="174"/>
  <c r="G341" i="174"/>
  <c r="G389" i="174"/>
  <c r="G351" i="174"/>
  <c r="G325" i="174"/>
  <c r="G285" i="174"/>
  <c r="G241" i="174"/>
  <c r="G397" i="174"/>
  <c r="G261" i="174"/>
  <c r="G340" i="174"/>
  <c r="G365" i="174"/>
  <c r="G349" i="174"/>
  <c r="G346" i="174"/>
  <c r="G344" i="174"/>
  <c r="G372" i="174"/>
  <c r="G280" i="174"/>
  <c r="G246" i="174"/>
  <c r="G314" i="174"/>
  <c r="G373" i="174"/>
  <c r="G391" i="174"/>
  <c r="G302" i="174"/>
  <c r="G293" i="174"/>
  <c r="G369" i="174"/>
  <c r="G322" i="174"/>
  <c r="G269" i="174"/>
  <c r="G304" i="174"/>
  <c r="G259" i="174"/>
  <c r="G245" i="174"/>
  <c r="G229" i="174"/>
  <c r="G305" i="174"/>
  <c r="G274" i="174"/>
  <c r="G331" i="174"/>
  <c r="G298" i="174"/>
  <c r="G310" i="174"/>
  <c r="G321" i="174"/>
  <c r="G330" i="174"/>
  <c r="G303" i="174"/>
  <c r="G356" i="174"/>
  <c r="G309" i="174"/>
  <c r="G262" i="174"/>
  <c r="G239" i="174"/>
  <c r="G308" i="174"/>
  <c r="G279" i="174"/>
  <c r="G371" i="174"/>
  <c r="G289" i="174"/>
  <c r="G284" i="174"/>
  <c r="G234" i="174"/>
  <c r="G343" i="174"/>
  <c r="G276" i="174"/>
  <c r="G385" i="174"/>
  <c r="G366" i="174"/>
  <c r="G381" i="174"/>
  <c r="G268" i="174"/>
  <c r="G350" i="174"/>
  <c r="G368" i="174"/>
  <c r="G328" i="174"/>
  <c r="G218" i="174"/>
  <c r="G370" i="174"/>
  <c r="G338" i="174"/>
  <c r="G297" i="174"/>
  <c r="G232" i="174"/>
  <c r="G288" i="174"/>
  <c r="G380" i="174"/>
  <c r="G348" i="174"/>
  <c r="G320" i="174"/>
  <c r="G264" i="174"/>
  <c r="G301" i="174"/>
  <c r="G270" i="174"/>
  <c r="G256" i="174"/>
  <c r="G235" i="174"/>
  <c r="G219" i="174"/>
  <c r="G287" i="174"/>
  <c r="G255" i="174"/>
  <c r="G395" i="174"/>
  <c r="G362" i="174"/>
  <c r="G360" i="174"/>
  <c r="G353" i="174"/>
  <c r="G355" i="174"/>
  <c r="G376" i="174"/>
  <c r="G236" i="174"/>
  <c r="G339" i="174"/>
  <c r="G357" i="174"/>
  <c r="G323" i="174"/>
  <c r="G216" i="174"/>
  <c r="G367" i="174"/>
  <c r="G335" i="174"/>
  <c r="G292" i="174"/>
  <c r="G224" i="174"/>
  <c r="G252" i="174"/>
  <c r="G377" i="174"/>
  <c r="G345" i="174"/>
  <c r="G317" i="174"/>
  <c r="G257" i="174"/>
  <c r="G299" i="174"/>
  <c r="G267" i="174"/>
  <c r="G253" i="174"/>
  <c r="G233" i="174"/>
  <c r="G313" i="174"/>
  <c r="G282" i="174"/>
  <c r="G250" i="174"/>
  <c r="G336" i="174"/>
  <c r="G332" i="174"/>
  <c r="G300" i="174"/>
  <c r="G347" i="174"/>
  <c r="G387" i="174"/>
  <c r="G374" i="174"/>
  <c r="G272" i="174"/>
  <c r="G315" i="174"/>
  <c r="G393" i="174"/>
  <c r="G329" i="174"/>
  <c r="G283" i="174"/>
  <c r="G225" i="174"/>
  <c r="G319" i="174"/>
  <c r="G307" i="174"/>
  <c r="G223" i="174"/>
  <c r="G363" i="174"/>
  <c r="G394" i="174"/>
  <c r="G281" i="174"/>
  <c r="G242" i="174"/>
  <c r="G324" i="174"/>
  <c r="G294" i="174"/>
  <c r="G263" i="174"/>
  <c r="G390" i="174"/>
  <c r="G316" i="174"/>
  <c r="G359" i="174"/>
  <c r="G240" i="174"/>
  <c r="G226" i="174"/>
  <c r="G337" i="174"/>
  <c r="G306" i="174"/>
  <c r="G230" i="174"/>
  <c r="G291" i="174"/>
  <c r="G217" i="174"/>
  <c r="G237" i="174"/>
  <c r="G221" i="174"/>
  <c r="G290" i="174"/>
  <c r="G258" i="174"/>
  <c r="G248" i="174"/>
  <c r="G379" i="174"/>
  <c r="G277" i="174"/>
  <c r="G354" i="174"/>
  <c r="G265" i="174"/>
  <c r="G333" i="174"/>
  <c r="G364" i="174"/>
  <c r="G296" i="174"/>
  <c r="G286" i="174"/>
  <c r="G254" i="174"/>
  <c r="G227" i="174"/>
  <c r="G271" i="174"/>
  <c r="G238" i="174"/>
  <c r="G244" i="174"/>
  <c r="G352" i="174"/>
  <c r="G383" i="174"/>
  <c r="G260" i="174"/>
  <c r="G361" i="174"/>
  <c r="G312" i="174"/>
  <c r="G251" i="174"/>
  <c r="G266" i="174"/>
  <c r="E212" i="174" l="1"/>
  <c r="I67" i="95" l="1"/>
  <c r="J67" i="95"/>
  <c r="D27" i="95"/>
  <c r="E27" i="95"/>
  <c r="Q30" i="26"/>
  <c r="D30" i="26" s="1"/>
  <c r="M5" i="26"/>
  <c r="B22" i="116" l="1"/>
  <c r="C12" i="163" s="1"/>
  <c r="C394" i="163" l="1"/>
  <c r="G118" i="163"/>
  <c r="G330" i="163"/>
  <c r="G322" i="163"/>
  <c r="G33" i="163"/>
  <c r="G97" i="163"/>
  <c r="G65" i="163"/>
  <c r="G287" i="163"/>
  <c r="G251" i="163"/>
  <c r="G22" i="163"/>
  <c r="G301" i="163"/>
  <c r="G233" i="163"/>
  <c r="G265" i="163"/>
  <c r="G185" i="163"/>
  <c r="G182" i="163"/>
  <c r="G70" i="163"/>
  <c r="G317" i="163"/>
  <c r="G81" i="163"/>
  <c r="G209" i="163"/>
  <c r="G62" i="163"/>
  <c r="G46" i="163"/>
  <c r="G294" i="163"/>
  <c r="G255" i="163"/>
  <c r="G24" i="163"/>
  <c r="G88" i="163"/>
  <c r="G152" i="163"/>
  <c r="G200" i="163"/>
  <c r="G257" i="163"/>
  <c r="G51" i="163"/>
  <c r="G163" i="163"/>
  <c r="G227" i="163"/>
  <c r="G320" i="163"/>
  <c r="G368" i="163"/>
  <c r="G60" i="163"/>
  <c r="G124" i="163"/>
  <c r="G188" i="163"/>
  <c r="G259" i="163"/>
  <c r="G324" i="163"/>
  <c r="G372" i="163"/>
  <c r="G16" i="163"/>
  <c r="G48" i="163"/>
  <c r="G80" i="163"/>
  <c r="G112" i="163"/>
  <c r="G144" i="163"/>
  <c r="G176" i="163"/>
  <c r="G208" i="163"/>
  <c r="G243" i="163"/>
  <c r="G289" i="163"/>
  <c r="G113" i="163"/>
  <c r="G217" i="163"/>
  <c r="G177" i="163"/>
  <c r="G169" i="163"/>
  <c r="G57" i="163"/>
  <c r="G206" i="163"/>
  <c r="G137" i="163"/>
  <c r="G362" i="163"/>
  <c r="G222" i="163"/>
  <c r="G225" i="163"/>
  <c r="G258" i="163"/>
  <c r="G158" i="163"/>
  <c r="G142" i="163"/>
  <c r="G78" i="163"/>
  <c r="G214" i="163"/>
  <c r="G153" i="163"/>
  <c r="G25" i="163"/>
  <c r="G285" i="163"/>
  <c r="G56" i="163"/>
  <c r="G120" i="163"/>
  <c r="G168" i="163"/>
  <c r="G131" i="163"/>
  <c r="G336" i="163"/>
  <c r="G249" i="163"/>
  <c r="G28" i="163"/>
  <c r="G92" i="163"/>
  <c r="G156" i="163"/>
  <c r="G220" i="163"/>
  <c r="G356" i="163"/>
  <c r="G281" i="163"/>
  <c r="G32" i="163"/>
  <c r="G64" i="163"/>
  <c r="G96" i="163"/>
  <c r="G128" i="163"/>
  <c r="G160" i="163"/>
  <c r="G192" i="163"/>
  <c r="G224" i="163"/>
  <c r="G307" i="163"/>
  <c r="G187" i="163"/>
  <c r="G261" i="163"/>
  <c r="G312" i="163"/>
  <c r="G344" i="163"/>
  <c r="G376" i="163"/>
  <c r="G72" i="163"/>
  <c r="G136" i="163"/>
  <c r="G216" i="163"/>
  <c r="G99" i="163"/>
  <c r="G272" i="163"/>
  <c r="G352" i="163"/>
  <c r="G366" i="163"/>
  <c r="G55" i="163"/>
  <c r="G119" i="163"/>
  <c r="G183" i="163"/>
  <c r="G244" i="163"/>
  <c r="G189" i="163"/>
  <c r="G125" i="163"/>
  <c r="G61" i="163"/>
  <c r="G314" i="163"/>
  <c r="G235" i="163"/>
  <c r="G170" i="163"/>
  <c r="G106" i="163"/>
  <c r="G42" i="163"/>
  <c r="G250" i="163"/>
  <c r="G350" i="163"/>
  <c r="G373" i="163"/>
  <c r="G47" i="163"/>
  <c r="G79" i="163"/>
  <c r="G111" i="163"/>
  <c r="G143" i="163"/>
  <c r="G175" i="163"/>
  <c r="G207" i="163"/>
  <c r="G286" i="163"/>
  <c r="G329" i="163"/>
  <c r="G331" i="163"/>
  <c r="G363" i="163"/>
  <c r="G41" i="163"/>
  <c r="G161" i="163"/>
  <c r="G262" i="163"/>
  <c r="G86" i="163"/>
  <c r="G237" i="163"/>
  <c r="G129" i="163"/>
  <c r="G110" i="163"/>
  <c r="G38" i="163"/>
  <c r="G30" i="163"/>
  <c r="G89" i="163"/>
  <c r="G198" i="163"/>
  <c r="G234" i="163"/>
  <c r="G115" i="163"/>
  <c r="G195" i="163"/>
  <c r="G335" i="163"/>
  <c r="G278" i="163"/>
  <c r="G173" i="163"/>
  <c r="G45" i="163"/>
  <c r="G323" i="163"/>
  <c r="G355" i="163"/>
  <c r="G310" i="163"/>
  <c r="G229" i="163"/>
  <c r="G165" i="163"/>
  <c r="G101" i="163"/>
  <c r="G37" i="163"/>
  <c r="G266" i="163"/>
  <c r="G342" i="163"/>
  <c r="G365" i="163"/>
  <c r="G43" i="163"/>
  <c r="G75" i="163"/>
  <c r="G107" i="163"/>
  <c r="G139" i="163"/>
  <c r="G302" i="163"/>
  <c r="G353" i="163"/>
  <c r="G248" i="163"/>
  <c r="G280" i="163"/>
  <c r="G328" i="163"/>
  <c r="G184" i="163"/>
  <c r="G341" i="163"/>
  <c r="G231" i="163"/>
  <c r="G313" i="163"/>
  <c r="G340" i="163"/>
  <c r="G253" i="163"/>
  <c r="G29" i="163"/>
  <c r="G74" i="163"/>
  <c r="G20" i="163"/>
  <c r="G52" i="163"/>
  <c r="G84" i="163"/>
  <c r="G116" i="163"/>
  <c r="G148" i="163"/>
  <c r="G180" i="163"/>
  <c r="G212" i="163"/>
  <c r="G31" i="163"/>
  <c r="G159" i="163"/>
  <c r="G309" i="163"/>
  <c r="G361" i="163"/>
  <c r="G315" i="163"/>
  <c r="G297" i="163"/>
  <c r="G193" i="163"/>
  <c r="G121" i="163"/>
  <c r="G230" i="163"/>
  <c r="G73" i="163"/>
  <c r="G201" i="163"/>
  <c r="G283" i="163"/>
  <c r="G126" i="163"/>
  <c r="G174" i="163"/>
  <c r="G54" i="163"/>
  <c r="G378" i="163"/>
  <c r="G83" i="163"/>
  <c r="G367" i="163"/>
  <c r="G205" i="163"/>
  <c r="G109" i="163"/>
  <c r="G299" i="163"/>
  <c r="G339" i="163"/>
  <c r="G371" i="163"/>
  <c r="G271" i="163"/>
  <c r="G197" i="163"/>
  <c r="G133" i="163"/>
  <c r="G69" i="163"/>
  <c r="G354" i="163"/>
  <c r="G374" i="163"/>
  <c r="G27" i="163"/>
  <c r="G59" i="163"/>
  <c r="G91" i="163"/>
  <c r="G123" i="163"/>
  <c r="G155" i="163"/>
  <c r="G203" i="163"/>
  <c r="G321" i="163"/>
  <c r="G232" i="163"/>
  <c r="G264" i="163"/>
  <c r="G296" i="163"/>
  <c r="G327" i="163"/>
  <c r="G40" i="163"/>
  <c r="G326" i="163"/>
  <c r="G35" i="163"/>
  <c r="G293" i="163"/>
  <c r="G240" i="163"/>
  <c r="G304" i="163"/>
  <c r="G87" i="163"/>
  <c r="G157" i="163"/>
  <c r="G202" i="163"/>
  <c r="G36" i="163"/>
  <c r="G68" i="163"/>
  <c r="G100" i="163"/>
  <c r="G132" i="163"/>
  <c r="G164" i="163"/>
  <c r="G196" i="163"/>
  <c r="G228" i="163"/>
  <c r="G318" i="163"/>
  <c r="G95" i="163"/>
  <c r="G223" i="163"/>
  <c r="G263" i="163"/>
  <c r="G379" i="163"/>
  <c r="G49" i="163"/>
  <c r="G17" i="163"/>
  <c r="G102" i="163"/>
  <c r="G105" i="163"/>
  <c r="G298" i="163"/>
  <c r="G19" i="163"/>
  <c r="G360" i="163"/>
  <c r="G104" i="163"/>
  <c r="G179" i="163"/>
  <c r="G247" i="163"/>
  <c r="G151" i="163"/>
  <c r="G276" i="163"/>
  <c r="G274" i="163"/>
  <c r="G291" i="163"/>
  <c r="G191" i="163"/>
  <c r="G252" i="163"/>
  <c r="G284" i="163"/>
  <c r="G316" i="163"/>
  <c r="G348" i="163"/>
  <c r="G269" i="163"/>
  <c r="G338" i="163"/>
  <c r="G290" i="163"/>
  <c r="G149" i="163"/>
  <c r="G21" i="163"/>
  <c r="G226" i="163"/>
  <c r="G130" i="163"/>
  <c r="G34" i="163"/>
  <c r="G270" i="163"/>
  <c r="G369" i="163"/>
  <c r="G288" i="163"/>
  <c r="G154" i="163"/>
  <c r="G58" i="163"/>
  <c r="G282" i="163"/>
  <c r="G357" i="163"/>
  <c r="G71" i="163"/>
  <c r="G135" i="163"/>
  <c r="G199" i="163"/>
  <c r="G254" i="163"/>
  <c r="G345" i="163"/>
  <c r="G260" i="163"/>
  <c r="G308" i="163"/>
  <c r="G242" i="163"/>
  <c r="G178" i="163"/>
  <c r="G114" i="163"/>
  <c r="G50" i="163"/>
  <c r="G238" i="163"/>
  <c r="G343" i="163"/>
  <c r="G375" i="163"/>
  <c r="G181" i="163"/>
  <c r="G53" i="163"/>
  <c r="G162" i="163"/>
  <c r="G349" i="163"/>
  <c r="G275" i="163"/>
  <c r="G319" i="163"/>
  <c r="G346" i="163"/>
  <c r="G141" i="163"/>
  <c r="G218" i="163"/>
  <c r="G44" i="163"/>
  <c r="G108" i="163"/>
  <c r="G172" i="163"/>
  <c r="G241" i="163"/>
  <c r="G138" i="163"/>
  <c r="G333" i="163"/>
  <c r="G166" i="163"/>
  <c r="G370" i="163"/>
  <c r="G150" i="163"/>
  <c r="G358" i="163"/>
  <c r="G171" i="163"/>
  <c r="G67" i="163"/>
  <c r="G147" i="163"/>
  <c r="G211" i="163"/>
  <c r="G221" i="163"/>
  <c r="G325" i="163"/>
  <c r="G273" i="163"/>
  <c r="G63" i="163"/>
  <c r="G236" i="163"/>
  <c r="G268" i="163"/>
  <c r="G300" i="163"/>
  <c r="G332" i="163"/>
  <c r="G364" i="163"/>
  <c r="G145" i="163"/>
  <c r="G85" i="163"/>
  <c r="G311" i="163"/>
  <c r="G26" i="163"/>
  <c r="G167" i="163"/>
  <c r="G292" i="163"/>
  <c r="G82" i="163"/>
  <c r="G267" i="163"/>
  <c r="G77" i="163"/>
  <c r="G204" i="163"/>
  <c r="G93" i="163"/>
  <c r="G245" i="163"/>
  <c r="G23" i="163"/>
  <c r="G134" i="163"/>
  <c r="G213" i="163"/>
  <c r="G98" i="163"/>
  <c r="G90" i="163"/>
  <c r="G103" i="163"/>
  <c r="G377" i="163"/>
  <c r="G146" i="163"/>
  <c r="G279" i="163"/>
  <c r="G117" i="163"/>
  <c r="G239" i="163"/>
  <c r="G140" i="163"/>
  <c r="G303" i="163"/>
  <c r="G127" i="163"/>
  <c r="G306" i="163"/>
  <c r="G256" i="163"/>
  <c r="G334" i="163"/>
  <c r="G215" i="163"/>
  <c r="G18" i="163"/>
  <c r="G359" i="163"/>
  <c r="G66" i="163"/>
  <c r="G337" i="163"/>
  <c r="G122" i="163"/>
  <c r="G305" i="163"/>
  <c r="G347" i="163"/>
  <c r="G94" i="163"/>
  <c r="G194" i="163"/>
  <c r="G186" i="163"/>
  <c r="G39" i="163"/>
  <c r="G295" i="163"/>
  <c r="G210" i="163"/>
  <c r="G219" i="163"/>
  <c r="G246" i="163"/>
  <c r="G351" i="163"/>
  <c r="G76" i="163"/>
  <c r="G277" i="163"/>
  <c r="G190" i="163"/>
  <c r="E12" i="163"/>
  <c r="G12" i="163" s="1"/>
  <c r="R17" i="167"/>
  <c r="R16" i="167"/>
  <c r="G561" i="163" l="1"/>
  <c r="G446" i="163"/>
  <c r="G537" i="163"/>
  <c r="G677" i="163"/>
  <c r="G579" i="163"/>
  <c r="G469" i="163"/>
  <c r="G605" i="163"/>
  <c r="G456" i="163"/>
  <c r="G577" i="163"/>
  <c r="G463" i="163"/>
  <c r="G527" i="163"/>
  <c r="G599" i="163"/>
  <c r="G450" i="163"/>
  <c r="G514" i="163"/>
  <c r="G585" i="163"/>
  <c r="G700" i="163"/>
  <c r="G665" i="163"/>
  <c r="G752" i="163"/>
  <c r="G632" i="163"/>
  <c r="G710" i="163"/>
  <c r="G675" i="163"/>
  <c r="G739" i="163"/>
  <c r="G411" i="163"/>
  <c r="G431" i="163"/>
  <c r="G611" i="163"/>
  <c r="G516" i="163"/>
  <c r="G448" i="163"/>
  <c r="G635" i="163"/>
  <c r="G436" i="163"/>
  <c r="G595" i="163"/>
  <c r="G467" i="163"/>
  <c r="G547" i="163"/>
  <c r="G631" i="163"/>
  <c r="G454" i="163"/>
  <c r="G518" i="163"/>
  <c r="G610" i="163"/>
  <c r="G757" i="163"/>
  <c r="G713" i="163"/>
  <c r="G588" i="163"/>
  <c r="G759" i="163"/>
  <c r="G705" i="163"/>
  <c r="G627" i="163"/>
  <c r="G414" i="163"/>
  <c r="G407" i="163"/>
  <c r="G505" i="163"/>
  <c r="G712" i="163"/>
  <c r="G618" i="163"/>
  <c r="G434" i="163"/>
  <c r="G532" i="163"/>
  <c r="G741" i="163"/>
  <c r="G429" i="163"/>
  <c r="G485" i="163"/>
  <c r="G549" i="163"/>
  <c r="G666" i="163"/>
  <c r="G408" i="163"/>
  <c r="G438" i="163"/>
  <c r="G504" i="163"/>
  <c r="G563" i="163"/>
  <c r="G652" i="163"/>
  <c r="G455" i="163"/>
  <c r="G487" i="163"/>
  <c r="G519" i="163"/>
  <c r="G551" i="163"/>
  <c r="G590" i="163"/>
  <c r="G639" i="163"/>
  <c r="G714" i="163"/>
  <c r="G458" i="163"/>
  <c r="G490" i="163"/>
  <c r="G522" i="163"/>
  <c r="G554" i="163"/>
  <c r="G594" i="163"/>
  <c r="G642" i="163"/>
  <c r="G725" i="163"/>
  <c r="G637" i="163"/>
  <c r="G674" i="163"/>
  <c r="G720" i="163"/>
  <c r="G761" i="163"/>
  <c r="G592" i="163"/>
  <c r="G624" i="163"/>
  <c r="G660" i="163"/>
  <c r="G701" i="163"/>
  <c r="G742" i="163"/>
  <c r="G667" i="163"/>
  <c r="G699" i="163"/>
  <c r="G731" i="163"/>
  <c r="G513" i="163"/>
  <c r="G575" i="163"/>
  <c r="G473" i="163"/>
  <c r="G556" i="163"/>
  <c r="G500" i="163"/>
  <c r="G405" i="163"/>
  <c r="G501" i="163"/>
  <c r="G680" i="163"/>
  <c r="G432" i="163"/>
  <c r="G552" i="163"/>
  <c r="G447" i="163"/>
  <c r="G511" i="163"/>
  <c r="G581" i="163"/>
  <c r="G689" i="163"/>
  <c r="G466" i="163"/>
  <c r="G530" i="163"/>
  <c r="G603" i="163"/>
  <c r="G750" i="163"/>
  <c r="G688" i="163"/>
  <c r="G568" i="163"/>
  <c r="G616" i="163"/>
  <c r="G692" i="163"/>
  <c r="G659" i="163"/>
  <c r="G723" i="163"/>
  <c r="G589" i="163"/>
  <c r="G398" i="163"/>
  <c r="G489" i="163"/>
  <c r="G460" i="163"/>
  <c r="G452" i="163"/>
  <c r="G684" i="163"/>
  <c r="G477" i="163"/>
  <c r="G573" i="163"/>
  <c r="G420" i="163"/>
  <c r="G528" i="163"/>
  <c r="G646" i="163"/>
  <c r="G483" i="163"/>
  <c r="G531" i="163"/>
  <c r="G606" i="163"/>
  <c r="G746" i="163"/>
  <c r="G502" i="163"/>
  <c r="G550" i="163"/>
  <c r="G634" i="163"/>
  <c r="G633" i="163"/>
  <c r="G690" i="163"/>
  <c r="G572" i="163"/>
  <c r="G620" i="163"/>
  <c r="G676" i="163"/>
  <c r="G717" i="163"/>
  <c r="G758" i="163"/>
  <c r="G679" i="163"/>
  <c r="G711" i="163"/>
  <c r="G743" i="163"/>
  <c r="G497" i="163"/>
  <c r="G435" i="163"/>
  <c r="G430" i="163"/>
  <c r="G415" i="163"/>
  <c r="G521" i="163"/>
  <c r="G406" i="163"/>
  <c r="G638" i="163"/>
  <c r="G437" i="163"/>
  <c r="G548" i="163"/>
  <c r="G401" i="163"/>
  <c r="G433" i="163"/>
  <c r="G493" i="163"/>
  <c r="G557" i="163"/>
  <c r="G673" i="163"/>
  <c r="G412" i="163"/>
  <c r="G445" i="163"/>
  <c r="G512" i="163"/>
  <c r="G570" i="163"/>
  <c r="G702" i="163"/>
  <c r="G459" i="163"/>
  <c r="G491" i="163"/>
  <c r="G523" i="163"/>
  <c r="G555" i="163"/>
  <c r="G597" i="163"/>
  <c r="G647" i="163"/>
  <c r="G721" i="163"/>
  <c r="G462" i="163"/>
  <c r="G494" i="163"/>
  <c r="G526" i="163"/>
  <c r="G558" i="163"/>
  <c r="G601" i="163"/>
  <c r="G654" i="163"/>
  <c r="G732" i="163"/>
  <c r="G641" i="163"/>
  <c r="G681" i="163"/>
  <c r="G722" i="163"/>
  <c r="G564" i="163"/>
  <c r="G596" i="163"/>
  <c r="G628" i="163"/>
  <c r="G662" i="163"/>
  <c r="G708" i="163"/>
  <c r="G749" i="163"/>
  <c r="G671" i="163"/>
  <c r="G703" i="163"/>
  <c r="G735" i="163"/>
  <c r="G427" i="163"/>
  <c r="G423" i="163"/>
  <c r="G422" i="163"/>
  <c r="G444" i="163"/>
  <c r="G421" i="163"/>
  <c r="G533" i="163"/>
  <c r="G400" i="163"/>
  <c r="G520" i="163"/>
  <c r="G709" i="163"/>
  <c r="G495" i="163"/>
  <c r="G559" i="163"/>
  <c r="G650" i="163"/>
  <c r="G482" i="163"/>
  <c r="G546" i="163"/>
  <c r="G626" i="163"/>
  <c r="G629" i="163"/>
  <c r="G706" i="163"/>
  <c r="G600" i="163"/>
  <c r="G669" i="163"/>
  <c r="G756" i="163"/>
  <c r="G707" i="163"/>
  <c r="G582" i="163"/>
  <c r="G476" i="163"/>
  <c r="G553" i="163"/>
  <c r="G426" i="163"/>
  <c r="G409" i="163"/>
  <c r="G541" i="163"/>
  <c r="G404" i="163"/>
  <c r="G496" i="163"/>
  <c r="G716" i="163"/>
  <c r="G499" i="163"/>
  <c r="G583" i="163"/>
  <c r="G696" i="163"/>
  <c r="G486" i="163"/>
  <c r="G569" i="163"/>
  <c r="G668" i="163"/>
  <c r="G649" i="163"/>
  <c r="G754" i="163"/>
  <c r="G653" i="163"/>
  <c r="G508" i="163"/>
  <c r="G402" i="163"/>
  <c r="G453" i="163"/>
  <c r="G424" i="163"/>
  <c r="G439" i="163"/>
  <c r="G567" i="163"/>
  <c r="G474" i="163"/>
  <c r="G617" i="163"/>
  <c r="G697" i="163"/>
  <c r="G640" i="163"/>
  <c r="G683" i="163"/>
  <c r="G748" i="163"/>
  <c r="G441" i="163"/>
  <c r="G630" i="163"/>
  <c r="G728" i="163"/>
  <c r="G645" i="163"/>
  <c r="G733" i="163"/>
  <c r="G698" i="163"/>
  <c r="G509" i="163"/>
  <c r="G451" i="163"/>
  <c r="G470" i="163"/>
  <c r="G672" i="163"/>
  <c r="G694" i="163"/>
  <c r="G727" i="163"/>
  <c r="G540" i="163"/>
  <c r="G410" i="163"/>
  <c r="G461" i="163"/>
  <c r="G428" i="163"/>
  <c r="G443" i="163"/>
  <c r="G574" i="163"/>
  <c r="G478" i="163"/>
  <c r="G619" i="163"/>
  <c r="G704" i="163"/>
  <c r="G644" i="163"/>
  <c r="G687" i="163"/>
  <c r="G507" i="163"/>
  <c r="G580" i="163"/>
  <c r="G465" i="163"/>
  <c r="G492" i="163"/>
  <c r="G413" i="163"/>
  <c r="G737" i="163"/>
  <c r="G602" i="163"/>
  <c r="G535" i="163"/>
  <c r="G753" i="163"/>
  <c r="G571" i="163"/>
  <c r="G656" i="163"/>
  <c r="G608" i="163"/>
  <c r="G651" i="163"/>
  <c r="G481" i="163"/>
  <c r="G670" i="163"/>
  <c r="G488" i="163"/>
  <c r="G623" i="163"/>
  <c r="G661" i="163"/>
  <c r="G648" i="163"/>
  <c r="G545" i="163"/>
  <c r="G399" i="163"/>
  <c r="G425" i="163"/>
  <c r="G560" i="163"/>
  <c r="G657" i="163"/>
  <c r="G718" i="163"/>
  <c r="G636" i="163"/>
  <c r="G695" i="163"/>
  <c r="G529" i="163"/>
  <c r="G524" i="163"/>
  <c r="G417" i="163"/>
  <c r="G744" i="163"/>
  <c r="G609" i="163"/>
  <c r="G539" i="163"/>
  <c r="G760" i="163"/>
  <c r="G578" i="163"/>
  <c r="G658" i="163"/>
  <c r="G612" i="163"/>
  <c r="G655" i="163"/>
  <c r="G622" i="163"/>
  <c r="G682" i="163"/>
  <c r="G726" i="163"/>
  <c r="G440" i="163"/>
  <c r="G613" i="163"/>
  <c r="G738" i="163"/>
  <c r="G715" i="163"/>
  <c r="G566" i="163"/>
  <c r="G479" i="163"/>
  <c r="G498" i="163"/>
  <c r="G691" i="163"/>
  <c r="G515" i="163"/>
  <c r="G534" i="163"/>
  <c r="G419" i="163"/>
  <c r="G607" i="163"/>
  <c r="G593" i="163"/>
  <c r="G591" i="163"/>
  <c r="G536" i="163"/>
  <c r="G503" i="163"/>
  <c r="G664" i="163"/>
  <c r="G538" i="163"/>
  <c r="G621" i="163"/>
  <c r="G576" i="163"/>
  <c r="G724" i="163"/>
  <c r="G747" i="163"/>
  <c r="G418" i="163"/>
  <c r="G416" i="163"/>
  <c r="G543" i="163"/>
  <c r="G562" i="163"/>
  <c r="G584" i="163"/>
  <c r="G755" i="163"/>
  <c r="G586" i="163"/>
  <c r="G464" i="163"/>
  <c r="G565" i="163"/>
  <c r="G587" i="163"/>
  <c r="G604" i="163"/>
  <c r="G663" i="163"/>
  <c r="G442" i="163"/>
  <c r="G614" i="163"/>
  <c r="G598" i="163"/>
  <c r="G544" i="163"/>
  <c r="G542" i="163"/>
  <c r="G625" i="163"/>
  <c r="G751" i="163"/>
  <c r="G403" i="163"/>
  <c r="G468" i="163"/>
  <c r="G517" i="163"/>
  <c r="G472" i="163"/>
  <c r="G471" i="163"/>
  <c r="G506" i="163"/>
  <c r="G686" i="163"/>
  <c r="G678" i="163"/>
  <c r="G643" i="163"/>
  <c r="G729" i="163"/>
  <c r="G734" i="163"/>
  <c r="G730" i="163"/>
  <c r="G736" i="163"/>
  <c r="G740" i="163"/>
  <c r="G484" i="163"/>
  <c r="G615" i="163"/>
  <c r="G685" i="163"/>
  <c r="G449" i="163"/>
  <c r="G693" i="163"/>
  <c r="G525" i="163"/>
  <c r="G510" i="163"/>
  <c r="G719" i="163"/>
  <c r="G480" i="163"/>
  <c r="G457" i="163"/>
  <c r="G475" i="163"/>
  <c r="G745" i="163"/>
  <c r="R19" i="167"/>
  <c r="E394" i="163" l="1"/>
  <c r="G394" i="163" s="1"/>
  <c r="D8" i="116" s="1"/>
  <c r="R20" i="167"/>
  <c r="J31" i="17"/>
  <c r="D9" i="116" l="1"/>
  <c r="E8" i="179"/>
  <c r="R21" i="167"/>
  <c r="F153" i="153"/>
  <c r="E153" i="153"/>
  <c r="W52" i="26" s="1"/>
  <c r="E52" i="26" s="1"/>
  <c r="F145" i="153"/>
  <c r="E145" i="153"/>
  <c r="W51" i="26" s="1"/>
  <c r="E51" i="26" s="1"/>
  <c r="D141" i="143"/>
  <c r="D10" i="116" l="1"/>
  <c r="E9" i="179"/>
  <c r="R22" i="167"/>
  <c r="H93" i="143"/>
  <c r="E93" i="143" s="1"/>
  <c r="H88" i="143"/>
  <c r="E88" i="143" s="1"/>
  <c r="D11" i="116" l="1"/>
  <c r="E12" i="179"/>
  <c r="H11" i="174"/>
  <c r="E13" i="174"/>
  <c r="G13" i="174" s="1"/>
  <c r="G212" i="174" s="1"/>
  <c r="D50" i="116" s="1"/>
  <c r="O15" i="167"/>
  <c r="O17" i="167"/>
  <c r="O19" i="167"/>
  <c r="O24" i="167"/>
  <c r="O25" i="167"/>
  <c r="O18" i="167"/>
  <c r="O23" i="167"/>
  <c r="O22" i="167"/>
  <c r="O10" i="167"/>
  <c r="O20" i="167"/>
  <c r="O21" i="167"/>
  <c r="O9" i="167"/>
  <c r="D43" i="116"/>
  <c r="R23" i="167"/>
  <c r="F14" i="153"/>
  <c r="D51" i="116" l="1"/>
  <c r="G7" i="179"/>
  <c r="P8" i="167"/>
  <c r="D12" i="116"/>
  <c r="E13" i="179"/>
  <c r="D52" i="116"/>
  <c r="G9" i="179" s="1"/>
  <c r="P9" i="167"/>
  <c r="H18" i="174"/>
  <c r="H19" i="174"/>
  <c r="H17" i="174"/>
  <c r="H101" i="174"/>
  <c r="H41" i="174"/>
  <c r="H91" i="174"/>
  <c r="H117" i="174"/>
  <c r="H25" i="174"/>
  <c r="H27" i="174"/>
  <c r="H45" i="174"/>
  <c r="H109" i="174"/>
  <c r="H75" i="174"/>
  <c r="H49" i="174"/>
  <c r="H113" i="174"/>
  <c r="H80" i="174"/>
  <c r="H184" i="174"/>
  <c r="H140" i="174"/>
  <c r="H94" i="174"/>
  <c r="H62" i="174"/>
  <c r="H40" i="174"/>
  <c r="H195" i="174"/>
  <c r="H179" i="174"/>
  <c r="H163" i="174"/>
  <c r="H147" i="174"/>
  <c r="H130" i="174"/>
  <c r="H108" i="174"/>
  <c r="H87" i="174"/>
  <c r="H66" i="174"/>
  <c r="H44" i="174"/>
  <c r="H23" i="174"/>
  <c r="H160" i="174"/>
  <c r="H72" i="174"/>
  <c r="H182" i="174"/>
  <c r="H166" i="174"/>
  <c r="H150" i="174"/>
  <c r="H134" i="174"/>
  <c r="H180" i="174"/>
  <c r="H131" i="174"/>
  <c r="H185" i="174"/>
  <c r="H169" i="174"/>
  <c r="H153" i="174"/>
  <c r="H137" i="174"/>
  <c r="H116" i="174"/>
  <c r="H95" i="174"/>
  <c r="H74" i="174"/>
  <c r="H52" i="174"/>
  <c r="H31" i="174"/>
  <c r="H133" i="174"/>
  <c r="H73" i="174"/>
  <c r="H21" i="174"/>
  <c r="H16" i="174"/>
  <c r="H57" i="174"/>
  <c r="H70" i="174"/>
  <c r="H61" i="174"/>
  <c r="H125" i="174"/>
  <c r="H96" i="174"/>
  <c r="H65" i="174"/>
  <c r="H129" i="174"/>
  <c r="H102" i="174"/>
  <c r="H172" i="174"/>
  <c r="H126" i="174"/>
  <c r="H88" i="174"/>
  <c r="H56" i="174"/>
  <c r="H35" i="174"/>
  <c r="H191" i="174"/>
  <c r="H175" i="174"/>
  <c r="H159" i="174"/>
  <c r="H143" i="174"/>
  <c r="H124" i="174"/>
  <c r="H103" i="174"/>
  <c r="H82" i="174"/>
  <c r="H60" i="174"/>
  <c r="H39" i="174"/>
  <c r="H148" i="174"/>
  <c r="H194" i="174"/>
  <c r="H178" i="174"/>
  <c r="H162" i="174"/>
  <c r="H146" i="174"/>
  <c r="H128" i="174"/>
  <c r="H168" i="174"/>
  <c r="H115" i="174"/>
  <c r="H197" i="174"/>
  <c r="H181" i="174"/>
  <c r="H165" i="174"/>
  <c r="H149" i="174"/>
  <c r="H132" i="174"/>
  <c r="H111" i="174"/>
  <c r="H90" i="174"/>
  <c r="H68" i="174"/>
  <c r="H47" i="174"/>
  <c r="H26" i="174"/>
  <c r="H37" i="174"/>
  <c r="H43" i="174"/>
  <c r="H105" i="174"/>
  <c r="H53" i="174"/>
  <c r="H64" i="174"/>
  <c r="H89" i="174"/>
  <c r="H112" i="174"/>
  <c r="H77" i="174"/>
  <c r="H32" i="174"/>
  <c r="H118" i="174"/>
  <c r="H81" i="174"/>
  <c r="H38" i="174"/>
  <c r="H22" i="174"/>
  <c r="H164" i="174"/>
  <c r="H120" i="174"/>
  <c r="H83" i="174"/>
  <c r="H51" i="174"/>
  <c r="H30" i="174"/>
  <c r="H187" i="174"/>
  <c r="H171" i="174"/>
  <c r="H155" i="174"/>
  <c r="H139" i="174"/>
  <c r="H119" i="174"/>
  <c r="H98" i="174"/>
  <c r="H76" i="174"/>
  <c r="H55" i="174"/>
  <c r="H34" i="174"/>
  <c r="H188" i="174"/>
  <c r="H136" i="174"/>
  <c r="H190" i="174"/>
  <c r="H174" i="174"/>
  <c r="H158" i="174"/>
  <c r="H142" i="174"/>
  <c r="H123" i="174"/>
  <c r="H156" i="174"/>
  <c r="H99" i="174"/>
  <c r="H193" i="174"/>
  <c r="H177" i="174"/>
  <c r="H161" i="174"/>
  <c r="H145" i="174"/>
  <c r="H127" i="174"/>
  <c r="H106" i="174"/>
  <c r="H84" i="174"/>
  <c r="H63" i="174"/>
  <c r="H42" i="174"/>
  <c r="H20" i="174"/>
  <c r="H69" i="174"/>
  <c r="H86" i="174"/>
  <c r="H48" i="174"/>
  <c r="H85" i="174"/>
  <c r="H107" i="174"/>
  <c r="H121" i="174"/>
  <c r="H29" i="174"/>
  <c r="H93" i="174"/>
  <c r="H54" i="174"/>
  <c r="H33" i="174"/>
  <c r="H97" i="174"/>
  <c r="H59" i="174"/>
  <c r="H196" i="174"/>
  <c r="H152" i="174"/>
  <c r="H104" i="174"/>
  <c r="H67" i="174"/>
  <c r="H46" i="174"/>
  <c r="H24" i="174"/>
  <c r="H183" i="174"/>
  <c r="H167" i="174"/>
  <c r="H151" i="174"/>
  <c r="H135" i="174"/>
  <c r="H114" i="174"/>
  <c r="H92" i="174"/>
  <c r="H71" i="174"/>
  <c r="H50" i="174"/>
  <c r="H28" i="174"/>
  <c r="H176" i="174"/>
  <c r="H110" i="174"/>
  <c r="H186" i="174"/>
  <c r="H170" i="174"/>
  <c r="H154" i="174"/>
  <c r="H138" i="174"/>
  <c r="H192" i="174"/>
  <c r="H144" i="174"/>
  <c r="H78" i="174"/>
  <c r="H189" i="174"/>
  <c r="H173" i="174"/>
  <c r="H157" i="174"/>
  <c r="H141" i="174"/>
  <c r="H122" i="174"/>
  <c r="H100" i="174"/>
  <c r="H79" i="174"/>
  <c r="H58" i="174"/>
  <c r="H36" i="174"/>
  <c r="O27" i="167"/>
  <c r="R24" i="167"/>
  <c r="H5" i="143"/>
  <c r="G8" i="179" l="1"/>
  <c r="D13" i="116"/>
  <c r="E15" i="179"/>
  <c r="E5" i="143"/>
  <c r="G5" i="143" s="1"/>
  <c r="G6" i="143" s="1"/>
  <c r="G7" i="143" s="1"/>
  <c r="G8" i="143" s="1"/>
  <c r="G9" i="143" s="1"/>
  <c r="G10" i="143" s="1"/>
  <c r="G11" i="143" s="1"/>
  <c r="G12" i="143" s="1"/>
  <c r="D53" i="116"/>
  <c r="G11" i="179" s="1"/>
  <c r="P10" i="167"/>
  <c r="R25" i="167"/>
  <c r="K45" i="26"/>
  <c r="Q45" i="26"/>
  <c r="F137" i="153"/>
  <c r="E137" i="153"/>
  <c r="W50" i="26" s="1"/>
  <c r="E50" i="26" s="1"/>
  <c r="D45" i="26" l="1"/>
  <c r="D14" i="116"/>
  <c r="E16" i="179"/>
  <c r="P12" i="167"/>
  <c r="D54" i="116"/>
  <c r="G13" i="179" s="1"/>
  <c r="R27" i="167"/>
  <c r="H84" i="143"/>
  <c r="E84" i="143" s="1"/>
  <c r="D15" i="116" l="1"/>
  <c r="E17" i="179"/>
  <c r="D55" i="116"/>
  <c r="G15" i="179" s="1"/>
  <c r="P15" i="167"/>
  <c r="F118" i="153"/>
  <c r="E118" i="153"/>
  <c r="W47" i="26" s="1"/>
  <c r="E47" i="26" s="1"/>
  <c r="F110" i="153"/>
  <c r="E110" i="153"/>
  <c r="W46" i="26" s="1"/>
  <c r="E46" i="26" s="1"/>
  <c r="F101" i="153"/>
  <c r="E101" i="153"/>
  <c r="W45" i="26" s="1"/>
  <c r="F90" i="153"/>
  <c r="E90" i="153"/>
  <c r="W41" i="26" s="1"/>
  <c r="F82" i="153"/>
  <c r="E82" i="153"/>
  <c r="W40" i="26" s="1"/>
  <c r="F74" i="153"/>
  <c r="E74" i="153"/>
  <c r="W39" i="26" s="1"/>
  <c r="F55" i="153"/>
  <c r="E55" i="153"/>
  <c r="W38" i="26" s="1"/>
  <c r="F40" i="153"/>
  <c r="E40" i="153"/>
  <c r="W36" i="26" s="1"/>
  <c r="E36" i="26" s="1"/>
  <c r="F32" i="153"/>
  <c r="E32" i="153"/>
  <c r="W33" i="26" s="1"/>
  <c r="E33" i="26" s="1"/>
  <c r="E20" i="153"/>
  <c r="X32" i="26" s="1"/>
  <c r="E32" i="26" s="1"/>
  <c r="W14" i="143" l="1"/>
  <c r="N13" i="143"/>
  <c r="N141" i="143" s="1"/>
  <c r="D16" i="116"/>
  <c r="E18" i="179"/>
  <c r="H23" i="143"/>
  <c r="E23" i="143" s="1"/>
  <c r="E38" i="26"/>
  <c r="H38" i="143"/>
  <c r="E38" i="143" s="1"/>
  <c r="E40" i="26"/>
  <c r="H57" i="143"/>
  <c r="E57" i="143" s="1"/>
  <c r="E45" i="26"/>
  <c r="H68" i="143"/>
  <c r="E68" i="143" s="1"/>
  <c r="H27" i="143"/>
  <c r="E27" i="143" s="1"/>
  <c r="E39" i="26"/>
  <c r="H53" i="143"/>
  <c r="E53" i="143" s="1"/>
  <c r="E41" i="26"/>
  <c r="H61" i="143"/>
  <c r="E61" i="143" s="1"/>
  <c r="H73" i="143"/>
  <c r="E73" i="143" s="1"/>
  <c r="H15" i="143"/>
  <c r="D56" i="116"/>
  <c r="G17" i="179" s="1"/>
  <c r="P17" i="167"/>
  <c r="F14" i="143" l="1"/>
  <c r="W141" i="143"/>
  <c r="E13" i="143"/>
  <c r="G13" i="143" s="1"/>
  <c r="E15" i="143"/>
  <c r="D17" i="116"/>
  <c r="E19" i="179"/>
  <c r="D57" i="116"/>
  <c r="G18" i="179" s="1"/>
  <c r="P19" i="167"/>
  <c r="R6" i="26"/>
  <c r="R7" i="26"/>
  <c r="R8" i="26"/>
  <c r="R9" i="26"/>
  <c r="R10" i="26"/>
  <c r="R11" i="26"/>
  <c r="R13" i="26"/>
  <c r="R14" i="26"/>
  <c r="R15" i="26"/>
  <c r="R16" i="26"/>
  <c r="R17" i="26"/>
  <c r="R18" i="26"/>
  <c r="R19" i="26"/>
  <c r="R20" i="26"/>
  <c r="R21" i="26"/>
  <c r="R22" i="26"/>
  <c r="R23" i="26"/>
  <c r="R24" i="26"/>
  <c r="R25" i="26"/>
  <c r="R26" i="26"/>
  <c r="R27" i="26"/>
  <c r="R28" i="26"/>
  <c r="R5" i="26"/>
  <c r="Q6" i="26"/>
  <c r="Q7" i="26"/>
  <c r="Q8" i="26"/>
  <c r="Q9" i="26"/>
  <c r="Q10" i="26"/>
  <c r="Q11" i="26"/>
  <c r="Q13" i="26"/>
  <c r="Q14" i="26"/>
  <c r="Q15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33" i="26"/>
  <c r="Q36" i="26"/>
  <c r="D36" i="26" s="1"/>
  <c r="Q38" i="26"/>
  <c r="Q39" i="26"/>
  <c r="Q40" i="26"/>
  <c r="Q41" i="26"/>
  <c r="Q46" i="26"/>
  <c r="Q47" i="26"/>
  <c r="Q48" i="26"/>
  <c r="Q50" i="26"/>
  <c r="Q51" i="26"/>
  <c r="Q52" i="26"/>
  <c r="Q53" i="26"/>
  <c r="Q54" i="26"/>
  <c r="D54" i="26" s="1"/>
  <c r="Q56" i="26"/>
  <c r="D56" i="26" s="1"/>
  <c r="Q58" i="26"/>
  <c r="Q64" i="26"/>
  <c r="Q65" i="26"/>
  <c r="G14" i="143" l="1"/>
  <c r="G15" i="143" s="1"/>
  <c r="G16" i="143" s="1"/>
  <c r="G17" i="143" s="1"/>
  <c r="G18" i="143" s="1"/>
  <c r="G19" i="143" s="1"/>
  <c r="G20" i="143" s="1"/>
  <c r="G21" i="143" s="1"/>
  <c r="G22" i="143" s="1"/>
  <c r="G23" i="143" s="1"/>
  <c r="G24" i="143" s="1"/>
  <c r="G25" i="143" s="1"/>
  <c r="G26" i="143" s="1"/>
  <c r="G27" i="143" s="1"/>
  <c r="G28" i="143" s="1"/>
  <c r="G29" i="143" s="1"/>
  <c r="G30" i="143" s="1"/>
  <c r="G31" i="143" s="1"/>
  <c r="G32" i="143" s="1"/>
  <c r="G33" i="143" s="1"/>
  <c r="G34" i="143" s="1"/>
  <c r="G35" i="143" s="1"/>
  <c r="G36" i="143" s="1"/>
  <c r="G37" i="143" s="1"/>
  <c r="G38" i="143" s="1"/>
  <c r="G39" i="143" s="1"/>
  <c r="G40" i="143" s="1"/>
  <c r="G41" i="143" s="1"/>
  <c r="G42" i="143" s="1"/>
  <c r="G43" i="143" s="1"/>
  <c r="G44" i="143" s="1"/>
  <c r="G45" i="143" s="1"/>
  <c r="G46" i="143" s="1"/>
  <c r="G47" i="143" s="1"/>
  <c r="G48" i="143" s="1"/>
  <c r="G49" i="143" s="1"/>
  <c r="G50" i="143" s="1"/>
  <c r="G51" i="143" s="1"/>
  <c r="G52" i="143" s="1"/>
  <c r="G53" i="143" s="1"/>
  <c r="G54" i="143" s="1"/>
  <c r="G55" i="143" s="1"/>
  <c r="G56" i="143" s="1"/>
  <c r="G57" i="143" s="1"/>
  <c r="G58" i="143" s="1"/>
  <c r="G59" i="143" s="1"/>
  <c r="G60" i="143" s="1"/>
  <c r="G61" i="143" s="1"/>
  <c r="G62" i="143" s="1"/>
  <c r="G63" i="143" s="1"/>
  <c r="G64" i="143" s="1"/>
  <c r="G65" i="143" s="1"/>
  <c r="G66" i="143" s="1"/>
  <c r="G67" i="143" s="1"/>
  <c r="G68" i="143" s="1"/>
  <c r="G69" i="143" s="1"/>
  <c r="G70" i="143" s="1"/>
  <c r="G71" i="143" s="1"/>
  <c r="G72" i="143" s="1"/>
  <c r="G73" i="143" s="1"/>
  <c r="G74" i="143" s="1"/>
  <c r="G75" i="143" s="1"/>
  <c r="G76" i="143" s="1"/>
  <c r="D18" i="116"/>
  <c r="E20" i="179"/>
  <c r="R66" i="26"/>
  <c r="D58" i="116"/>
  <c r="G19" i="179" s="1"/>
  <c r="P20" i="167"/>
  <c r="I15" i="144"/>
  <c r="D19" i="116" l="1"/>
  <c r="E21" i="179"/>
  <c r="D59" i="116"/>
  <c r="G20" i="179" s="1"/>
  <c r="P21" i="167"/>
  <c r="D26" i="152"/>
  <c r="D13" i="152"/>
  <c r="D12" i="152"/>
  <c r="D28" i="152"/>
  <c r="D27" i="152"/>
  <c r="D29" i="152"/>
  <c r="D30" i="152"/>
  <c r="D8" i="152"/>
  <c r="D14" i="152"/>
  <c r="D16" i="152"/>
  <c r="D18" i="152"/>
  <c r="D10" i="152"/>
  <c r="D23" i="152"/>
  <c r="D19" i="152"/>
  <c r="D15" i="152"/>
  <c r="D11" i="152"/>
  <c r="D24" i="152"/>
  <c r="D22" i="152"/>
  <c r="D25" i="152"/>
  <c r="D21" i="152"/>
  <c r="D20" i="152"/>
  <c r="D9" i="152"/>
  <c r="D17" i="152"/>
  <c r="D20" i="116" l="1"/>
  <c r="E23" i="179" s="1"/>
  <c r="E22" i="179"/>
  <c r="D60" i="116"/>
  <c r="G21" i="179" s="1"/>
  <c r="P22" i="167"/>
  <c r="J9" i="144"/>
  <c r="E26" i="179" l="1"/>
  <c r="E25" i="179"/>
  <c r="D61" i="116"/>
  <c r="G22" i="179" s="1"/>
  <c r="P23" i="167"/>
  <c r="F13" i="59"/>
  <c r="F9" i="59"/>
  <c r="E9" i="59"/>
  <c r="E13" i="59"/>
  <c r="I27" i="144"/>
  <c r="J28" i="144"/>
  <c r="J27" i="144"/>
  <c r="I28" i="144"/>
  <c r="I9" i="144"/>
  <c r="F11" i="59"/>
  <c r="E11" i="59"/>
  <c r="D8" i="56"/>
  <c r="H14" i="26" s="1"/>
  <c r="D62" i="116" l="1"/>
  <c r="G23" i="179" s="1"/>
  <c r="P24" i="167"/>
  <c r="E14" i="59"/>
  <c r="E8" i="56"/>
  <c r="I6" i="26"/>
  <c r="M6" i="26"/>
  <c r="N6" i="26"/>
  <c r="O6" i="26"/>
  <c r="P6" i="26"/>
  <c r="D21" i="62"/>
  <c r="H6" i="59" s="1"/>
  <c r="D6" i="63"/>
  <c r="I6" i="59" s="1"/>
  <c r="D6" i="64"/>
  <c r="J6" i="59" s="1"/>
  <c r="D6" i="65"/>
  <c r="K6" i="59" s="1"/>
  <c r="D6" i="66"/>
  <c r="L6" i="59" s="1"/>
  <c r="D6" i="67"/>
  <c r="M6" i="59" s="1"/>
  <c r="D6" i="68"/>
  <c r="N6" i="59" s="1"/>
  <c r="D6" i="61"/>
  <c r="E6" i="59"/>
  <c r="F6" i="59"/>
  <c r="D6" i="53"/>
  <c r="F24" i="144" s="1"/>
  <c r="D5" i="17"/>
  <c r="F9" i="152" s="1"/>
  <c r="D6" i="54"/>
  <c r="E9" i="152" s="1"/>
  <c r="H14" i="167" l="1"/>
  <c r="G13" i="178"/>
  <c r="G26" i="179"/>
  <c r="G25" i="179"/>
  <c r="P25" i="167"/>
  <c r="D64" i="116"/>
  <c r="E21" i="62"/>
  <c r="J6" i="26"/>
  <c r="E6" i="61"/>
  <c r="K6" i="26"/>
  <c r="G9" i="152"/>
  <c r="H9" i="152" s="1"/>
  <c r="K24" i="144"/>
  <c r="G6" i="59"/>
  <c r="J8" i="167" l="1"/>
  <c r="I7" i="178"/>
  <c r="K8" i="167"/>
  <c r="G8" i="167" s="1"/>
  <c r="AN6" i="16" s="1"/>
  <c r="J7" i="178"/>
  <c r="E7" i="178" s="1"/>
  <c r="D6" i="59"/>
  <c r="AJ6" i="16" s="1"/>
  <c r="AL6" i="16" s="1"/>
  <c r="C105" i="2"/>
  <c r="D105" i="2"/>
  <c r="E105" i="2"/>
  <c r="F105" i="2"/>
  <c r="G105" i="2"/>
  <c r="H105" i="2"/>
  <c r="B105" i="2"/>
  <c r="M8" i="26"/>
  <c r="N8" i="26"/>
  <c r="O8" i="26"/>
  <c r="P8" i="26"/>
  <c r="I9" i="26"/>
  <c r="M9" i="26"/>
  <c r="N9" i="26"/>
  <c r="O9" i="26"/>
  <c r="P9" i="26"/>
  <c r="M10" i="26"/>
  <c r="N10" i="26"/>
  <c r="O10" i="26"/>
  <c r="P10" i="26"/>
  <c r="I11" i="26"/>
  <c r="M11" i="26"/>
  <c r="N11" i="26"/>
  <c r="O11" i="26"/>
  <c r="P11" i="26"/>
  <c r="I13" i="26"/>
  <c r="M13" i="26"/>
  <c r="N13" i="26"/>
  <c r="O13" i="26"/>
  <c r="P13" i="26"/>
  <c r="D6" i="62"/>
  <c r="D11" i="63"/>
  <c r="D11" i="64"/>
  <c r="D11" i="65"/>
  <c r="D11" i="66"/>
  <c r="D11" i="67"/>
  <c r="D11" i="68"/>
  <c r="D10" i="61"/>
  <c r="D11" i="53"/>
  <c r="D10" i="17"/>
  <c r="N31" i="17"/>
  <c r="M31" i="17"/>
  <c r="L31" i="17"/>
  <c r="K31" i="17"/>
  <c r="I31" i="17"/>
  <c r="H31" i="17"/>
  <c r="G31" i="17"/>
  <c r="F31" i="17"/>
  <c r="E31" i="17"/>
  <c r="N30" i="17"/>
  <c r="M30" i="17"/>
  <c r="L30" i="17"/>
  <c r="K30" i="17"/>
  <c r="J30" i="17"/>
  <c r="I30" i="17"/>
  <c r="H30" i="17"/>
  <c r="G30" i="17"/>
  <c r="F30" i="17"/>
  <c r="E30" i="17"/>
  <c r="N29" i="17"/>
  <c r="M29" i="17"/>
  <c r="L29" i="17"/>
  <c r="K29" i="17"/>
  <c r="D71" i="183" s="1"/>
  <c r="J29" i="17"/>
  <c r="D60" i="183" s="1"/>
  <c r="I29" i="17"/>
  <c r="D50" i="183" s="1"/>
  <c r="H29" i="17"/>
  <c r="D39" i="183" s="1"/>
  <c r="G29" i="17"/>
  <c r="D28" i="183" s="1"/>
  <c r="F29" i="17"/>
  <c r="D17" i="183" s="1"/>
  <c r="E29" i="17"/>
  <c r="D5" i="183" s="1"/>
  <c r="E31" i="54"/>
  <c r="F31" i="54"/>
  <c r="H31" i="54"/>
  <c r="G31" i="54"/>
  <c r="I31" i="54"/>
  <c r="J31" i="54"/>
  <c r="K31" i="54"/>
  <c r="L31" i="54"/>
  <c r="M31" i="54"/>
  <c r="N31" i="54"/>
  <c r="E32" i="54"/>
  <c r="F32" i="54"/>
  <c r="H32" i="54"/>
  <c r="G32" i="54"/>
  <c r="I32" i="54"/>
  <c r="J32" i="54"/>
  <c r="K32" i="54"/>
  <c r="L32" i="54"/>
  <c r="M32" i="54"/>
  <c r="N32" i="54"/>
  <c r="D11" i="54"/>
  <c r="D14" i="54"/>
  <c r="E14" i="152" s="1"/>
  <c r="H11" i="59" l="1"/>
  <c r="D11" i="59" s="1"/>
  <c r="AJ11" i="16" s="1"/>
  <c r="AL11" i="16" s="1"/>
  <c r="L9" i="144"/>
  <c r="E10" i="61"/>
  <c r="G11" i="59"/>
  <c r="X49" i="26"/>
  <c r="E49" i="26" s="1"/>
  <c r="D9" i="184"/>
  <c r="C10" i="185" s="1"/>
  <c r="D7" i="184"/>
  <c r="C8" i="185" s="1"/>
  <c r="X43" i="26"/>
  <c r="E43" i="26" s="1"/>
  <c r="X34" i="26"/>
  <c r="E34" i="26" s="1"/>
  <c r="D5" i="184"/>
  <c r="C6" i="185" s="1"/>
  <c r="D6" i="184"/>
  <c r="C7" i="185" s="1"/>
  <c r="X42" i="26"/>
  <c r="E42" i="26" s="1"/>
  <c r="D11" i="183"/>
  <c r="X31" i="26"/>
  <c r="E31" i="26" s="1"/>
  <c r="F5" i="183"/>
  <c r="F6" i="183" s="1"/>
  <c r="X44" i="26"/>
  <c r="E44" i="26" s="1"/>
  <c r="D8" i="184"/>
  <c r="C9" i="185" s="1"/>
  <c r="K11" i="26"/>
  <c r="E6" i="62"/>
  <c r="F12" i="152"/>
  <c r="E12" i="152"/>
  <c r="J11" i="26"/>
  <c r="K9" i="144"/>
  <c r="F9" i="144"/>
  <c r="J12" i="167" l="1"/>
  <c r="I11" i="178"/>
  <c r="D4" i="184"/>
  <c r="F7" i="183"/>
  <c r="F8" i="183" s="1"/>
  <c r="E9" i="183"/>
  <c r="K12" i="167"/>
  <c r="J11" i="178"/>
  <c r="E11" i="178" s="1"/>
  <c r="G12" i="152"/>
  <c r="H12" i="152" s="1"/>
  <c r="G12" i="167" l="1"/>
  <c r="AN11" i="16" s="1"/>
  <c r="F9" i="183"/>
  <c r="F10" i="183" s="1"/>
  <c r="D16" i="183" s="1"/>
  <c r="D22" i="183" s="1"/>
  <c r="F22" i="183" s="1"/>
  <c r="C5" i="185"/>
  <c r="C18" i="185" s="1"/>
  <c r="D24" i="184"/>
  <c r="J4" i="184"/>
  <c r="E11" i="183"/>
  <c r="F11" i="183" s="1"/>
  <c r="F16" i="183" l="1"/>
  <c r="F17" i="183" s="1"/>
  <c r="F18" i="183" s="1"/>
  <c r="F19" i="183" s="1"/>
  <c r="F20" i="183" s="1"/>
  <c r="F21" i="183" s="1"/>
  <c r="D27" i="183" s="1"/>
  <c r="F27" i="183" s="1"/>
  <c r="F28" i="183" s="1"/>
  <c r="F29" i="183" s="1"/>
  <c r="F30" i="183" s="1"/>
  <c r="F31" i="183" s="1"/>
  <c r="F32" i="183" s="1"/>
  <c r="D38" i="183" s="1"/>
  <c r="J24" i="184"/>
  <c r="D14" i="185" s="1"/>
  <c r="E4" i="184"/>
  <c r="D33" i="183"/>
  <c r="F33" i="183" s="1"/>
  <c r="E24" i="184" l="1"/>
  <c r="F24" i="184" s="1"/>
  <c r="F4" i="184"/>
  <c r="F5" i="184" s="1"/>
  <c r="F6" i="184" s="1"/>
  <c r="F7" i="184" s="1"/>
  <c r="F8" i="184" s="1"/>
  <c r="F9" i="184" s="1"/>
  <c r="F10" i="184" s="1"/>
  <c r="F11" i="184" s="1"/>
  <c r="F12" i="184" s="1"/>
  <c r="F13" i="184" s="1"/>
  <c r="F14" i="184" s="1"/>
  <c r="F15" i="184" s="1"/>
  <c r="F16" i="184" s="1"/>
  <c r="F17" i="184" s="1"/>
  <c r="F18" i="184" s="1"/>
  <c r="F19" i="184" s="1"/>
  <c r="F20" i="184" s="1"/>
  <c r="F21" i="184" s="1"/>
  <c r="F22" i="184" s="1"/>
  <c r="F23" i="184" s="1"/>
  <c r="D44" i="183"/>
  <c r="F44" i="183" s="1"/>
  <c r="D49" i="183" s="1"/>
  <c r="F38" i="183"/>
  <c r="F39" i="183" s="1"/>
  <c r="F40" i="183" s="1"/>
  <c r="F41" i="183" s="1"/>
  <c r="F42" i="183" s="1"/>
  <c r="F43" i="183" s="1"/>
  <c r="Q5" i="26"/>
  <c r="Q66" i="26" s="1"/>
  <c r="P7" i="26"/>
  <c r="P14" i="26"/>
  <c r="P15" i="26"/>
  <c r="P16" i="26"/>
  <c r="P17" i="26"/>
  <c r="P18" i="26"/>
  <c r="P19" i="26"/>
  <c r="P20" i="26"/>
  <c r="P21" i="26"/>
  <c r="P22" i="26"/>
  <c r="P23" i="26"/>
  <c r="P24" i="26"/>
  <c r="P25" i="26"/>
  <c r="P26" i="26"/>
  <c r="P27" i="26"/>
  <c r="P28" i="26"/>
  <c r="P5" i="26"/>
  <c r="O7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5" i="26"/>
  <c r="N7" i="26"/>
  <c r="N14" i="26"/>
  <c r="N15" i="26"/>
  <c r="N16" i="26"/>
  <c r="N17" i="26"/>
  <c r="N18" i="26"/>
  <c r="N19" i="26"/>
  <c r="N20" i="26"/>
  <c r="N21" i="26"/>
  <c r="N22" i="26"/>
  <c r="N23" i="26"/>
  <c r="N24" i="26"/>
  <c r="N25" i="26"/>
  <c r="N26" i="26"/>
  <c r="N27" i="26"/>
  <c r="N28" i="26"/>
  <c r="N5" i="26"/>
  <c r="M7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H5" i="26"/>
  <c r="D54" i="183" l="1"/>
  <c r="F54" i="183" s="1"/>
  <c r="D59" i="183" s="1"/>
  <c r="F49" i="183"/>
  <c r="F50" i="183" s="1"/>
  <c r="U29" i="26"/>
  <c r="D15" i="185"/>
  <c r="D18" i="185" s="1"/>
  <c r="C12" i="52"/>
  <c r="C11" i="166" s="1"/>
  <c r="M66" i="26"/>
  <c r="N66" i="26"/>
  <c r="O66" i="26"/>
  <c r="P66" i="26"/>
  <c r="F59" i="183" l="1"/>
  <c r="F60" i="183" s="1"/>
  <c r="F61" i="183" s="1"/>
  <c r="F62" i="183" s="1"/>
  <c r="F63" i="183" s="1"/>
  <c r="F64" i="183" s="1"/>
  <c r="D65" i="183"/>
  <c r="F65" i="183" s="1"/>
  <c r="D70" i="183" s="1"/>
  <c r="D29" i="26"/>
  <c r="U66" i="26"/>
  <c r="C66" i="26"/>
  <c r="B66" i="26"/>
  <c r="K64" i="26"/>
  <c r="D64" i="26" s="1"/>
  <c r="K58" i="26"/>
  <c r="D58" i="26" s="1"/>
  <c r="K53" i="26"/>
  <c r="D53" i="26" s="1"/>
  <c r="K52" i="26"/>
  <c r="D52" i="26" s="1"/>
  <c r="K51" i="26"/>
  <c r="D51" i="26" s="1"/>
  <c r="K40" i="26"/>
  <c r="D40" i="26" s="1"/>
  <c r="K39" i="26"/>
  <c r="D39" i="26" s="1"/>
  <c r="K38" i="26"/>
  <c r="D38" i="26" s="1"/>
  <c r="K33" i="26"/>
  <c r="D33" i="26" s="1"/>
  <c r="K48" i="26"/>
  <c r="D48" i="26" s="1"/>
  <c r="K47" i="26"/>
  <c r="D47" i="26" s="1"/>
  <c r="K46" i="26"/>
  <c r="D46" i="26" s="1"/>
  <c r="K50" i="26"/>
  <c r="D50" i="26" s="1"/>
  <c r="K41" i="26"/>
  <c r="D41" i="26" s="1"/>
  <c r="F70" i="183" l="1"/>
  <c r="F71" i="183" s="1"/>
  <c r="F72" i="183" s="1"/>
  <c r="F73" i="183" s="1"/>
  <c r="F74" i="183" s="1"/>
  <c r="F75" i="183" s="1"/>
  <c r="D76" i="183"/>
  <c r="F76" i="183" s="1"/>
  <c r="D5" i="62"/>
  <c r="H10" i="59" s="1"/>
  <c r="D19" i="62"/>
  <c r="H14" i="59" s="1"/>
  <c r="D15" i="62"/>
  <c r="H15" i="59" s="1"/>
  <c r="E14" i="62"/>
  <c r="D7" i="62"/>
  <c r="H17" i="59" s="1"/>
  <c r="K18" i="167"/>
  <c r="D22" i="62"/>
  <c r="H20" i="59" s="1"/>
  <c r="D8" i="62"/>
  <c r="D9" i="63"/>
  <c r="I9" i="59" s="1"/>
  <c r="D10" i="63"/>
  <c r="D12" i="63"/>
  <c r="I13" i="59" s="1"/>
  <c r="D13" i="63"/>
  <c r="D14" i="63"/>
  <c r="D15" i="63"/>
  <c r="D16" i="63"/>
  <c r="D17" i="63"/>
  <c r="D18" i="63"/>
  <c r="D19" i="63"/>
  <c r="D20" i="63"/>
  <c r="D21" i="63"/>
  <c r="D9" i="64"/>
  <c r="J9" i="59" s="1"/>
  <c r="D10" i="64"/>
  <c r="D12" i="64"/>
  <c r="J13" i="59" s="1"/>
  <c r="D13" i="64"/>
  <c r="D14" i="64"/>
  <c r="D15" i="64"/>
  <c r="D16" i="64"/>
  <c r="D17" i="64"/>
  <c r="D18" i="64"/>
  <c r="D19" i="64"/>
  <c r="D20" i="64"/>
  <c r="D21" i="64"/>
  <c r="D9" i="65"/>
  <c r="K9" i="59" s="1"/>
  <c r="D10" i="65"/>
  <c r="D12" i="65"/>
  <c r="D13" i="65"/>
  <c r="D14" i="65"/>
  <c r="D15" i="65"/>
  <c r="D16" i="65"/>
  <c r="D17" i="65"/>
  <c r="D18" i="65"/>
  <c r="D19" i="65"/>
  <c r="D20" i="65"/>
  <c r="D21" i="65"/>
  <c r="D9" i="66"/>
  <c r="L9" i="59" s="1"/>
  <c r="D10" i="66"/>
  <c r="D12" i="66"/>
  <c r="L13" i="59" s="1"/>
  <c r="D13" i="66"/>
  <c r="D14" i="66"/>
  <c r="D15" i="66"/>
  <c r="D16" i="66"/>
  <c r="D17" i="66"/>
  <c r="D18" i="66"/>
  <c r="D19" i="66"/>
  <c r="D20" i="66"/>
  <c r="D21" i="66"/>
  <c r="D9" i="67"/>
  <c r="D10" i="67"/>
  <c r="D12" i="67"/>
  <c r="D13" i="67"/>
  <c r="D14" i="67"/>
  <c r="D15" i="67"/>
  <c r="D16" i="67"/>
  <c r="D17" i="67"/>
  <c r="D18" i="67"/>
  <c r="D19" i="67"/>
  <c r="D20" i="67"/>
  <c r="D21" i="67"/>
  <c r="D9" i="68"/>
  <c r="N9" i="59" s="1"/>
  <c r="D10" i="68"/>
  <c r="D12" i="68"/>
  <c r="N13" i="59" s="1"/>
  <c r="D13" i="68"/>
  <c r="D14" i="68"/>
  <c r="D15" i="68"/>
  <c r="D16" i="68"/>
  <c r="D17" i="68"/>
  <c r="D18" i="68"/>
  <c r="D19" i="68"/>
  <c r="D20" i="68"/>
  <c r="D21" i="68"/>
  <c r="D9" i="61"/>
  <c r="D11" i="61"/>
  <c r="G14" i="59" s="1"/>
  <c r="D12" i="61"/>
  <c r="D13" i="61"/>
  <c r="G16" i="59" s="1"/>
  <c r="D15" i="61"/>
  <c r="D16" i="61"/>
  <c r="D17" i="61"/>
  <c r="M9" i="59"/>
  <c r="K13" i="59"/>
  <c r="M13" i="59"/>
  <c r="D9" i="53"/>
  <c r="F28" i="144" s="1"/>
  <c r="D10" i="53"/>
  <c r="F8" i="144" s="1"/>
  <c r="D13" i="53"/>
  <c r="F27" i="144" s="1"/>
  <c r="D14" i="53"/>
  <c r="F22" i="144" s="1"/>
  <c r="D8" i="17"/>
  <c r="D12" i="17"/>
  <c r="D13" i="54"/>
  <c r="D9" i="54"/>
  <c r="E16" i="61" l="1"/>
  <c r="G21" i="59"/>
  <c r="E17" i="61"/>
  <c r="G22" i="59"/>
  <c r="E12" i="61"/>
  <c r="G15" i="59"/>
  <c r="E15" i="61"/>
  <c r="G20" i="59"/>
  <c r="E9" i="61"/>
  <c r="G10" i="59"/>
  <c r="E19" i="62"/>
  <c r="K14" i="167" s="1"/>
  <c r="E22" i="62"/>
  <c r="J18" i="178" s="1"/>
  <c r="E15" i="62"/>
  <c r="K15" i="167" s="1"/>
  <c r="K16" i="167"/>
  <c r="J15" i="178"/>
  <c r="K19" i="167"/>
  <c r="K20" i="167"/>
  <c r="J19" i="178"/>
  <c r="L11" i="144"/>
  <c r="E8" i="62"/>
  <c r="K17" i="26"/>
  <c r="E7" i="62"/>
  <c r="J16" i="178" s="1"/>
  <c r="K13" i="26"/>
  <c r="K10" i="26"/>
  <c r="E5" i="62"/>
  <c r="E11" i="61"/>
  <c r="E13" i="61"/>
  <c r="K9" i="26"/>
  <c r="L28" i="144"/>
  <c r="F13" i="152"/>
  <c r="F26" i="152"/>
  <c r="E13" i="152"/>
  <c r="E26" i="152"/>
  <c r="J17" i="26"/>
  <c r="J10" i="26"/>
  <c r="J22" i="26"/>
  <c r="J21" i="26"/>
  <c r="J20" i="26"/>
  <c r="J15" i="26"/>
  <c r="J9" i="26"/>
  <c r="K27" i="144"/>
  <c r="J13" i="26"/>
  <c r="J18" i="26"/>
  <c r="K30" i="144"/>
  <c r="K17" i="144"/>
  <c r="J16" i="26"/>
  <c r="K8" i="144"/>
  <c r="K20" i="26"/>
  <c r="K16" i="26"/>
  <c r="K28" i="144"/>
  <c r="L26" i="144"/>
  <c r="K19" i="26"/>
  <c r="K15" i="26"/>
  <c r="L27" i="144"/>
  <c r="K12" i="144"/>
  <c r="J14" i="26"/>
  <c r="K22" i="26"/>
  <c r="L31" i="144"/>
  <c r="K18" i="26"/>
  <c r="L30" i="144"/>
  <c r="K14" i="26"/>
  <c r="K21" i="26"/>
  <c r="K26" i="144"/>
  <c r="J19" i="26"/>
  <c r="L10" i="144"/>
  <c r="J14" i="178" l="1"/>
  <c r="J13" i="178"/>
  <c r="J16" i="167"/>
  <c r="I15" i="178"/>
  <c r="J19" i="167"/>
  <c r="I18" i="178"/>
  <c r="J21" i="167"/>
  <c r="I20" i="178"/>
  <c r="J14" i="167"/>
  <c r="I13" i="178"/>
  <c r="J11" i="167"/>
  <c r="I10" i="178"/>
  <c r="J15" i="167"/>
  <c r="I14" i="178"/>
  <c r="J20" i="167"/>
  <c r="I19" i="178"/>
  <c r="D13" i="26"/>
  <c r="K21" i="167"/>
  <c r="J20" i="178"/>
  <c r="K11" i="167"/>
  <c r="J10" i="178"/>
  <c r="K17" i="167"/>
  <c r="G9" i="144"/>
  <c r="H9" i="144" s="1"/>
  <c r="E9" i="144" s="1"/>
  <c r="G26" i="152"/>
  <c r="G13" i="152"/>
  <c r="H13" i="152" s="1"/>
  <c r="G27" i="144"/>
  <c r="H27" i="144" s="1"/>
  <c r="E27" i="144" s="1"/>
  <c r="G28" i="144"/>
  <c r="H28" i="144" s="1"/>
  <c r="E28" i="144" s="1"/>
  <c r="D9" i="59"/>
  <c r="AJ9" i="16" s="1"/>
  <c r="AL9" i="16" s="1"/>
  <c r="AJ13" i="16"/>
  <c r="AL13" i="16" s="1"/>
  <c r="F27" i="60" l="1"/>
  <c r="G27" i="60"/>
  <c r="H27" i="60"/>
  <c r="I27" i="60"/>
  <c r="J27" i="60"/>
  <c r="K27" i="60"/>
  <c r="L27" i="60"/>
  <c r="M27" i="60"/>
  <c r="N27" i="60"/>
  <c r="O27" i="60"/>
  <c r="P27" i="60"/>
  <c r="Q27" i="60"/>
  <c r="D11" i="26" l="1"/>
  <c r="D9" i="26"/>
  <c r="F26" i="62" l="1"/>
  <c r="G26" i="62"/>
  <c r="H26" i="62"/>
  <c r="I26" i="62"/>
  <c r="J26" i="62"/>
  <c r="K26" i="62"/>
  <c r="L26" i="62"/>
  <c r="M26" i="62"/>
  <c r="N26" i="62"/>
  <c r="O26" i="62"/>
  <c r="P26" i="62"/>
  <c r="Q26" i="62"/>
  <c r="F27" i="62"/>
  <c r="G27" i="62"/>
  <c r="H27" i="62"/>
  <c r="I27" i="62"/>
  <c r="J27" i="62"/>
  <c r="K27" i="62"/>
  <c r="L27" i="62"/>
  <c r="M27" i="62"/>
  <c r="N27" i="62"/>
  <c r="O27" i="62"/>
  <c r="P27" i="62"/>
  <c r="Q27" i="62"/>
  <c r="F30" i="63"/>
  <c r="G30" i="63"/>
  <c r="H30" i="63"/>
  <c r="I30" i="63"/>
  <c r="J30" i="63"/>
  <c r="K30" i="63"/>
  <c r="L30" i="63"/>
  <c r="M30" i="63"/>
  <c r="N30" i="63"/>
  <c r="O30" i="63"/>
  <c r="P30" i="63"/>
  <c r="Q30" i="63"/>
  <c r="F31" i="63"/>
  <c r="G31" i="63"/>
  <c r="H31" i="63"/>
  <c r="I31" i="63"/>
  <c r="J31" i="63"/>
  <c r="K31" i="63"/>
  <c r="L31" i="63"/>
  <c r="M31" i="63"/>
  <c r="N31" i="63"/>
  <c r="O31" i="63"/>
  <c r="P31" i="63"/>
  <c r="Q31" i="63"/>
  <c r="F30" i="64"/>
  <c r="G30" i="64"/>
  <c r="H30" i="64"/>
  <c r="I30" i="64"/>
  <c r="J30" i="64"/>
  <c r="K30" i="64"/>
  <c r="L30" i="64"/>
  <c r="M30" i="64"/>
  <c r="N30" i="64"/>
  <c r="O30" i="64"/>
  <c r="P30" i="64"/>
  <c r="Q30" i="64"/>
  <c r="F31" i="64"/>
  <c r="G31" i="64"/>
  <c r="H31" i="64"/>
  <c r="I31" i="64"/>
  <c r="J31" i="64"/>
  <c r="K31" i="64"/>
  <c r="L31" i="64"/>
  <c r="M31" i="64"/>
  <c r="N31" i="64"/>
  <c r="O31" i="64"/>
  <c r="P31" i="64"/>
  <c r="Q31" i="64"/>
  <c r="F30" i="65"/>
  <c r="G30" i="65"/>
  <c r="H30" i="65"/>
  <c r="I30" i="65"/>
  <c r="J30" i="65"/>
  <c r="K30" i="65"/>
  <c r="L30" i="65"/>
  <c r="M30" i="65"/>
  <c r="N30" i="65"/>
  <c r="O30" i="65"/>
  <c r="P30" i="65"/>
  <c r="Q30" i="65"/>
  <c r="F31" i="65"/>
  <c r="G31" i="65"/>
  <c r="H31" i="65"/>
  <c r="I31" i="65"/>
  <c r="J31" i="65"/>
  <c r="K31" i="65"/>
  <c r="L31" i="65"/>
  <c r="M31" i="65"/>
  <c r="N31" i="65"/>
  <c r="O31" i="65"/>
  <c r="P31" i="65"/>
  <c r="Q31" i="65"/>
  <c r="F30" i="66"/>
  <c r="G30" i="66"/>
  <c r="H30" i="66"/>
  <c r="I30" i="66"/>
  <c r="J30" i="66"/>
  <c r="K30" i="66"/>
  <c r="L30" i="66"/>
  <c r="M30" i="66"/>
  <c r="N30" i="66"/>
  <c r="O30" i="66"/>
  <c r="P30" i="66"/>
  <c r="Q30" i="66"/>
  <c r="F31" i="66"/>
  <c r="G31" i="66"/>
  <c r="H31" i="66"/>
  <c r="I31" i="66"/>
  <c r="J31" i="66"/>
  <c r="K31" i="66"/>
  <c r="L31" i="66"/>
  <c r="M31" i="66"/>
  <c r="N31" i="66"/>
  <c r="O31" i="66"/>
  <c r="P31" i="66"/>
  <c r="Q31" i="66"/>
  <c r="F30" i="67"/>
  <c r="G30" i="67"/>
  <c r="H30" i="67"/>
  <c r="I30" i="67"/>
  <c r="J30" i="67"/>
  <c r="K30" i="67"/>
  <c r="L30" i="67"/>
  <c r="M30" i="67"/>
  <c r="N30" i="67"/>
  <c r="O30" i="67"/>
  <c r="P30" i="67"/>
  <c r="Q30" i="67"/>
  <c r="F31" i="67"/>
  <c r="G31" i="67"/>
  <c r="H31" i="67"/>
  <c r="I31" i="67"/>
  <c r="J31" i="67"/>
  <c r="K31" i="67"/>
  <c r="L31" i="67"/>
  <c r="M31" i="67"/>
  <c r="N31" i="67"/>
  <c r="O31" i="67"/>
  <c r="P31" i="67"/>
  <c r="Q31" i="67"/>
  <c r="F30" i="68"/>
  <c r="G30" i="68"/>
  <c r="H30" i="68"/>
  <c r="I30" i="68"/>
  <c r="J30" i="68"/>
  <c r="K30" i="68"/>
  <c r="L30" i="68"/>
  <c r="M30" i="68"/>
  <c r="N30" i="68"/>
  <c r="O30" i="68"/>
  <c r="P30" i="68"/>
  <c r="Q30" i="68"/>
  <c r="F31" i="68"/>
  <c r="G31" i="68"/>
  <c r="H31" i="68"/>
  <c r="I31" i="68"/>
  <c r="J31" i="68"/>
  <c r="K31" i="68"/>
  <c r="L31" i="68"/>
  <c r="M31" i="68"/>
  <c r="N31" i="68"/>
  <c r="O31" i="68"/>
  <c r="P31" i="68"/>
  <c r="Q31" i="68"/>
  <c r="F28" i="61"/>
  <c r="G28" i="61"/>
  <c r="H28" i="61"/>
  <c r="I28" i="61"/>
  <c r="J28" i="61"/>
  <c r="K28" i="61"/>
  <c r="L28" i="61"/>
  <c r="M28" i="61"/>
  <c r="N28" i="61"/>
  <c r="O28" i="61"/>
  <c r="P28" i="61"/>
  <c r="Q28" i="61"/>
  <c r="F29" i="61"/>
  <c r="G29" i="61"/>
  <c r="H29" i="61"/>
  <c r="I29" i="61"/>
  <c r="J29" i="61"/>
  <c r="K29" i="61"/>
  <c r="L29" i="61"/>
  <c r="M29" i="61"/>
  <c r="N29" i="61"/>
  <c r="O29" i="61"/>
  <c r="P29" i="61"/>
  <c r="Q29" i="61"/>
  <c r="F26" i="56"/>
  <c r="G26" i="56"/>
  <c r="H26" i="56"/>
  <c r="I26" i="56"/>
  <c r="J26" i="56"/>
  <c r="K26" i="56"/>
  <c r="L26" i="56"/>
  <c r="M26" i="56"/>
  <c r="N26" i="56"/>
  <c r="O26" i="56"/>
  <c r="P26" i="56"/>
  <c r="Q26" i="56"/>
  <c r="E31" i="53"/>
  <c r="F31" i="53"/>
  <c r="G31" i="53"/>
  <c r="H31" i="53"/>
  <c r="I31" i="53"/>
  <c r="J31" i="53"/>
  <c r="K31" i="53"/>
  <c r="L31" i="53"/>
  <c r="M31" i="53"/>
  <c r="N31" i="53"/>
  <c r="E5" i="59"/>
  <c r="C6" i="52" l="1"/>
  <c r="C5" i="166" s="1"/>
  <c r="F25" i="56"/>
  <c r="G25" i="56"/>
  <c r="H25" i="56"/>
  <c r="I25" i="56"/>
  <c r="J25" i="56"/>
  <c r="K25" i="56"/>
  <c r="L25" i="56"/>
  <c r="M25" i="56"/>
  <c r="N25" i="56"/>
  <c r="O25" i="56"/>
  <c r="P25" i="56"/>
  <c r="Q25" i="56"/>
  <c r="C141" i="143" l="1"/>
  <c r="B141" i="143"/>
  <c r="D21" i="60" l="1"/>
  <c r="D16" i="60"/>
  <c r="D7" i="60"/>
  <c r="D22" i="60"/>
  <c r="D14" i="60"/>
  <c r="E14" i="60" s="1"/>
  <c r="D24" i="60"/>
  <c r="D6" i="60"/>
  <c r="E6" i="60" s="1"/>
  <c r="D11" i="60"/>
  <c r="D12" i="60"/>
  <c r="D20" i="60"/>
  <c r="D15" i="60"/>
  <c r="D5" i="60"/>
  <c r="E5" i="60" s="1"/>
  <c r="H6" i="178" s="1"/>
  <c r="D23" i="60"/>
  <c r="D8" i="60"/>
  <c r="I9" i="167" l="1"/>
  <c r="H8" i="178"/>
  <c r="I18" i="167"/>
  <c r="H17" i="178"/>
  <c r="F8" i="59"/>
  <c r="E7" i="60"/>
  <c r="F10" i="59"/>
  <c r="E8" i="60"/>
  <c r="F26" i="59"/>
  <c r="E20" i="60"/>
  <c r="F24" i="59"/>
  <c r="E24" i="60"/>
  <c r="F21" i="59"/>
  <c r="E16" i="60"/>
  <c r="F18" i="59"/>
  <c r="E23" i="60"/>
  <c r="F16" i="59"/>
  <c r="E12" i="60"/>
  <c r="F27" i="59"/>
  <c r="E21" i="60"/>
  <c r="F20" i="59"/>
  <c r="E15" i="60"/>
  <c r="I7" i="167"/>
  <c r="F15" i="59"/>
  <c r="E11" i="60"/>
  <c r="F28" i="59"/>
  <c r="E22" i="60"/>
  <c r="I19" i="26"/>
  <c r="F19" i="59"/>
  <c r="I7" i="26"/>
  <c r="F7" i="59"/>
  <c r="J22" i="144"/>
  <c r="I28" i="26"/>
  <c r="I8" i="26"/>
  <c r="I10" i="26"/>
  <c r="J8" i="144"/>
  <c r="J29" i="144"/>
  <c r="I26" i="26"/>
  <c r="J31" i="144"/>
  <c r="I24" i="26"/>
  <c r="J13" i="144"/>
  <c r="I21" i="26"/>
  <c r="F5" i="59"/>
  <c r="J15" i="144"/>
  <c r="I5" i="26"/>
  <c r="J18" i="144"/>
  <c r="I15" i="26"/>
  <c r="J25" i="144"/>
  <c r="I20" i="26"/>
  <c r="J30" i="144"/>
  <c r="I18" i="26"/>
  <c r="J14" i="144"/>
  <c r="I27" i="26"/>
  <c r="J17" i="144"/>
  <c r="I16" i="26"/>
  <c r="J20" i="144"/>
  <c r="J26" i="144"/>
  <c r="J21" i="144"/>
  <c r="D16" i="95"/>
  <c r="D17" i="95"/>
  <c r="D18" i="95"/>
  <c r="D19" i="95"/>
  <c r="D20" i="95"/>
  <c r="D21" i="95"/>
  <c r="D22" i="95"/>
  <c r="D41" i="95"/>
  <c r="D42" i="95"/>
  <c r="D40" i="95"/>
  <c r="D43" i="95"/>
  <c r="I19" i="167" l="1"/>
  <c r="H18" i="178"/>
  <c r="I16" i="167"/>
  <c r="H15" i="178"/>
  <c r="I20" i="167"/>
  <c r="H19" i="178"/>
  <c r="I10" i="167"/>
  <c r="H9" i="178"/>
  <c r="I15" i="167"/>
  <c r="H14" i="178"/>
  <c r="I25" i="167"/>
  <c r="H24" i="178"/>
  <c r="H23" i="178"/>
  <c r="I24" i="167"/>
  <c r="I11" i="167"/>
  <c r="H10" i="178"/>
  <c r="D13" i="95"/>
  <c r="D14" i="95"/>
  <c r="D15" i="95"/>
  <c r="D11" i="95" l="1"/>
  <c r="D12" i="95"/>
  <c r="D12" i="62"/>
  <c r="K5" i="26" s="1"/>
  <c r="D5" i="63"/>
  <c r="I5" i="59" s="1"/>
  <c r="D5" i="64"/>
  <c r="J5" i="59" s="1"/>
  <c r="D5" i="65"/>
  <c r="K5" i="59" s="1"/>
  <c r="D5" i="66"/>
  <c r="L5" i="59" s="1"/>
  <c r="D5" i="67"/>
  <c r="M5" i="59" s="1"/>
  <c r="D5" i="68"/>
  <c r="N5" i="59" s="1"/>
  <c r="D4" i="17"/>
  <c r="F8" i="152" s="1"/>
  <c r="E30" i="53"/>
  <c r="F30" i="53"/>
  <c r="G30" i="53"/>
  <c r="H30" i="53"/>
  <c r="I30" i="53"/>
  <c r="J30" i="53"/>
  <c r="K30" i="53"/>
  <c r="L30" i="53"/>
  <c r="M30" i="53"/>
  <c r="N30" i="53"/>
  <c r="D5" i="53"/>
  <c r="F15" i="144" s="1"/>
  <c r="S7" i="1"/>
  <c r="S7" i="2"/>
  <c r="T7" i="1"/>
  <c r="T7" i="2"/>
  <c r="U7" i="1"/>
  <c r="U7" i="2"/>
  <c r="E12" i="62" l="1"/>
  <c r="J6" i="178" s="1"/>
  <c r="E6" i="178" s="1"/>
  <c r="H5" i="59"/>
  <c r="L15" i="144"/>
  <c r="G5" i="59"/>
  <c r="K15" i="144"/>
  <c r="J5" i="26"/>
  <c r="N67" i="95"/>
  <c r="M67" i="95"/>
  <c r="K67" i="95"/>
  <c r="H67" i="95"/>
  <c r="G67" i="95"/>
  <c r="C67" i="95"/>
  <c r="B67" i="95"/>
  <c r="E53" i="95"/>
  <c r="E52" i="95"/>
  <c r="E45" i="95"/>
  <c r="E44" i="95"/>
  <c r="E43" i="95"/>
  <c r="E40" i="95"/>
  <c r="E42" i="95"/>
  <c r="E41" i="95"/>
  <c r="E39" i="95"/>
  <c r="E38" i="95"/>
  <c r="E37" i="95"/>
  <c r="E36" i="95"/>
  <c r="E22" i="95"/>
  <c r="E21" i="95"/>
  <c r="E20" i="95"/>
  <c r="E19" i="95"/>
  <c r="E18" i="95"/>
  <c r="E17" i="95"/>
  <c r="E16" i="95"/>
  <c r="E10" i="95"/>
  <c r="D9" i="95"/>
  <c r="D8" i="95"/>
  <c r="D7" i="95"/>
  <c r="D6" i="95"/>
  <c r="D10" i="20"/>
  <c r="K7" i="167" l="1"/>
  <c r="G7" i="167" s="1"/>
  <c r="AN5" i="16" s="1"/>
  <c r="D16" i="52"/>
  <c r="D20" i="166" s="1"/>
  <c r="D32" i="166" s="1"/>
  <c r="C33" i="166" s="1"/>
  <c r="C10" i="166"/>
  <c r="C42" i="166" s="1"/>
  <c r="D5" i="59"/>
  <c r="AJ5" i="16" s="1"/>
  <c r="AL5" i="16" s="1"/>
  <c r="D67" i="95"/>
  <c r="F6" i="95"/>
  <c r="F7" i="95" s="1"/>
  <c r="F8" i="95" s="1"/>
  <c r="F9" i="95" s="1"/>
  <c r="F10" i="95" s="1"/>
  <c r="F11" i="95" s="1"/>
  <c r="F12" i="95" s="1"/>
  <c r="F13" i="95" s="1"/>
  <c r="F14" i="95" s="1"/>
  <c r="F15" i="95" s="1"/>
  <c r="F16" i="95" s="1"/>
  <c r="F17" i="95" s="1"/>
  <c r="F18" i="95" s="1"/>
  <c r="F19" i="95" s="1"/>
  <c r="F20" i="95" s="1"/>
  <c r="F21" i="95" s="1"/>
  <c r="F22" i="95" s="1"/>
  <c r="F23" i="95" s="1"/>
  <c r="F24" i="95" s="1"/>
  <c r="F25" i="95" s="1"/>
  <c r="F26" i="95" s="1"/>
  <c r="F27" i="95" s="1"/>
  <c r="F28" i="95" s="1"/>
  <c r="F29" i="95" s="1"/>
  <c r="F30" i="95" s="1"/>
  <c r="F31" i="95" s="1"/>
  <c r="F32" i="95" s="1"/>
  <c r="F33" i="95" s="1"/>
  <c r="F34" i="95" s="1"/>
  <c r="F35" i="95" s="1"/>
  <c r="F36" i="95" s="1"/>
  <c r="F37" i="95" s="1"/>
  <c r="F38" i="95" s="1"/>
  <c r="F39" i="95" s="1"/>
  <c r="F40" i="95" s="1"/>
  <c r="F41" i="95" s="1"/>
  <c r="F42" i="95" s="1"/>
  <c r="F43" i="95" s="1"/>
  <c r="F44" i="95" s="1"/>
  <c r="F45" i="95" s="1"/>
  <c r="F46" i="95" s="1"/>
  <c r="F47" i="95" s="1"/>
  <c r="F48" i="95" s="1"/>
  <c r="E67" i="95"/>
  <c r="J22" i="20"/>
  <c r="K22" i="20"/>
  <c r="L22" i="20"/>
  <c r="M22" i="20"/>
  <c r="N22" i="20"/>
  <c r="D27" i="68"/>
  <c r="D26" i="68"/>
  <c r="D25" i="68"/>
  <c r="D24" i="68"/>
  <c r="D23" i="68"/>
  <c r="D22" i="68"/>
  <c r="N14" i="59"/>
  <c r="N10" i="59"/>
  <c r="D8" i="68"/>
  <c r="N8" i="59" s="1"/>
  <c r="D7" i="68"/>
  <c r="D27" i="67"/>
  <c r="D26" i="67"/>
  <c r="D25" i="67"/>
  <c r="D24" i="67"/>
  <c r="D23" i="67"/>
  <c r="D22" i="67"/>
  <c r="M14" i="59"/>
  <c r="M10" i="59"/>
  <c r="D8" i="67"/>
  <c r="M8" i="59" s="1"/>
  <c r="D7" i="67"/>
  <c r="D27" i="66"/>
  <c r="D26" i="66"/>
  <c r="D25" i="66"/>
  <c r="D24" i="66"/>
  <c r="D23" i="66"/>
  <c r="D22" i="66"/>
  <c r="L14" i="59"/>
  <c r="L10" i="59"/>
  <c r="D8" i="66"/>
  <c r="L8" i="59" s="1"/>
  <c r="D7" i="66"/>
  <c r="D27" i="65"/>
  <c r="D26" i="65"/>
  <c r="D25" i="65"/>
  <c r="D24" i="65"/>
  <c r="D23" i="65"/>
  <c r="D22" i="65"/>
  <c r="K14" i="59"/>
  <c r="K10" i="59"/>
  <c r="D8" i="65"/>
  <c r="K8" i="59" s="1"/>
  <c r="D7" i="65"/>
  <c r="D27" i="64"/>
  <c r="D26" i="64"/>
  <c r="D25" i="64"/>
  <c r="D24" i="64"/>
  <c r="D23" i="64"/>
  <c r="D22" i="64"/>
  <c r="J14" i="59"/>
  <c r="J10" i="59"/>
  <c r="D8" i="64"/>
  <c r="J8" i="59" s="1"/>
  <c r="D7" i="64"/>
  <c r="D27" i="63"/>
  <c r="D26" i="63"/>
  <c r="D25" i="63"/>
  <c r="D24" i="63"/>
  <c r="D23" i="63"/>
  <c r="D22" i="63"/>
  <c r="I14" i="59"/>
  <c r="I10" i="59"/>
  <c r="D8" i="63"/>
  <c r="I8" i="59" s="1"/>
  <c r="D7" i="63"/>
  <c r="D9" i="62"/>
  <c r="D20" i="62"/>
  <c r="H25" i="59" s="1"/>
  <c r="D11" i="62"/>
  <c r="H27" i="59" s="1"/>
  <c r="D16" i="62"/>
  <c r="H23" i="59" s="1"/>
  <c r="F25" i="190" s="1"/>
  <c r="D18" i="62"/>
  <c r="H8" i="59" s="1"/>
  <c r="D17" i="62"/>
  <c r="H7" i="59" s="1"/>
  <c r="D21" i="61"/>
  <c r="D20" i="61"/>
  <c r="D19" i="61"/>
  <c r="G25" i="59" s="1"/>
  <c r="D18" i="61"/>
  <c r="D8" i="61"/>
  <c r="D7" i="61"/>
  <c r="G7" i="59" s="1"/>
  <c r="D10" i="60"/>
  <c r="E10" i="60" s="1"/>
  <c r="H13" i="178" s="1"/>
  <c r="E13" i="178" s="1"/>
  <c r="D19" i="60"/>
  <c r="D13" i="60"/>
  <c r="D17" i="60"/>
  <c r="D18" i="60"/>
  <c r="D7" i="56"/>
  <c r="H10" i="26" s="1"/>
  <c r="D12" i="56"/>
  <c r="D10" i="56"/>
  <c r="H16" i="26" s="1"/>
  <c r="D13" i="56"/>
  <c r="H19" i="26" s="1"/>
  <c r="D20" i="56"/>
  <c r="H26" i="26" s="1"/>
  <c r="D15" i="56"/>
  <c r="H21" i="26" s="1"/>
  <c r="D22" i="56"/>
  <c r="H28" i="26" s="1"/>
  <c r="D5" i="56"/>
  <c r="H7" i="26" s="1"/>
  <c r="D6" i="56"/>
  <c r="H8" i="26" s="1"/>
  <c r="D14" i="56"/>
  <c r="H20" i="26" s="1"/>
  <c r="D9" i="56"/>
  <c r="H15" i="26" s="1"/>
  <c r="D19" i="56"/>
  <c r="H25" i="26" s="1"/>
  <c r="D18" i="56"/>
  <c r="H24" i="26" s="1"/>
  <c r="D11" i="56"/>
  <c r="H17" i="26" s="1"/>
  <c r="D21" i="56"/>
  <c r="H27" i="26" s="1"/>
  <c r="D16" i="56"/>
  <c r="H22" i="26" s="1"/>
  <c r="D17" i="56"/>
  <c r="H23" i="26" s="1"/>
  <c r="N30" i="54"/>
  <c r="M30" i="54"/>
  <c r="L30" i="54"/>
  <c r="J30" i="54"/>
  <c r="I30" i="54"/>
  <c r="G30" i="54"/>
  <c r="H30" i="54"/>
  <c r="F30" i="54"/>
  <c r="E30" i="54"/>
  <c r="D28" i="54"/>
  <c r="E25" i="152" s="1"/>
  <c r="D27" i="54"/>
  <c r="E24" i="152" s="1"/>
  <c r="D26" i="54"/>
  <c r="E30" i="152" s="1"/>
  <c r="D25" i="54"/>
  <c r="E23" i="152" s="1"/>
  <c r="D24" i="54"/>
  <c r="E29" i="152" s="1"/>
  <c r="D23" i="54"/>
  <c r="E22" i="152" s="1"/>
  <c r="D22" i="54"/>
  <c r="E21" i="152" s="1"/>
  <c r="D21" i="54"/>
  <c r="E20" i="152" s="1"/>
  <c r="D20" i="54"/>
  <c r="E19" i="152" s="1"/>
  <c r="D19" i="54"/>
  <c r="E18" i="152" s="1"/>
  <c r="D18" i="54"/>
  <c r="E28" i="152" s="1"/>
  <c r="D17" i="54"/>
  <c r="E17" i="152" s="1"/>
  <c r="D16" i="54"/>
  <c r="E16" i="152" s="1"/>
  <c r="D15" i="54"/>
  <c r="E15" i="152" s="1"/>
  <c r="D10" i="54"/>
  <c r="E27" i="152" s="1"/>
  <c r="D8" i="54"/>
  <c r="E11" i="152" s="1"/>
  <c r="D7" i="54"/>
  <c r="E10" i="152" s="1"/>
  <c r="D18" i="53"/>
  <c r="F30" i="144" s="1"/>
  <c r="D16" i="53"/>
  <c r="F17" i="144" s="1"/>
  <c r="D19" i="53"/>
  <c r="F26" i="144" s="1"/>
  <c r="D26" i="53"/>
  <c r="F29" i="144" s="1"/>
  <c r="D21" i="53"/>
  <c r="F13" i="144" s="1"/>
  <c r="D28" i="53"/>
  <c r="F12" i="144" s="1"/>
  <c r="D7" i="53"/>
  <c r="F20" i="144" s="1"/>
  <c r="D8" i="53"/>
  <c r="F21" i="144" s="1"/>
  <c r="D20" i="53"/>
  <c r="F25" i="144" s="1"/>
  <c r="D15" i="53"/>
  <c r="F18" i="144" s="1"/>
  <c r="D25" i="53"/>
  <c r="F23" i="144" s="1"/>
  <c r="D24" i="53"/>
  <c r="F31" i="144" s="1"/>
  <c r="D17" i="53"/>
  <c r="F10" i="144" s="1"/>
  <c r="D27" i="53"/>
  <c r="F14" i="144" s="1"/>
  <c r="D22" i="53"/>
  <c r="F11" i="144" s="1"/>
  <c r="D23" i="53"/>
  <c r="F19" i="144" s="1"/>
  <c r="F26" i="190" l="1"/>
  <c r="H29" i="190"/>
  <c r="H30" i="190" s="1"/>
  <c r="H4" i="190" s="1"/>
  <c r="F49" i="95"/>
  <c r="F50" i="95" s="1"/>
  <c r="F51" i="95" s="1"/>
  <c r="F52" i="95" s="1"/>
  <c r="F53" i="95" s="1"/>
  <c r="F54" i="95" s="1"/>
  <c r="F55" i="95" s="1"/>
  <c r="F56" i="95" s="1"/>
  <c r="F57" i="95" s="1"/>
  <c r="F58" i="95" s="1"/>
  <c r="F59" i="95" s="1"/>
  <c r="F60" i="95" s="1"/>
  <c r="F61" i="95" s="1"/>
  <c r="F62" i="95" s="1"/>
  <c r="F63" i="95" s="1"/>
  <c r="F64" i="95" s="1"/>
  <c r="F65" i="95" s="1"/>
  <c r="F66" i="95" s="1"/>
  <c r="H28" i="59"/>
  <c r="L12" i="144"/>
  <c r="E18" i="61"/>
  <c r="G23" i="59"/>
  <c r="E8" i="61"/>
  <c r="G8" i="59"/>
  <c r="E21" i="61"/>
  <c r="G28" i="59"/>
  <c r="E20" i="61"/>
  <c r="G27" i="59"/>
  <c r="E20" i="62"/>
  <c r="K23" i="167" s="1"/>
  <c r="E18" i="62"/>
  <c r="J9" i="178" s="1"/>
  <c r="E17" i="62"/>
  <c r="J8" i="178" s="1"/>
  <c r="E12" i="56"/>
  <c r="H18" i="26"/>
  <c r="E24" i="59"/>
  <c r="E18" i="56"/>
  <c r="E26" i="59"/>
  <c r="E20" i="56"/>
  <c r="F17" i="59"/>
  <c r="E13" i="60"/>
  <c r="E22" i="59"/>
  <c r="E16" i="56"/>
  <c r="E25" i="59"/>
  <c r="E19" i="56"/>
  <c r="E7" i="59"/>
  <c r="E5" i="56"/>
  <c r="G8" i="178" s="1"/>
  <c r="E19" i="59"/>
  <c r="E13" i="56"/>
  <c r="G17" i="178" s="1"/>
  <c r="E17" i="178" s="1"/>
  <c r="L19" i="144"/>
  <c r="E16" i="62"/>
  <c r="E27" i="59"/>
  <c r="E21" i="56"/>
  <c r="E15" i="59"/>
  <c r="E9" i="56"/>
  <c r="G14" i="178" s="1"/>
  <c r="E14" i="178" s="1"/>
  <c r="E28" i="59"/>
  <c r="E22" i="56"/>
  <c r="E16" i="59"/>
  <c r="E10" i="56"/>
  <c r="G15" i="178" s="1"/>
  <c r="E15" i="178" s="1"/>
  <c r="F23" i="59"/>
  <c r="E18" i="60"/>
  <c r="F25" i="59"/>
  <c r="E19" i="60"/>
  <c r="L14" i="144"/>
  <c r="E11" i="62"/>
  <c r="L18" i="144"/>
  <c r="E9" i="62"/>
  <c r="E23" i="59"/>
  <c r="E17" i="56"/>
  <c r="E8" i="59"/>
  <c r="E6" i="56"/>
  <c r="G9" i="178" s="1"/>
  <c r="E10" i="59"/>
  <c r="E7" i="56"/>
  <c r="G10" i="178" s="1"/>
  <c r="E10" i="178" s="1"/>
  <c r="I14" i="167"/>
  <c r="L29" i="144"/>
  <c r="E17" i="59"/>
  <c r="E11" i="56"/>
  <c r="E20" i="59"/>
  <c r="E14" i="56"/>
  <c r="G18" i="178" s="1"/>
  <c r="E18" i="178" s="1"/>
  <c r="E21" i="59"/>
  <c r="E15" i="56"/>
  <c r="G19" i="178" s="1"/>
  <c r="E19" i="178" s="1"/>
  <c r="F22" i="59"/>
  <c r="E17" i="60"/>
  <c r="E7" i="61"/>
  <c r="E19" i="61"/>
  <c r="I22" i="178" s="1"/>
  <c r="F14" i="59"/>
  <c r="D28" i="60"/>
  <c r="K8" i="26"/>
  <c r="L21" i="144"/>
  <c r="E18" i="59"/>
  <c r="J28" i="26"/>
  <c r="J23" i="26"/>
  <c r="J27" i="26"/>
  <c r="J8" i="26"/>
  <c r="I23" i="26"/>
  <c r="I22" i="26"/>
  <c r="I17" i="26"/>
  <c r="I20" i="144"/>
  <c r="I14" i="144"/>
  <c r="I18" i="144"/>
  <c r="I26" i="144"/>
  <c r="G26" i="144" s="1"/>
  <c r="I10" i="144"/>
  <c r="I25" i="144"/>
  <c r="I22" i="144"/>
  <c r="I17" i="144"/>
  <c r="I19" i="144"/>
  <c r="I31" i="144"/>
  <c r="I21" i="144"/>
  <c r="I13" i="144"/>
  <c r="I23" i="144"/>
  <c r="I11" i="144"/>
  <c r="I29" i="144"/>
  <c r="I12" i="144"/>
  <c r="I8" i="144"/>
  <c r="L23" i="144"/>
  <c r="L20" i="144"/>
  <c r="K28" i="26"/>
  <c r="J24" i="26"/>
  <c r="K31" i="144"/>
  <c r="L22" i="144"/>
  <c r="K25" i="26"/>
  <c r="L8" i="144"/>
  <c r="K24" i="26"/>
  <c r="K23" i="144"/>
  <c r="J25" i="26"/>
  <c r="L17" i="144"/>
  <c r="K26" i="26"/>
  <c r="K29" i="144"/>
  <c r="J26" i="26"/>
  <c r="L25" i="144"/>
  <c r="K7" i="26"/>
  <c r="L13" i="144"/>
  <c r="K23" i="26"/>
  <c r="L24" i="144"/>
  <c r="G15" i="144" s="1"/>
  <c r="H15" i="144" s="1"/>
  <c r="E15" i="144" s="1"/>
  <c r="K27" i="26"/>
  <c r="J7" i="26"/>
  <c r="K20" i="144"/>
  <c r="K21" i="144"/>
  <c r="J23" i="144"/>
  <c r="I25" i="26"/>
  <c r="I14" i="26"/>
  <c r="K18" i="144"/>
  <c r="K19" i="144"/>
  <c r="K25" i="144"/>
  <c r="K22" i="144"/>
  <c r="K10" i="144"/>
  <c r="K13" i="144"/>
  <c r="K11" i="144"/>
  <c r="K14" i="144"/>
  <c r="J19" i="144"/>
  <c r="J11" i="144"/>
  <c r="J10" i="144"/>
  <c r="J12" i="144"/>
  <c r="D27" i="60"/>
  <c r="C8" i="52" s="1"/>
  <c r="C7" i="166" s="1"/>
  <c r="D31" i="53"/>
  <c r="D26" i="56"/>
  <c r="I30" i="144"/>
  <c r="D26" i="62"/>
  <c r="D27" i="62"/>
  <c r="I19" i="59"/>
  <c r="J19" i="59"/>
  <c r="K24" i="59"/>
  <c r="L16" i="59"/>
  <c r="L28" i="59"/>
  <c r="M25" i="59"/>
  <c r="N21" i="59"/>
  <c r="I24" i="59"/>
  <c r="I23" i="59"/>
  <c r="J15" i="59"/>
  <c r="J23" i="59"/>
  <c r="K16" i="59"/>
  <c r="K28" i="59"/>
  <c r="L20" i="59"/>
  <c r="M17" i="59"/>
  <c r="N17" i="59"/>
  <c r="N25" i="59"/>
  <c r="I16" i="59"/>
  <c r="I20" i="59"/>
  <c r="I28" i="59"/>
  <c r="J16" i="59"/>
  <c r="J20" i="59"/>
  <c r="J24" i="59"/>
  <c r="J28" i="59"/>
  <c r="K17" i="59"/>
  <c r="K21" i="59"/>
  <c r="K25" i="59"/>
  <c r="L17" i="59"/>
  <c r="L21" i="59"/>
  <c r="L25" i="59"/>
  <c r="M7" i="59"/>
  <c r="D30" i="67"/>
  <c r="D31" i="67"/>
  <c r="M18" i="59"/>
  <c r="M22" i="59"/>
  <c r="M26" i="59"/>
  <c r="N7" i="59"/>
  <c r="D30" i="68"/>
  <c r="D31" i="68"/>
  <c r="N18" i="59"/>
  <c r="N22" i="59"/>
  <c r="N26" i="59"/>
  <c r="I17" i="59"/>
  <c r="I21" i="59"/>
  <c r="I25" i="59"/>
  <c r="J17" i="59"/>
  <c r="J21" i="59"/>
  <c r="J25" i="59"/>
  <c r="K7" i="59"/>
  <c r="D30" i="65"/>
  <c r="D31" i="65"/>
  <c r="K18" i="59"/>
  <c r="K22" i="59"/>
  <c r="K26" i="59"/>
  <c r="L7" i="59"/>
  <c r="D30" i="66"/>
  <c r="D31" i="66"/>
  <c r="L18" i="59"/>
  <c r="L22" i="59"/>
  <c r="L26" i="59"/>
  <c r="M15" i="59"/>
  <c r="M19" i="59"/>
  <c r="M23" i="59"/>
  <c r="M27" i="59"/>
  <c r="N15" i="59"/>
  <c r="N19" i="59"/>
  <c r="N23" i="59"/>
  <c r="N27" i="59"/>
  <c r="I7" i="59"/>
  <c r="D31" i="63"/>
  <c r="D30" i="63"/>
  <c r="I18" i="59"/>
  <c r="I22" i="59"/>
  <c r="I26" i="59"/>
  <c r="J7" i="59"/>
  <c r="D30" i="64"/>
  <c r="D31" i="64"/>
  <c r="J18" i="59"/>
  <c r="J22" i="59"/>
  <c r="J26" i="59"/>
  <c r="K15" i="59"/>
  <c r="K19" i="59"/>
  <c r="K23" i="59"/>
  <c r="K27" i="59"/>
  <c r="L15" i="59"/>
  <c r="L19" i="59"/>
  <c r="L23" i="59"/>
  <c r="L27" i="59"/>
  <c r="M16" i="59"/>
  <c r="M20" i="59"/>
  <c r="M24" i="59"/>
  <c r="M28" i="59"/>
  <c r="N16" i="59"/>
  <c r="N20" i="59"/>
  <c r="N24" i="59"/>
  <c r="N28" i="59"/>
  <c r="D28" i="61"/>
  <c r="C9" i="52" s="1"/>
  <c r="C8" i="166" s="1"/>
  <c r="D29" i="61"/>
  <c r="I15" i="59"/>
  <c r="I27" i="59"/>
  <c r="J27" i="59"/>
  <c r="K20" i="59"/>
  <c r="L24" i="59"/>
  <c r="M21" i="59"/>
  <c r="D25" i="56"/>
  <c r="C7" i="52" s="1"/>
  <c r="C6" i="166" s="1"/>
  <c r="D30" i="53"/>
  <c r="F67" i="95"/>
  <c r="K10" i="167" l="1"/>
  <c r="J22" i="178"/>
  <c r="D37" i="166"/>
  <c r="I23" i="178"/>
  <c r="J24" i="167"/>
  <c r="J10" i="167"/>
  <c r="I9" i="178"/>
  <c r="I23" i="167"/>
  <c r="H22" i="178"/>
  <c r="I22" i="167"/>
  <c r="H21" i="178"/>
  <c r="K9" i="167"/>
  <c r="I21" i="167"/>
  <c r="H20" i="178"/>
  <c r="J9" i="167"/>
  <c r="I8" i="178"/>
  <c r="I17" i="167"/>
  <c r="H16" i="178"/>
  <c r="J25" i="167"/>
  <c r="I24" i="178"/>
  <c r="J22" i="167"/>
  <c r="I21" i="178"/>
  <c r="H17" i="167"/>
  <c r="G16" i="178"/>
  <c r="H22" i="167"/>
  <c r="G21" i="178"/>
  <c r="H25" i="167"/>
  <c r="G24" i="178"/>
  <c r="H24" i="167"/>
  <c r="G23" i="178"/>
  <c r="E9" i="178"/>
  <c r="H21" i="167"/>
  <c r="G21" i="167" s="1"/>
  <c r="AN22" i="16" s="1"/>
  <c r="G20" i="178"/>
  <c r="H23" i="167"/>
  <c r="G22" i="178"/>
  <c r="D24" i="52"/>
  <c r="K24" i="167"/>
  <c r="J23" i="178"/>
  <c r="K25" i="167"/>
  <c r="J24" i="178"/>
  <c r="E24" i="178" s="1"/>
  <c r="K22" i="167"/>
  <c r="J21" i="178"/>
  <c r="H66" i="26"/>
  <c r="I66" i="26"/>
  <c r="K66" i="26"/>
  <c r="J66" i="26"/>
  <c r="H19" i="167"/>
  <c r="G19" i="167" s="1"/>
  <c r="AN20" i="16" s="1"/>
  <c r="H16" i="167"/>
  <c r="G16" i="167" s="1"/>
  <c r="AN16" i="16" s="1"/>
  <c r="H20" i="167"/>
  <c r="G20" i="167" s="1"/>
  <c r="AN21" i="16" s="1"/>
  <c r="H11" i="167"/>
  <c r="G11" i="167" s="1"/>
  <c r="AN10" i="16" s="1"/>
  <c r="H10" i="167"/>
  <c r="H15" i="167"/>
  <c r="G15" i="167" s="1"/>
  <c r="AN15" i="16" s="1"/>
  <c r="H18" i="167"/>
  <c r="G18" i="167" s="1"/>
  <c r="AN19" i="16" s="1"/>
  <c r="C10" i="52"/>
  <c r="C9" i="166" s="1"/>
  <c r="E28" i="60"/>
  <c r="E25" i="56"/>
  <c r="H9" i="167"/>
  <c r="E26" i="56"/>
  <c r="E27" i="60"/>
  <c r="E27" i="62"/>
  <c r="G14" i="167"/>
  <c r="AN14" i="16" s="1"/>
  <c r="E26" i="62"/>
  <c r="J23" i="167"/>
  <c r="E28" i="61"/>
  <c r="E29" i="61"/>
  <c r="G24" i="144"/>
  <c r="H24" i="144" s="1"/>
  <c r="E24" i="144" s="1"/>
  <c r="G8" i="144"/>
  <c r="H8" i="144" s="1"/>
  <c r="E8" i="144" s="1"/>
  <c r="G17" i="144"/>
  <c r="H17" i="144" s="1"/>
  <c r="E17" i="144" s="1"/>
  <c r="G13" i="144"/>
  <c r="H13" i="144" s="1"/>
  <c r="E13" i="144" s="1"/>
  <c r="D10" i="59"/>
  <c r="AJ10" i="16" s="1"/>
  <c r="AL10" i="16" s="1"/>
  <c r="G25" i="144"/>
  <c r="H25" i="144" s="1"/>
  <c r="E25" i="144" s="1"/>
  <c r="G18" i="144"/>
  <c r="H18" i="144" s="1"/>
  <c r="E18" i="144" s="1"/>
  <c r="G31" i="144"/>
  <c r="H31" i="144" s="1"/>
  <c r="E31" i="144" s="1"/>
  <c r="L33" i="144"/>
  <c r="G29" i="144"/>
  <c r="H29" i="144" s="1"/>
  <c r="E29" i="144" s="1"/>
  <c r="G21" i="144"/>
  <c r="H21" i="144" s="1"/>
  <c r="E21" i="144" s="1"/>
  <c r="G14" i="144"/>
  <c r="H14" i="144" s="1"/>
  <c r="E14" i="144" s="1"/>
  <c r="G12" i="144"/>
  <c r="H12" i="144" s="1"/>
  <c r="E12" i="144" s="1"/>
  <c r="G20" i="144"/>
  <c r="H20" i="144" s="1"/>
  <c r="E20" i="144" s="1"/>
  <c r="G23" i="144"/>
  <c r="H23" i="144" s="1"/>
  <c r="E23" i="144" s="1"/>
  <c r="G19" i="144"/>
  <c r="H19" i="144" s="1"/>
  <c r="E19" i="144" s="1"/>
  <c r="G11" i="144"/>
  <c r="G10" i="144"/>
  <c r="G22" i="144"/>
  <c r="K33" i="144"/>
  <c r="G30" i="144"/>
  <c r="D7" i="59"/>
  <c r="AJ7" i="16" s="1"/>
  <c r="AL7" i="16" s="1"/>
  <c r="D20" i="59"/>
  <c r="J30" i="59"/>
  <c r="H26" i="144"/>
  <c r="E26" i="144" s="1"/>
  <c r="D18" i="59"/>
  <c r="AJ18" i="16" s="1"/>
  <c r="F31" i="59"/>
  <c r="J33" i="144"/>
  <c r="I33" i="144"/>
  <c r="H30" i="59"/>
  <c r="N30" i="59"/>
  <c r="G30" i="59"/>
  <c r="I30" i="59"/>
  <c r="D24" i="59"/>
  <c r="H31" i="59"/>
  <c r="D16" i="59"/>
  <c r="AJ16" i="16" s="1"/>
  <c r="AL16" i="16" s="1"/>
  <c r="L30" i="59"/>
  <c r="D21" i="59"/>
  <c r="D28" i="59"/>
  <c r="G31" i="59"/>
  <c r="J31" i="59"/>
  <c r="I31" i="59"/>
  <c r="L31" i="59"/>
  <c r="K31" i="59"/>
  <c r="N31" i="59"/>
  <c r="M31" i="59"/>
  <c r="D19" i="59"/>
  <c r="D14" i="59"/>
  <c r="AJ14" i="16" s="1"/>
  <c r="AL14" i="16" s="1"/>
  <c r="D8" i="59"/>
  <c r="AJ8" i="16" s="1"/>
  <c r="AL8" i="16" s="1"/>
  <c r="D26" i="59"/>
  <c r="D15" i="59"/>
  <c r="AJ15" i="16" s="1"/>
  <c r="AL15" i="16" s="1"/>
  <c r="E31" i="59"/>
  <c r="D17" i="59"/>
  <c r="AJ17" i="16" s="1"/>
  <c r="AL17" i="16" s="1"/>
  <c r="D25" i="59"/>
  <c r="D22" i="59"/>
  <c r="M30" i="59"/>
  <c r="K30" i="59"/>
  <c r="F30" i="59"/>
  <c r="D27" i="59"/>
  <c r="D23" i="59"/>
  <c r="E30" i="59"/>
  <c r="AT20" i="16" l="1"/>
  <c r="AT25" i="16"/>
  <c r="G25" i="167"/>
  <c r="AN28" i="16" s="1"/>
  <c r="G17" i="167"/>
  <c r="E22" i="178"/>
  <c r="AJ26" i="16"/>
  <c r="AL26" i="16" s="1"/>
  <c r="AJ25" i="16"/>
  <c r="AL25" i="16" s="1"/>
  <c r="AJ24" i="16"/>
  <c r="AL24" i="16" s="1"/>
  <c r="AJ23" i="16"/>
  <c r="AL23" i="16" s="1"/>
  <c r="AJ27" i="16"/>
  <c r="AL27" i="16" s="1"/>
  <c r="AJ28" i="16"/>
  <c r="AL28" i="16" s="1"/>
  <c r="AJ19" i="16"/>
  <c r="AL19" i="16" s="1"/>
  <c r="AJ21" i="16"/>
  <c r="AL21" i="16" s="1"/>
  <c r="AL18" i="16"/>
  <c r="AJ22" i="16"/>
  <c r="AL22" i="16" s="1"/>
  <c r="AJ20" i="16"/>
  <c r="I27" i="167"/>
  <c r="G10" i="167"/>
  <c r="AN8" i="16" s="1"/>
  <c r="E20" i="178"/>
  <c r="H26" i="178"/>
  <c r="E16" i="178"/>
  <c r="I26" i="178"/>
  <c r="E8" i="178"/>
  <c r="E21" i="178"/>
  <c r="E23" i="178"/>
  <c r="G26" i="178"/>
  <c r="G22" i="167"/>
  <c r="AN23" i="16" s="1"/>
  <c r="G24" i="167"/>
  <c r="AN27" i="16" s="1"/>
  <c r="K27" i="167"/>
  <c r="J26" i="178"/>
  <c r="H27" i="167"/>
  <c r="G9" i="167"/>
  <c r="AN7" i="16" s="1"/>
  <c r="J27" i="167"/>
  <c r="G23" i="167"/>
  <c r="AN25" i="16" s="1"/>
  <c r="AT6" i="16"/>
  <c r="AT8" i="16"/>
  <c r="H11" i="144"/>
  <c r="E11" i="144" s="1"/>
  <c r="AT28" i="16"/>
  <c r="AT13" i="16"/>
  <c r="AT12" i="16"/>
  <c r="AT7" i="16"/>
  <c r="AT21" i="16"/>
  <c r="H22" i="144"/>
  <c r="E22" i="144" s="1"/>
  <c r="G33" i="144"/>
  <c r="H10" i="144"/>
  <c r="E10" i="144" s="1"/>
  <c r="H30" i="144"/>
  <c r="E30" i="144" s="1"/>
  <c r="D31" i="59"/>
  <c r="D30" i="59"/>
  <c r="AT17" i="16" l="1"/>
  <c r="AN17" i="16"/>
  <c r="AN30" i="16" s="1"/>
  <c r="H19" i="190"/>
  <c r="D19" i="190"/>
  <c r="AL20" i="16"/>
  <c r="AL30" i="16" s="1"/>
  <c r="AJ30" i="16"/>
  <c r="G21" i="190"/>
  <c r="D20" i="26"/>
  <c r="D8" i="26"/>
  <c r="D15" i="26"/>
  <c r="D10" i="26"/>
  <c r="D23" i="26"/>
  <c r="D26" i="26"/>
  <c r="D16" i="26"/>
  <c r="D6" i="26"/>
  <c r="E26" i="178"/>
  <c r="G27" i="167"/>
  <c r="AT15" i="16"/>
  <c r="AT19" i="16"/>
  <c r="AT24" i="16"/>
  <c r="AT23" i="16"/>
  <c r="AT18" i="16"/>
  <c r="AT22" i="16"/>
  <c r="AT16" i="16"/>
  <c r="AT27" i="16"/>
  <c r="AT26" i="16"/>
  <c r="AT14" i="16"/>
  <c r="H22" i="20"/>
  <c r="I22" i="20"/>
  <c r="F19" i="190" l="1"/>
  <c r="H21" i="190"/>
  <c r="D25" i="26"/>
  <c r="D7" i="26"/>
  <c r="D22" i="26"/>
  <c r="D17" i="26"/>
  <c r="D24" i="26"/>
  <c r="D27" i="26"/>
  <c r="D21" i="26"/>
  <c r="D19" i="26"/>
  <c r="D18" i="26"/>
  <c r="D28" i="26"/>
  <c r="AT11" i="16"/>
  <c r="D14" i="26" l="1"/>
  <c r="D9" i="17"/>
  <c r="F27" i="152" l="1"/>
  <c r="G27" i="152" s="1"/>
  <c r="D9" i="20"/>
  <c r="C22" i="20" l="1"/>
  <c r="B22" i="20"/>
  <c r="E20" i="20"/>
  <c r="E19" i="20"/>
  <c r="E18" i="20"/>
  <c r="E17" i="20"/>
  <c r="E16" i="20"/>
  <c r="E15" i="20"/>
  <c r="E14" i="20"/>
  <c r="E13" i="20"/>
  <c r="E12" i="20"/>
  <c r="E11" i="20"/>
  <c r="D8" i="20"/>
  <c r="D7" i="20"/>
  <c r="E22" i="20" l="1"/>
  <c r="D22" i="20"/>
  <c r="F7" i="20"/>
  <c r="F8" i="20" s="1"/>
  <c r="F9" i="20" s="1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G22" i="20"/>
  <c r="F22" i="20" l="1"/>
  <c r="D27" i="17" l="1"/>
  <c r="F25" i="152" s="1"/>
  <c r="G25" i="152" s="1"/>
  <c r="H25" i="152" s="1"/>
  <c r="D26" i="17"/>
  <c r="F24" i="152" s="1"/>
  <c r="G24" i="152" s="1"/>
  <c r="H24" i="152" s="1"/>
  <c r="D25" i="17"/>
  <c r="F30" i="152" s="1"/>
  <c r="G30" i="152" s="1"/>
  <c r="D24" i="17"/>
  <c r="F23" i="152" s="1"/>
  <c r="G23" i="152" s="1"/>
  <c r="H23" i="152" s="1"/>
  <c r="D23" i="17"/>
  <c r="F29" i="152" s="1"/>
  <c r="G29" i="152" s="1"/>
  <c r="D22" i="17"/>
  <c r="F22" i="152" s="1"/>
  <c r="G22" i="152" s="1"/>
  <c r="H22" i="152" s="1"/>
  <c r="D21" i="17"/>
  <c r="F21" i="152" s="1"/>
  <c r="G21" i="152" s="1"/>
  <c r="H21" i="152" s="1"/>
  <c r="D20" i="17"/>
  <c r="D19" i="17"/>
  <c r="D18" i="17"/>
  <c r="D17" i="17"/>
  <c r="D16" i="17"/>
  <c r="D15" i="17"/>
  <c r="D14" i="17"/>
  <c r="D13" i="17"/>
  <c r="D7" i="17"/>
  <c r="D6" i="17"/>
  <c r="B30" i="16"/>
  <c r="F19" i="152" l="1"/>
  <c r="G19" i="152" s="1"/>
  <c r="H19" i="152" s="1"/>
  <c r="F18" i="152"/>
  <c r="G18" i="152" s="1"/>
  <c r="H18" i="152" s="1"/>
  <c r="F28" i="152"/>
  <c r="G28" i="152" s="1"/>
  <c r="F14" i="152"/>
  <c r="G14" i="152" s="1"/>
  <c r="H14" i="152" s="1"/>
  <c r="F15" i="152"/>
  <c r="G15" i="152" s="1"/>
  <c r="H15" i="152" s="1"/>
  <c r="F16" i="152"/>
  <c r="G16" i="152" s="1"/>
  <c r="H16" i="152" s="1"/>
  <c r="F11" i="152"/>
  <c r="G11" i="152" s="1"/>
  <c r="H11" i="152" s="1"/>
  <c r="F10" i="152"/>
  <c r="G10" i="152" s="1"/>
  <c r="H10" i="152" s="1"/>
  <c r="F20" i="152"/>
  <c r="F17" i="152"/>
  <c r="D30" i="17"/>
  <c r="D31" i="17"/>
  <c r="D29" i="17"/>
  <c r="G20" i="152" l="1"/>
  <c r="H20" i="152" s="1"/>
  <c r="F32" i="152"/>
  <c r="G17" i="152"/>
  <c r="H17" i="152" s="1"/>
  <c r="D63" i="1" l="1"/>
  <c r="E64" i="1" l="1"/>
  <c r="E63" i="1"/>
  <c r="F63" i="1"/>
  <c r="H63" i="1"/>
  <c r="G63" i="1"/>
  <c r="C63" i="1" l="1"/>
  <c r="C64" i="1" s="1"/>
  <c r="B63" i="1"/>
  <c r="K30" i="54" l="1"/>
  <c r="D5" i="54"/>
  <c r="E8" i="152" s="1"/>
  <c r="G8" i="152" s="1"/>
  <c r="H8" i="152" s="1"/>
  <c r="E32" i="152" l="1"/>
  <c r="D32" i="54"/>
  <c r="D31" i="54"/>
  <c r="D30" i="54"/>
  <c r="G32" i="152" l="1"/>
  <c r="F33" i="144"/>
  <c r="AT5" i="16" l="1"/>
  <c r="AT30" i="16" s="1"/>
  <c r="H33" i="144"/>
  <c r="G66" i="26" l="1"/>
  <c r="D5" i="26"/>
  <c r="P27" i="167"/>
  <c r="F5" i="26" l="1"/>
  <c r="F6" i="26" s="1"/>
  <c r="F7" i="26" s="1"/>
  <c r="F8" i="26" s="1"/>
  <c r="F9" i="26" s="1"/>
  <c r="F10" i="26" s="1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F28" i="26" s="1"/>
  <c r="F29" i="26" s="1"/>
  <c r="F30" i="26" s="1"/>
  <c r="F31" i="26" s="1"/>
  <c r="F32" i="26" s="1"/>
  <c r="F33" i="26" s="1"/>
  <c r="F34" i="26" s="1"/>
  <c r="F35" i="26" s="1"/>
  <c r="F36" i="26" s="1"/>
  <c r="F37" i="26" s="1"/>
  <c r="F38" i="26" s="1"/>
  <c r="F39" i="26" s="1"/>
  <c r="F40" i="26" s="1"/>
  <c r="F41" i="26" s="1"/>
  <c r="F42" i="26" s="1"/>
  <c r="F43" i="26" s="1"/>
  <c r="F44" i="26" s="1"/>
  <c r="F45" i="26" s="1"/>
  <c r="F46" i="26" s="1"/>
  <c r="F47" i="26" s="1"/>
  <c r="F48" i="26" s="1"/>
  <c r="F49" i="26" s="1"/>
  <c r="F50" i="26" s="1"/>
  <c r="F51" i="26" s="1"/>
  <c r="F52" i="26" s="1"/>
  <c r="F53" i="26" s="1"/>
  <c r="F54" i="26" s="1"/>
  <c r="F55" i="26" s="1"/>
  <c r="F56" i="26" s="1"/>
  <c r="F57" i="26" s="1"/>
  <c r="F58" i="26" s="1"/>
  <c r="F59" i="26" s="1"/>
  <c r="F60" i="26" s="1"/>
  <c r="F61" i="26" s="1"/>
  <c r="F62" i="26" s="1"/>
  <c r="F63" i="26" s="1"/>
  <c r="F64" i="26" s="1"/>
  <c r="D66" i="26"/>
  <c r="N20" i="167"/>
  <c r="N25" i="167"/>
  <c r="N9" i="167"/>
  <c r="D22" i="116"/>
  <c r="N10" i="167"/>
  <c r="N23" i="167"/>
  <c r="N15" i="167"/>
  <c r="N24" i="167"/>
  <c r="N17" i="167"/>
  <c r="N21" i="167"/>
  <c r="N14" i="167"/>
  <c r="N22" i="167"/>
  <c r="N19" i="167"/>
  <c r="N18" i="167"/>
  <c r="E18" i="167" s="1"/>
  <c r="AP19" i="16" s="1"/>
  <c r="N27" i="167" l="1"/>
  <c r="F322" i="176"/>
  <c r="G322" i="176" s="1"/>
  <c r="F103" i="176"/>
  <c r="G103" i="176" s="1"/>
  <c r="F373" i="176"/>
  <c r="F167" i="176"/>
  <c r="F260" i="176"/>
  <c r="F42" i="176"/>
  <c r="G42" i="176" s="1"/>
  <c r="F377" i="176"/>
  <c r="G377" i="176" s="1"/>
  <c r="F196" i="176"/>
  <c r="G196" i="176" s="1"/>
  <c r="F193" i="176"/>
  <c r="G193" i="176" s="1"/>
  <c r="F352" i="176"/>
  <c r="G352" i="176" s="1"/>
  <c r="F216" i="176"/>
  <c r="G216" i="176" s="1"/>
  <c r="F236" i="176"/>
  <c r="G236" i="176" s="1"/>
  <c r="F212" i="176"/>
  <c r="G212" i="176" s="1"/>
  <c r="F337" i="176"/>
  <c r="G337" i="176" s="1"/>
  <c r="F238" i="176"/>
  <c r="G238" i="176" s="1"/>
  <c r="F315" i="176"/>
  <c r="G315" i="176" s="1"/>
  <c r="F51" i="176"/>
  <c r="G51" i="176" s="1"/>
  <c r="F229" i="176"/>
  <c r="G229" i="176" s="1"/>
  <c r="F298" i="176"/>
  <c r="G298" i="176" s="1"/>
  <c r="F44" i="176"/>
  <c r="G44" i="176" s="1"/>
  <c r="F41" i="176"/>
  <c r="G41" i="176" s="1"/>
  <c r="F58" i="176"/>
  <c r="G58" i="176" s="1"/>
  <c r="F179" i="176"/>
  <c r="G179" i="176" s="1"/>
  <c r="F299" i="176"/>
  <c r="G299" i="176" s="1"/>
  <c r="F378" i="176"/>
  <c r="G378" i="176" s="1"/>
  <c r="F187" i="176"/>
  <c r="G187" i="176" s="1"/>
  <c r="H373" i="176" l="1"/>
  <c r="G373" i="176"/>
  <c r="H260" i="176"/>
  <c r="G260" i="176"/>
  <c r="H167" i="176"/>
  <c r="G167" i="176"/>
  <c r="F159" i="176"/>
  <c r="F209" i="176"/>
  <c r="F342" i="176"/>
  <c r="G342" i="176" s="1"/>
  <c r="F304" i="176"/>
  <c r="F354" i="176"/>
  <c r="F190" i="176"/>
  <c r="F368" i="176"/>
  <c r="G368" i="176" s="1"/>
  <c r="F224" i="176"/>
  <c r="G224" i="176" s="1"/>
  <c r="F189" i="176"/>
  <c r="G189" i="176" s="1"/>
  <c r="F282" i="176"/>
  <c r="F55" i="176"/>
  <c r="F264" i="176"/>
  <c r="F366" i="176"/>
  <c r="F363" i="176"/>
  <c r="F359" i="176"/>
  <c r="G359" i="176" s="1"/>
  <c r="F217" i="176"/>
  <c r="F329" i="176"/>
  <c r="F90" i="176"/>
  <c r="F191" i="176"/>
  <c r="F75" i="176"/>
  <c r="G75" i="176" s="1"/>
  <c r="F81" i="176"/>
  <c r="G81" i="176" s="1"/>
  <c r="F246" i="176"/>
  <c r="G246" i="176" s="1"/>
  <c r="F206" i="176"/>
  <c r="G206" i="176" s="1"/>
  <c r="F95" i="176"/>
  <c r="F314" i="176"/>
  <c r="F252" i="176"/>
  <c r="F45" i="176"/>
  <c r="G45" i="176" s="1"/>
  <c r="H58" i="176"/>
  <c r="H229" i="176"/>
  <c r="H337" i="176"/>
  <c r="H352" i="176"/>
  <c r="H187" i="176"/>
  <c r="H179" i="176"/>
  <c r="H298" i="176"/>
  <c r="H238" i="176"/>
  <c r="H216" i="176"/>
  <c r="H377" i="176"/>
  <c r="H206" i="176"/>
  <c r="H42" i="176"/>
  <c r="H299" i="176"/>
  <c r="H44" i="176"/>
  <c r="H315" i="176"/>
  <c r="H236" i="176"/>
  <c r="H196" i="176"/>
  <c r="H378" i="176"/>
  <c r="H41" i="176"/>
  <c r="H51" i="176"/>
  <c r="H212" i="176"/>
  <c r="H193" i="176"/>
  <c r="H359" i="176"/>
  <c r="H342" i="176"/>
  <c r="H103" i="176"/>
  <c r="H322" i="176"/>
  <c r="F355" i="176"/>
  <c r="G355" i="176" s="1"/>
  <c r="F364" i="176"/>
  <c r="G364" i="176" s="1"/>
  <c r="F297" i="176"/>
  <c r="G297" i="176" s="1"/>
  <c r="F82" i="176"/>
  <c r="G82" i="176" s="1"/>
  <c r="F186" i="176"/>
  <c r="G186" i="176" s="1"/>
  <c r="F139" i="176"/>
  <c r="G139" i="176" s="1"/>
  <c r="F94" i="176"/>
  <c r="G94" i="176" s="1"/>
  <c r="F121" i="176"/>
  <c r="G121" i="176" s="1"/>
  <c r="F76" i="176"/>
  <c r="G76" i="176" s="1"/>
  <c r="F365" i="176"/>
  <c r="G365" i="176" s="1"/>
  <c r="F259" i="176"/>
  <c r="G259" i="176" s="1"/>
  <c r="F376" i="176"/>
  <c r="G376" i="176" s="1"/>
  <c r="F309" i="176"/>
  <c r="G309" i="176" s="1"/>
  <c r="F69" i="176"/>
  <c r="G69" i="176" s="1"/>
  <c r="F40" i="176"/>
  <c r="G40" i="176" s="1"/>
  <c r="F223" i="176"/>
  <c r="G223" i="176" s="1"/>
  <c r="F367" i="176"/>
  <c r="G367" i="176" s="1"/>
  <c r="F79" i="176"/>
  <c r="G79" i="176" s="1"/>
  <c r="F162" i="176"/>
  <c r="G162" i="176" s="1"/>
  <c r="F292" i="176"/>
  <c r="G292" i="176" s="1"/>
  <c r="F46" i="176"/>
  <c r="G46" i="176" s="1"/>
  <c r="F241" i="176"/>
  <c r="G241" i="176" s="1"/>
  <c r="F113" i="176"/>
  <c r="G113" i="176" s="1"/>
  <c r="F244" i="176"/>
  <c r="G244" i="176" s="1"/>
  <c r="F89" i="176"/>
  <c r="G89" i="176" s="1"/>
  <c r="F243" i="176"/>
  <c r="G243" i="176" s="1"/>
  <c r="F340" i="176"/>
  <c r="G340" i="176" s="1"/>
  <c r="F37" i="176"/>
  <c r="G37" i="176" s="1"/>
  <c r="F138" i="176"/>
  <c r="G138" i="176" s="1"/>
  <c r="F35" i="176"/>
  <c r="G35" i="176" s="1"/>
  <c r="F270" i="176"/>
  <c r="G270" i="176" s="1"/>
  <c r="F225" i="176"/>
  <c r="G225" i="176" s="1"/>
  <c r="F228" i="176"/>
  <c r="G228" i="176" s="1"/>
  <c r="F52" i="176"/>
  <c r="G52" i="176" s="1"/>
  <c r="F375" i="176"/>
  <c r="G375" i="176" s="1"/>
  <c r="F271" i="176"/>
  <c r="G271" i="176" s="1"/>
  <c r="F254" i="176"/>
  <c r="G254" i="176" s="1"/>
  <c r="F108" i="176"/>
  <c r="G108" i="176" s="1"/>
  <c r="F294" i="176"/>
  <c r="G294" i="176" s="1"/>
  <c r="F118" i="176"/>
  <c r="G118" i="176" s="1"/>
  <c r="F207" i="176"/>
  <c r="G207" i="176" s="1"/>
  <c r="F289" i="176"/>
  <c r="G289" i="176" s="1"/>
  <c r="F100" i="176"/>
  <c r="G100" i="176" s="1"/>
  <c r="F91" i="176"/>
  <c r="G91" i="176" s="1"/>
  <c r="F249" i="176"/>
  <c r="G249" i="176" s="1"/>
  <c r="F28" i="176"/>
  <c r="G28" i="176" s="1"/>
  <c r="F181" i="176"/>
  <c r="G181" i="176" s="1"/>
  <c r="F318" i="176"/>
  <c r="G318" i="176" s="1"/>
  <c r="F306" i="176"/>
  <c r="G306" i="176" s="1"/>
  <c r="F173" i="176"/>
  <c r="G173" i="176" s="1"/>
  <c r="F220" i="176"/>
  <c r="G220" i="176" s="1"/>
  <c r="F256" i="176"/>
  <c r="G256" i="176" s="1"/>
  <c r="F253" i="176"/>
  <c r="G253" i="176" s="1"/>
  <c r="F308" i="176"/>
  <c r="G308" i="176" s="1"/>
  <c r="F27" i="176"/>
  <c r="G27" i="176" s="1"/>
  <c r="F106" i="176"/>
  <c r="G106" i="176" s="1"/>
  <c r="F320" i="176"/>
  <c r="G320" i="176" s="1"/>
  <c r="F281" i="176"/>
  <c r="G281" i="176" s="1"/>
  <c r="F115" i="176"/>
  <c r="G115" i="176" s="1"/>
  <c r="F86" i="176"/>
  <c r="G86" i="176" s="1"/>
  <c r="F268" i="176"/>
  <c r="G268" i="176" s="1"/>
  <c r="F160" i="176"/>
  <c r="G160" i="176" s="1"/>
  <c r="F157" i="176"/>
  <c r="G157" i="176" s="1"/>
  <c r="F134" i="176"/>
  <c r="G134" i="176" s="1"/>
  <c r="F278" i="176"/>
  <c r="G278" i="176" s="1"/>
  <c r="F199" i="176"/>
  <c r="G199" i="176" s="1"/>
  <c r="F128" i="176"/>
  <c r="G128" i="176" s="1"/>
  <c r="F221" i="176"/>
  <c r="G221" i="176" s="1"/>
  <c r="F262" i="176"/>
  <c r="G262" i="176" s="1"/>
  <c r="F111" i="176"/>
  <c r="G111" i="176" s="1"/>
  <c r="F83" i="176"/>
  <c r="G83" i="176" s="1"/>
  <c r="F214" i="176"/>
  <c r="G214" i="176" s="1"/>
  <c r="F57" i="176"/>
  <c r="G57" i="176" s="1"/>
  <c r="F336" i="176"/>
  <c r="G336" i="176" s="1"/>
  <c r="F149" i="176"/>
  <c r="G149" i="176" s="1"/>
  <c r="F290" i="176"/>
  <c r="G290" i="176" s="1"/>
  <c r="F64" i="176"/>
  <c r="G64" i="176" s="1"/>
  <c r="F61" i="176"/>
  <c r="G61" i="176" s="1"/>
  <c r="F317" i="176"/>
  <c r="G317" i="176" s="1"/>
  <c r="F23" i="176"/>
  <c r="G23" i="176" s="1"/>
  <c r="F279" i="176"/>
  <c r="G279" i="176" s="1"/>
  <c r="F96" i="176"/>
  <c r="G96" i="176" s="1"/>
  <c r="F125" i="176"/>
  <c r="G125" i="176" s="1"/>
  <c r="F70" i="176"/>
  <c r="G70" i="176" s="1"/>
  <c r="F194" i="176"/>
  <c r="G194" i="176" s="1"/>
  <c r="F331" i="176"/>
  <c r="G331" i="176" s="1"/>
  <c r="F213" i="176"/>
  <c r="G213" i="176" s="1"/>
  <c r="F92" i="176"/>
  <c r="G92" i="176" s="1"/>
  <c r="F26" i="176"/>
  <c r="G26" i="176" s="1"/>
  <c r="F136" i="176"/>
  <c r="G136" i="176" s="1"/>
  <c r="F155" i="176"/>
  <c r="G155" i="176" s="1"/>
  <c r="F32" i="176"/>
  <c r="G32" i="176" s="1"/>
  <c r="F29" i="176"/>
  <c r="G29" i="176" s="1"/>
  <c r="F285" i="176"/>
  <c r="G285" i="176" s="1"/>
  <c r="F351" i="176"/>
  <c r="G351" i="176" s="1"/>
  <c r="F195" i="176"/>
  <c r="G195" i="176" s="1"/>
  <c r="F18" i="176"/>
  <c r="G18" i="176" s="1"/>
  <c r="F349" i="176"/>
  <c r="G349" i="176" s="1"/>
  <c r="F74" i="176"/>
  <c r="G74" i="176" s="1"/>
  <c r="F233" i="176"/>
  <c r="G233" i="176" s="1"/>
  <c r="F192" i="176"/>
  <c r="G192" i="176" s="1"/>
  <c r="F338" i="176"/>
  <c r="G338" i="176" s="1"/>
  <c r="F24" i="176"/>
  <c r="G24" i="176" s="1"/>
  <c r="F277" i="176"/>
  <c r="G277" i="176" s="1"/>
  <c r="F131" i="176"/>
  <c r="G131" i="176" s="1"/>
  <c r="F156" i="176"/>
  <c r="G156" i="176" s="1"/>
  <c r="F345" i="176"/>
  <c r="G345" i="176" s="1"/>
  <c r="F144" i="176"/>
  <c r="G144" i="176" s="1"/>
  <c r="F272" i="176"/>
  <c r="G272" i="176" s="1"/>
  <c r="F141" i="176"/>
  <c r="G141" i="176" s="1"/>
  <c r="F269" i="176"/>
  <c r="G269" i="176" s="1"/>
  <c r="F102" i="176"/>
  <c r="G102" i="176" s="1"/>
  <c r="F330" i="176"/>
  <c r="G330" i="176" s="1"/>
  <c r="F235" i="176"/>
  <c r="G235" i="176" s="1"/>
  <c r="F154" i="176"/>
  <c r="G154" i="176" s="1"/>
  <c r="F114" i="176"/>
  <c r="G114" i="176" s="1"/>
  <c r="F339" i="176"/>
  <c r="G339" i="176" s="1"/>
  <c r="F170" i="176"/>
  <c r="G170" i="176" s="1"/>
  <c r="F275" i="176"/>
  <c r="G275" i="176" s="1"/>
  <c r="F232" i="176"/>
  <c r="G232" i="176" s="1"/>
  <c r="F85" i="176"/>
  <c r="G85" i="176" s="1"/>
  <c r="F22" i="176"/>
  <c r="G22" i="176" s="1"/>
  <c r="F130" i="176"/>
  <c r="G130" i="176" s="1"/>
  <c r="F93" i="176"/>
  <c r="G93" i="176" s="1"/>
  <c r="F200" i="176"/>
  <c r="G200" i="176" s="1"/>
  <c r="F171" i="176"/>
  <c r="G171" i="176" s="1"/>
  <c r="F20" i="176"/>
  <c r="F334" i="176"/>
  <c r="G334" i="176" s="1"/>
  <c r="F370" i="176"/>
  <c r="G370" i="176" s="1"/>
  <c r="F53" i="176"/>
  <c r="G53" i="176" s="1"/>
  <c r="F43" i="176"/>
  <c r="G43" i="176" s="1"/>
  <c r="F358" i="176"/>
  <c r="G358" i="176" s="1"/>
  <c r="F169" i="176"/>
  <c r="G169" i="176" s="1"/>
  <c r="F112" i="176"/>
  <c r="G112" i="176" s="1"/>
  <c r="F240" i="176"/>
  <c r="G240" i="176" s="1"/>
  <c r="F109" i="176"/>
  <c r="G109" i="176" s="1"/>
  <c r="F237" i="176"/>
  <c r="G237" i="176" s="1"/>
  <c r="F38" i="176"/>
  <c r="G38" i="176" s="1"/>
  <c r="F287" i="176"/>
  <c r="G287" i="176" s="1"/>
  <c r="F151" i="176"/>
  <c r="G151" i="176" s="1"/>
  <c r="F67" i="176"/>
  <c r="G67" i="176" s="1"/>
  <c r="F362" i="176"/>
  <c r="G362" i="176" s="1"/>
  <c r="F202" i="176"/>
  <c r="G202" i="176" s="1"/>
  <c r="F379" i="176"/>
  <c r="G379" i="176" s="1"/>
  <c r="F344" i="176"/>
  <c r="G344" i="176" s="1"/>
  <c r="F168" i="176"/>
  <c r="G168" i="176" s="1"/>
  <c r="F21" i="176"/>
  <c r="G21" i="176" s="1"/>
  <c r="F293" i="176"/>
  <c r="G293" i="176" s="1"/>
  <c r="F360" i="176"/>
  <c r="G360" i="176" s="1"/>
  <c r="F218" i="176"/>
  <c r="G218" i="176" s="1"/>
  <c r="F231" i="176"/>
  <c r="G231" i="176" s="1"/>
  <c r="F188" i="176"/>
  <c r="G188" i="176" s="1"/>
  <c r="F137" i="176"/>
  <c r="G137" i="176" s="1"/>
  <c r="F62" i="176"/>
  <c r="G62" i="176" s="1"/>
  <c r="F143" i="176"/>
  <c r="G143" i="176" s="1"/>
  <c r="F266" i="176"/>
  <c r="G266" i="176" s="1"/>
  <c r="F36" i="176"/>
  <c r="G36" i="176" s="1"/>
  <c r="F164" i="176"/>
  <c r="G164" i="176" s="1"/>
  <c r="F161" i="176"/>
  <c r="G161" i="176" s="1"/>
  <c r="F142" i="176"/>
  <c r="G142" i="176" s="1"/>
  <c r="F284" i="176"/>
  <c r="G284" i="176" s="1"/>
  <c r="F219" i="176"/>
  <c r="G219" i="176" s="1"/>
  <c r="F152" i="176"/>
  <c r="G152" i="176" s="1"/>
  <c r="F71" i="176"/>
  <c r="G71" i="176" s="1"/>
  <c r="F341" i="176"/>
  <c r="G341" i="176" s="1"/>
  <c r="F16" i="176"/>
  <c r="G16" i="176" s="1"/>
  <c r="F283" i="176"/>
  <c r="G283" i="176" s="1"/>
  <c r="F210" i="176"/>
  <c r="G210" i="176" s="1"/>
  <c r="F198" i="176"/>
  <c r="G198" i="176" s="1"/>
  <c r="F255" i="176"/>
  <c r="G255" i="176" s="1"/>
  <c r="F248" i="176"/>
  <c r="G248" i="176" s="1"/>
  <c r="F319" i="176"/>
  <c r="G319" i="176" s="1"/>
  <c r="F59" i="176"/>
  <c r="G59" i="176" s="1"/>
  <c r="F105" i="176"/>
  <c r="G105" i="176" s="1"/>
  <c r="F80" i="176"/>
  <c r="G80" i="176" s="1"/>
  <c r="F208" i="176"/>
  <c r="G208" i="176" s="1"/>
  <c r="F77" i="176"/>
  <c r="G77" i="176" s="1"/>
  <c r="F205" i="176"/>
  <c r="G205" i="176" s="1"/>
  <c r="F333" i="176"/>
  <c r="G333" i="176" s="1"/>
  <c r="F230" i="176"/>
  <c r="G230" i="176" s="1"/>
  <c r="F66" i="176"/>
  <c r="G66" i="176" s="1"/>
  <c r="F361" i="176"/>
  <c r="G361" i="176" s="1"/>
  <c r="F307" i="176"/>
  <c r="G307" i="176" s="1"/>
  <c r="F31" i="176"/>
  <c r="G31" i="176" s="1"/>
  <c r="F274" i="176"/>
  <c r="G274" i="176" s="1"/>
  <c r="F296" i="176"/>
  <c r="G296" i="176" s="1"/>
  <c r="F104" i="176"/>
  <c r="G104" i="176" s="1"/>
  <c r="F245" i="176"/>
  <c r="G245" i="176" s="1"/>
  <c r="F276" i="176"/>
  <c r="G276" i="176" s="1"/>
  <c r="F47" i="176"/>
  <c r="G47" i="176" s="1"/>
  <c r="F311" i="176"/>
  <c r="G311" i="176" s="1"/>
  <c r="F124" i="176"/>
  <c r="G124" i="176" s="1"/>
  <c r="F73" i="176"/>
  <c r="G73" i="176" s="1"/>
  <c r="F313" i="176"/>
  <c r="G313" i="176" s="1"/>
  <c r="F267" i="176"/>
  <c r="G267" i="176" s="1"/>
  <c r="F323" i="176"/>
  <c r="G323" i="176" s="1"/>
  <c r="F147" i="176"/>
  <c r="G147" i="176" s="1"/>
  <c r="F132" i="176"/>
  <c r="G132" i="176" s="1"/>
  <c r="F129" i="176"/>
  <c r="G129" i="176" s="1"/>
  <c r="F78" i="176"/>
  <c r="G78" i="176" s="1"/>
  <c r="F203" i="176"/>
  <c r="G203" i="176" s="1"/>
  <c r="F50" i="176"/>
  <c r="G50" i="176" s="1"/>
  <c r="F56" i="176"/>
  <c r="G56" i="176" s="1"/>
  <c r="F291" i="176"/>
  <c r="G291" i="176" s="1"/>
  <c r="F101" i="176"/>
  <c r="G101" i="176" s="1"/>
  <c r="F146" i="176"/>
  <c r="G146" i="176" s="1"/>
  <c r="F346" i="176"/>
  <c r="G346" i="176" s="1"/>
  <c r="F326" i="176"/>
  <c r="G326" i="176" s="1"/>
  <c r="F99" i="176"/>
  <c r="G99" i="176" s="1"/>
  <c r="F98" i="176"/>
  <c r="G98" i="176" s="1"/>
  <c r="F30" i="176"/>
  <c r="G30" i="176" s="1"/>
  <c r="F234" i="176"/>
  <c r="G234" i="176" s="1"/>
  <c r="F300" i="176"/>
  <c r="G300" i="176" s="1"/>
  <c r="F226" i="176"/>
  <c r="G226" i="176" s="1"/>
  <c r="F222" i="176"/>
  <c r="G222" i="176" s="1"/>
  <c r="F185" i="176"/>
  <c r="G185" i="176" s="1"/>
  <c r="F140" i="176"/>
  <c r="G140" i="176" s="1"/>
  <c r="F302" i="176"/>
  <c r="G302" i="176" s="1"/>
  <c r="F350" i="176"/>
  <c r="G350" i="176" s="1"/>
  <c r="F215" i="176"/>
  <c r="G215" i="176" s="1"/>
  <c r="F54" i="176"/>
  <c r="G54" i="176" s="1"/>
  <c r="F117" i="176"/>
  <c r="G117" i="176" s="1"/>
  <c r="F120" i="176"/>
  <c r="G120" i="176" s="1"/>
  <c r="F39" i="176"/>
  <c r="G39" i="176" s="1"/>
  <c r="F135" i="176"/>
  <c r="G135" i="176" s="1"/>
  <c r="F163" i="176"/>
  <c r="G163" i="176" s="1"/>
  <c r="F247" i="176"/>
  <c r="G247" i="176" s="1"/>
  <c r="F335" i="176"/>
  <c r="G335" i="176" s="1"/>
  <c r="F110" i="176"/>
  <c r="G110" i="176" s="1"/>
  <c r="F273" i="176"/>
  <c r="G273" i="176" s="1"/>
  <c r="F145" i="176"/>
  <c r="G145" i="176" s="1"/>
  <c r="F17" i="176"/>
  <c r="G17" i="176" s="1"/>
  <c r="F148" i="176"/>
  <c r="G148" i="176" s="1"/>
  <c r="F347" i="176"/>
  <c r="G347" i="176" s="1"/>
  <c r="F371" i="176"/>
  <c r="G371" i="176" s="1"/>
  <c r="F197" i="176"/>
  <c r="G197" i="176" s="1"/>
  <c r="F19" i="176"/>
  <c r="G19" i="176" s="1"/>
  <c r="F286" i="176"/>
  <c r="G286" i="176" s="1"/>
  <c r="F34" i="176"/>
  <c r="G34" i="176" s="1"/>
  <c r="F321" i="176"/>
  <c r="G321" i="176" s="1"/>
  <c r="F65" i="176"/>
  <c r="G65" i="176" s="1"/>
  <c r="F84" i="176"/>
  <c r="G84" i="176" s="1"/>
  <c r="F251" i="176"/>
  <c r="G251" i="176" s="1"/>
  <c r="F357" i="176"/>
  <c r="G357" i="176" s="1"/>
  <c r="F87" i="176"/>
  <c r="G87" i="176" s="1"/>
  <c r="F133" i="176"/>
  <c r="G133" i="176" s="1"/>
  <c r="F122" i="176"/>
  <c r="G122" i="176" s="1"/>
  <c r="F257" i="176"/>
  <c r="G257" i="176" s="1"/>
  <c r="F68" i="176"/>
  <c r="G68" i="176" s="1"/>
  <c r="F328" i="176"/>
  <c r="G328" i="176" s="1"/>
  <c r="F201" i="176"/>
  <c r="G201" i="176" s="1"/>
  <c r="F127" i="176"/>
  <c r="G127" i="176" s="1"/>
  <c r="F150" i="176"/>
  <c r="G150" i="176" s="1"/>
  <c r="F72" i="176"/>
  <c r="G72" i="176" s="1"/>
  <c r="F239" i="176"/>
  <c r="G239" i="176" s="1"/>
  <c r="F301" i="176"/>
  <c r="G301" i="176" s="1"/>
  <c r="F48" i="176"/>
  <c r="G48" i="176" s="1"/>
  <c r="F88" i="176"/>
  <c r="G88" i="176" s="1"/>
  <c r="F374" i="176"/>
  <c r="G374" i="176" s="1"/>
  <c r="F63" i="176"/>
  <c r="G63" i="176" s="1"/>
  <c r="F227" i="176"/>
  <c r="G227" i="176" s="1"/>
  <c r="F183" i="176"/>
  <c r="G183" i="176" s="1"/>
  <c r="F158" i="176"/>
  <c r="G158" i="176" s="1"/>
  <c r="F153" i="176"/>
  <c r="G153" i="176" s="1"/>
  <c r="F178" i="176"/>
  <c r="G178" i="176" s="1"/>
  <c r="F327" i="176"/>
  <c r="G327" i="176" s="1"/>
  <c r="F324" i="176"/>
  <c r="G324" i="176" s="1"/>
  <c r="F265" i="176"/>
  <c r="G265" i="176" s="1"/>
  <c r="F204" i="176"/>
  <c r="G204" i="176" s="1"/>
  <c r="F211" i="176"/>
  <c r="G211" i="176" s="1"/>
  <c r="F242" i="176"/>
  <c r="G242" i="176" s="1"/>
  <c r="F348" i="176"/>
  <c r="G348" i="176" s="1"/>
  <c r="F182" i="176"/>
  <c r="G182" i="176" s="1"/>
  <c r="F165" i="176"/>
  <c r="G165" i="176" s="1"/>
  <c r="F184" i="176"/>
  <c r="G184" i="176" s="1"/>
  <c r="F288" i="176"/>
  <c r="G288" i="176" s="1"/>
  <c r="F295" i="176"/>
  <c r="G295" i="176" s="1"/>
  <c r="F250" i="176"/>
  <c r="G250" i="176" s="1"/>
  <c r="F312" i="176"/>
  <c r="G312" i="176" s="1"/>
  <c r="F372" i="176"/>
  <c r="G372" i="176" s="1"/>
  <c r="F174" i="176"/>
  <c r="G174" i="176" s="1"/>
  <c r="F305" i="176"/>
  <c r="G305" i="176" s="1"/>
  <c r="F177" i="176"/>
  <c r="G177" i="176" s="1"/>
  <c r="F49" i="176"/>
  <c r="G49" i="176" s="1"/>
  <c r="F180" i="176"/>
  <c r="G180" i="176" s="1"/>
  <c r="F60" i="176"/>
  <c r="G60" i="176" s="1"/>
  <c r="F175" i="176"/>
  <c r="G175" i="176" s="1"/>
  <c r="F261" i="176"/>
  <c r="G261" i="176" s="1"/>
  <c r="F332" i="176"/>
  <c r="G332" i="176" s="1"/>
  <c r="F343" i="176"/>
  <c r="G343" i="176" s="1"/>
  <c r="F119" i="176"/>
  <c r="G119" i="176" s="1"/>
  <c r="F353" i="176"/>
  <c r="G353" i="176" s="1"/>
  <c r="F97" i="176"/>
  <c r="G97" i="176" s="1"/>
  <c r="F116" i="176"/>
  <c r="G116" i="176" s="1"/>
  <c r="F369" i="176"/>
  <c r="G369" i="176" s="1"/>
  <c r="F263" i="176"/>
  <c r="G263" i="176" s="1"/>
  <c r="F126" i="176"/>
  <c r="G126" i="176" s="1"/>
  <c r="F172" i="176"/>
  <c r="G172" i="176" s="1"/>
  <c r="F123" i="176"/>
  <c r="G123" i="176" s="1"/>
  <c r="F356" i="176"/>
  <c r="G356" i="176" s="1"/>
  <c r="F33" i="176"/>
  <c r="G33" i="176" s="1"/>
  <c r="F316" i="176"/>
  <c r="G316" i="176" s="1"/>
  <c r="F303" i="176"/>
  <c r="G303" i="176" s="1"/>
  <c r="F25" i="176"/>
  <c r="G25" i="176" s="1"/>
  <c r="F310" i="176"/>
  <c r="G310" i="176" s="1"/>
  <c r="F258" i="176"/>
  <c r="G258" i="176" s="1"/>
  <c r="F280" i="176"/>
  <c r="G280" i="176" s="1"/>
  <c r="F166" i="176"/>
  <c r="G166" i="176" s="1"/>
  <c r="F176" i="176"/>
  <c r="G176" i="176" s="1"/>
  <c r="F325" i="176"/>
  <c r="G325" i="176" s="1"/>
  <c r="F107" i="176"/>
  <c r="G107" i="176" s="1"/>
  <c r="H368" i="176" l="1"/>
  <c r="H252" i="176"/>
  <c r="G252" i="176"/>
  <c r="H363" i="176"/>
  <c r="G363" i="176"/>
  <c r="G20" i="176"/>
  <c r="D12" i="176"/>
  <c r="H12" i="176" s="1"/>
  <c r="H314" i="176"/>
  <c r="G314" i="176"/>
  <c r="H329" i="176"/>
  <c r="G329" i="176"/>
  <c r="H366" i="176"/>
  <c r="G366" i="176"/>
  <c r="H354" i="176"/>
  <c r="G354" i="176"/>
  <c r="H159" i="176"/>
  <c r="G159" i="176"/>
  <c r="H90" i="176"/>
  <c r="G90" i="176"/>
  <c r="H190" i="176"/>
  <c r="G190" i="176"/>
  <c r="H95" i="176"/>
  <c r="G95" i="176"/>
  <c r="H217" i="176"/>
  <c r="G217" i="176"/>
  <c r="H264" i="176"/>
  <c r="G264" i="176"/>
  <c r="H304" i="176"/>
  <c r="G304" i="176"/>
  <c r="H282" i="176"/>
  <c r="G282" i="176"/>
  <c r="H209" i="176"/>
  <c r="G209" i="176"/>
  <c r="H191" i="176"/>
  <c r="G191" i="176"/>
  <c r="H55" i="176"/>
  <c r="G55" i="176"/>
  <c r="H81" i="176"/>
  <c r="H189" i="176"/>
  <c r="H246" i="176"/>
  <c r="H45" i="176"/>
  <c r="H224" i="176"/>
  <c r="H75" i="176"/>
  <c r="H303" i="176"/>
  <c r="H119" i="176"/>
  <c r="H312" i="176"/>
  <c r="H324" i="176"/>
  <c r="H239" i="176"/>
  <c r="H122" i="176"/>
  <c r="H371" i="176"/>
  <c r="H120" i="176"/>
  <c r="H222" i="176"/>
  <c r="H56" i="176"/>
  <c r="H311" i="176"/>
  <c r="H333" i="176"/>
  <c r="H152" i="176"/>
  <c r="H231" i="176"/>
  <c r="H202" i="176"/>
  <c r="H43" i="176"/>
  <c r="H275" i="176"/>
  <c r="H345" i="176"/>
  <c r="H351" i="176"/>
  <c r="H125" i="176"/>
  <c r="H83" i="176"/>
  <c r="H157" i="176"/>
  <c r="H27" i="176"/>
  <c r="H249" i="176"/>
  <c r="H271" i="176"/>
  <c r="H37" i="176"/>
  <c r="H292" i="176"/>
  <c r="H121" i="176"/>
  <c r="H325" i="176"/>
  <c r="H116" i="176"/>
  <c r="H305" i="176"/>
  <c r="H211" i="176"/>
  <c r="H183" i="176"/>
  <c r="H72" i="176"/>
  <c r="H133" i="176"/>
  <c r="H84" i="176"/>
  <c r="H347" i="176"/>
  <c r="H273" i="176"/>
  <c r="H163" i="176"/>
  <c r="H117" i="176"/>
  <c r="H302" i="176"/>
  <c r="H226" i="176"/>
  <c r="H146" i="176"/>
  <c r="H50" i="176"/>
  <c r="H132" i="176"/>
  <c r="H313" i="176"/>
  <c r="H47" i="176"/>
  <c r="H296" i="176"/>
  <c r="H361" i="176"/>
  <c r="H205" i="176"/>
  <c r="H105" i="176"/>
  <c r="H255" i="176"/>
  <c r="H16" i="176"/>
  <c r="H219" i="176"/>
  <c r="H164" i="176"/>
  <c r="H62" i="176"/>
  <c r="H218" i="176"/>
  <c r="H168" i="176"/>
  <c r="H362" i="176"/>
  <c r="H38" i="176"/>
  <c r="H112" i="176"/>
  <c r="H53" i="176"/>
  <c r="H171" i="176"/>
  <c r="H22" i="176"/>
  <c r="H170" i="176"/>
  <c r="H235" i="176"/>
  <c r="H141" i="176"/>
  <c r="H156" i="176"/>
  <c r="H338" i="176"/>
  <c r="H349" i="176"/>
  <c r="H285" i="176"/>
  <c r="H136" i="176"/>
  <c r="H331" i="176"/>
  <c r="H96" i="176"/>
  <c r="H61" i="176"/>
  <c r="H336" i="176"/>
  <c r="H111" i="176"/>
  <c r="H199" i="176"/>
  <c r="H160" i="176"/>
  <c r="H281" i="176"/>
  <c r="H308" i="176"/>
  <c r="H173" i="176"/>
  <c r="H294" i="176"/>
  <c r="H375" i="176"/>
  <c r="H270" i="176"/>
  <c r="H340" i="176"/>
  <c r="H113" i="176"/>
  <c r="H162" i="176"/>
  <c r="H40" i="176"/>
  <c r="H259" i="176"/>
  <c r="H94" i="176"/>
  <c r="H297" i="176"/>
  <c r="H107" i="176"/>
  <c r="H369" i="176"/>
  <c r="H177" i="176"/>
  <c r="H184" i="176"/>
  <c r="H158" i="176"/>
  <c r="H201" i="176"/>
  <c r="H34" i="176"/>
  <c r="H247" i="176"/>
  <c r="H30" i="176"/>
  <c r="H129" i="176"/>
  <c r="H104" i="176"/>
  <c r="H80" i="176"/>
  <c r="H283" i="176"/>
  <c r="H143" i="176"/>
  <c r="H287" i="176"/>
  <c r="H20" i="176"/>
  <c r="H269" i="176"/>
  <c r="H74" i="176"/>
  <c r="H155" i="176"/>
  <c r="H317" i="176"/>
  <c r="H128" i="176"/>
  <c r="H220" i="176"/>
  <c r="H100" i="176"/>
  <c r="H225" i="176"/>
  <c r="H223" i="176"/>
  <c r="H258" i="176"/>
  <c r="H172" i="176"/>
  <c r="H60" i="176"/>
  <c r="H165" i="176"/>
  <c r="H327" i="176"/>
  <c r="H88" i="176"/>
  <c r="H328" i="176"/>
  <c r="H286" i="176"/>
  <c r="H98" i="176"/>
  <c r="H176" i="176"/>
  <c r="H310" i="176"/>
  <c r="H33" i="176"/>
  <c r="H126" i="176"/>
  <c r="H97" i="176"/>
  <c r="H332" i="176"/>
  <c r="H180" i="176"/>
  <c r="H174" i="176"/>
  <c r="H295" i="176"/>
  <c r="H182" i="176"/>
  <c r="H204" i="176"/>
  <c r="H178" i="176"/>
  <c r="H227" i="176"/>
  <c r="H48" i="176"/>
  <c r="H150" i="176"/>
  <c r="H68" i="176"/>
  <c r="H87" i="176"/>
  <c r="H65" i="176"/>
  <c r="H19" i="176"/>
  <c r="H148" i="176"/>
  <c r="H110" i="176"/>
  <c r="H135" i="176"/>
  <c r="H54" i="176"/>
  <c r="H140" i="176"/>
  <c r="H300" i="176"/>
  <c r="H99" i="176"/>
  <c r="H101" i="176"/>
  <c r="H203" i="176"/>
  <c r="H147" i="176"/>
  <c r="H73" i="176"/>
  <c r="H276" i="176"/>
  <c r="H274" i="176"/>
  <c r="H66" i="176"/>
  <c r="H77" i="176"/>
  <c r="H59" i="176"/>
  <c r="H198" i="176"/>
  <c r="H341" i="176"/>
  <c r="H284" i="176"/>
  <c r="H36" i="176"/>
  <c r="H137" i="176"/>
  <c r="H360" i="176"/>
  <c r="H344" i="176"/>
  <c r="H67" i="176"/>
  <c r="H237" i="176"/>
  <c r="H169" i="176"/>
  <c r="H370" i="176"/>
  <c r="H200" i="176"/>
  <c r="H85" i="176"/>
  <c r="H339" i="176"/>
  <c r="H330" i="176"/>
  <c r="H272" i="176"/>
  <c r="H131" i="176"/>
  <c r="H192" i="176"/>
  <c r="H18" i="176"/>
  <c r="H29" i="176"/>
  <c r="H26" i="176"/>
  <c r="H194" i="176"/>
  <c r="H279" i="176"/>
  <c r="H64" i="176"/>
  <c r="H57" i="176"/>
  <c r="H262" i="176"/>
  <c r="H278" i="176"/>
  <c r="H268" i="176"/>
  <c r="H320" i="176"/>
  <c r="H253" i="176"/>
  <c r="H306" i="176"/>
  <c r="H28" i="176"/>
  <c r="H91" i="176"/>
  <c r="H289" i="176"/>
  <c r="H108" i="176"/>
  <c r="H52" i="176"/>
  <c r="H35" i="176"/>
  <c r="H243" i="176"/>
  <c r="H241" i="176"/>
  <c r="H79" i="176"/>
  <c r="H69" i="176"/>
  <c r="H365" i="176"/>
  <c r="H139" i="176"/>
  <c r="H364" i="176"/>
  <c r="H280" i="176"/>
  <c r="H123" i="176"/>
  <c r="H175" i="176"/>
  <c r="H242" i="176"/>
  <c r="H374" i="176"/>
  <c r="H251" i="176"/>
  <c r="H145" i="176"/>
  <c r="H350" i="176"/>
  <c r="H346" i="176"/>
  <c r="H267" i="176"/>
  <c r="H307" i="176"/>
  <c r="H248" i="176"/>
  <c r="H161" i="176"/>
  <c r="H21" i="176"/>
  <c r="H240" i="176"/>
  <c r="H130" i="176"/>
  <c r="H154" i="176"/>
  <c r="H24" i="176"/>
  <c r="H213" i="176"/>
  <c r="H149" i="176"/>
  <c r="H115" i="176"/>
  <c r="H181" i="176"/>
  <c r="H118" i="176"/>
  <c r="H244" i="176"/>
  <c r="H376" i="176"/>
  <c r="H82" i="176"/>
  <c r="H316" i="176"/>
  <c r="H343" i="176"/>
  <c r="H250" i="176"/>
  <c r="H166" i="176"/>
  <c r="H25" i="176"/>
  <c r="H356" i="176"/>
  <c r="H263" i="176"/>
  <c r="H353" i="176"/>
  <c r="H261" i="176"/>
  <c r="H49" i="176"/>
  <c r="H372" i="176"/>
  <c r="H288" i="176"/>
  <c r="H348" i="176"/>
  <c r="H265" i="176"/>
  <c r="H153" i="176"/>
  <c r="H63" i="176"/>
  <c r="H301" i="176"/>
  <c r="H127" i="176"/>
  <c r="H257" i="176"/>
  <c r="H357" i="176"/>
  <c r="H321" i="176"/>
  <c r="H197" i="176"/>
  <c r="H17" i="176"/>
  <c r="H335" i="176"/>
  <c r="H39" i="176"/>
  <c r="H215" i="176"/>
  <c r="H185" i="176"/>
  <c r="H234" i="176"/>
  <c r="H326" i="176"/>
  <c r="H291" i="176"/>
  <c r="H78" i="176"/>
  <c r="H323" i="176"/>
  <c r="H124" i="176"/>
  <c r="H245" i="176"/>
  <c r="H31" i="176"/>
  <c r="H230" i="176"/>
  <c r="H208" i="176"/>
  <c r="H319" i="176"/>
  <c r="H210" i="176"/>
  <c r="H71" i="176"/>
  <c r="H142" i="176"/>
  <c r="H266" i="176"/>
  <c r="H188" i="176"/>
  <c r="H293" i="176"/>
  <c r="H379" i="176"/>
  <c r="H151" i="176"/>
  <c r="H109" i="176"/>
  <c r="H358" i="176"/>
  <c r="H334" i="176"/>
  <c r="H93" i="176"/>
  <c r="H232" i="176"/>
  <c r="H114" i="176"/>
  <c r="H102" i="176"/>
  <c r="H144" i="176"/>
  <c r="H277" i="176"/>
  <c r="H233" i="176"/>
  <c r="H195" i="176"/>
  <c r="H32" i="176"/>
  <c r="H92" i="176"/>
  <c r="H70" i="176"/>
  <c r="H23" i="176"/>
  <c r="H290" i="176"/>
  <c r="H214" i="176"/>
  <c r="H221" i="176"/>
  <c r="H134" i="176"/>
  <c r="H86" i="176"/>
  <c r="H106" i="176"/>
  <c r="H256" i="176"/>
  <c r="H318" i="176"/>
  <c r="H207" i="176"/>
  <c r="H254" i="176"/>
  <c r="H228" i="176"/>
  <c r="H138" i="176"/>
  <c r="H89" i="176"/>
  <c r="H46" i="176"/>
  <c r="H367" i="176"/>
  <c r="H309" i="176"/>
  <c r="H76" i="176"/>
  <c r="H186" i="176"/>
  <c r="H355" i="176"/>
  <c r="F12" i="176" l="1"/>
  <c r="E12" i="176"/>
  <c r="G12" i="176" s="1"/>
  <c r="D71" i="116" s="1"/>
  <c r="Q7" i="167" l="1"/>
  <c r="E7" i="167" s="1"/>
  <c r="AP5" i="16" s="1"/>
  <c r="H6" i="179"/>
  <c r="D72" i="116"/>
  <c r="H7" i="179" s="1"/>
  <c r="D73" i="116" l="1"/>
  <c r="H8" i="179" s="1"/>
  <c r="Q8" i="167"/>
  <c r="E8" i="167" s="1"/>
  <c r="AP6" i="16" s="1"/>
  <c r="Q9" i="167" l="1"/>
  <c r="E9" i="167" s="1"/>
  <c r="AP7" i="16" s="1"/>
  <c r="D74" i="116"/>
  <c r="H9" i="179" s="1"/>
  <c r="Q10" i="167"/>
  <c r="E10" i="167" s="1"/>
  <c r="AP8" i="16" s="1"/>
  <c r="D75" i="116" l="1"/>
  <c r="H10" i="179" s="1"/>
  <c r="Q11" i="167"/>
  <c r="E11" i="167" s="1"/>
  <c r="AP10" i="16" s="1"/>
  <c r="D76" i="116" l="1"/>
  <c r="H11" i="179" s="1"/>
  <c r="Q12" i="167" l="1"/>
  <c r="E12" i="167" s="1"/>
  <c r="AP11" i="16" s="1"/>
  <c r="D77" i="116"/>
  <c r="H12" i="179" s="1"/>
  <c r="D78" i="116"/>
  <c r="H13" i="179" s="1"/>
  <c r="Q14" i="167"/>
  <c r="E14" i="167" s="1"/>
  <c r="AP14" i="16" s="1"/>
  <c r="Q15" i="167" l="1"/>
  <c r="E15" i="167" s="1"/>
  <c r="AP15" i="16" s="1"/>
  <c r="D79" i="116"/>
  <c r="H14" i="179" s="1"/>
  <c r="Q16" i="167" l="1"/>
  <c r="E16" i="167" s="1"/>
  <c r="AP16" i="16" s="1"/>
  <c r="D80" i="116"/>
  <c r="H15" i="179" s="1"/>
  <c r="Q17" i="167" l="1"/>
  <c r="E17" i="167" s="1"/>
  <c r="AP17" i="16" s="1"/>
  <c r="D81" i="116"/>
  <c r="H17" i="179" s="1"/>
  <c r="D82" i="116" l="1"/>
  <c r="H18" i="179" s="1"/>
  <c r="Q19" i="167"/>
  <c r="E19" i="167" s="1"/>
  <c r="AP20" i="16" s="1"/>
  <c r="Q20" i="167" l="1"/>
  <c r="D83" i="116"/>
  <c r="H19" i="179" s="1"/>
  <c r="E20" i="167" l="1"/>
  <c r="AP21" i="16" s="1"/>
  <c r="E6" i="168"/>
  <c r="D84" i="116"/>
  <c r="H20" i="179" s="1"/>
  <c r="Q21" i="167"/>
  <c r="E21" i="167" s="1"/>
  <c r="AP22" i="16" s="1"/>
  <c r="Q22" i="167" l="1"/>
  <c r="E22" i="167" s="1"/>
  <c r="AP23" i="16" s="1"/>
  <c r="D85" i="116"/>
  <c r="H21" i="179" s="1"/>
  <c r="Q23" i="167" l="1"/>
  <c r="E23" i="167" s="1"/>
  <c r="AP25" i="16" s="1"/>
  <c r="D86" i="116"/>
  <c r="H22" i="179" s="1"/>
  <c r="Q24" i="167" l="1"/>
  <c r="E24" i="167" s="1"/>
  <c r="AP27" i="16" s="1"/>
  <c r="D87" i="116"/>
  <c r="H23" i="179" s="1"/>
  <c r="H26" i="179" l="1"/>
  <c r="H25" i="179"/>
  <c r="Q25" i="167"/>
  <c r="E25" i="167" s="1"/>
  <c r="AP28" i="16" s="1"/>
  <c r="AP30" i="16" s="1"/>
  <c r="D89" i="116"/>
  <c r="E25" i="177" l="1"/>
  <c r="E27" i="167"/>
  <c r="Q27" i="167"/>
  <c r="N29" i="167" s="1"/>
  <c r="X66" i="26" l="1"/>
  <c r="W66" i="26" l="1"/>
  <c r="E66" i="26" l="1"/>
  <c r="F66" i="26" s="1"/>
  <c r="D25" i="52" l="1"/>
  <c r="D35" i="166" s="1"/>
  <c r="D39" i="166" s="1"/>
  <c r="D27" i="52" l="1"/>
  <c r="F141" i="143"/>
  <c r="D26" i="179" l="1"/>
  <c r="E77" i="143"/>
  <c r="G77" i="143" s="1"/>
  <c r="G78" i="143" s="1"/>
  <c r="G79" i="143" s="1"/>
  <c r="G80" i="143" s="1"/>
  <c r="G81" i="143" s="1"/>
  <c r="G82" i="143" s="1"/>
  <c r="G83" i="143" s="1"/>
  <c r="G84" i="143" s="1"/>
  <c r="G85" i="143" s="1"/>
  <c r="G86" i="143" s="1"/>
  <c r="G87" i="143" s="1"/>
  <c r="G88" i="143" s="1"/>
  <c r="G89" i="143" s="1"/>
  <c r="G90" i="143" s="1"/>
  <c r="G91" i="143" s="1"/>
  <c r="G92" i="143" s="1"/>
  <c r="G93" i="143" s="1"/>
  <c r="G94" i="143" s="1"/>
  <c r="G95" i="143" s="1"/>
  <c r="G96" i="143" s="1"/>
  <c r="G97" i="143" s="1"/>
  <c r="G98" i="143" s="1"/>
  <c r="G99" i="143" s="1"/>
  <c r="G100" i="143" s="1"/>
  <c r="G101" i="143" s="1"/>
  <c r="G102" i="143" s="1"/>
  <c r="G103" i="143" s="1"/>
  <c r="G104" i="143" s="1"/>
  <c r="G105" i="143" s="1"/>
  <c r="G106" i="143" s="1"/>
  <c r="G107" i="143" s="1"/>
  <c r="G108" i="143" s="1"/>
  <c r="G109" i="143" s="1"/>
  <c r="G110" i="143" s="1"/>
  <c r="G111" i="143" s="1"/>
  <c r="G112" i="143" s="1"/>
  <c r="G113" i="143" s="1"/>
  <c r="G114" i="143" s="1"/>
  <c r="G115" i="143" s="1"/>
  <c r="G116" i="143" s="1"/>
  <c r="G117" i="143" s="1"/>
  <c r="G118" i="143" s="1"/>
  <c r="G119" i="143" s="1"/>
  <c r="G120" i="143" s="1"/>
  <c r="G121" i="143" s="1"/>
  <c r="G122" i="143" s="1"/>
  <c r="G123" i="143" s="1"/>
  <c r="G124" i="143" s="1"/>
  <c r="G125" i="143" s="1"/>
  <c r="G126" i="143" s="1"/>
  <c r="G127" i="143" s="1"/>
  <c r="G128" i="143" s="1"/>
  <c r="G129" i="143" s="1"/>
  <c r="G130" i="143" s="1"/>
  <c r="G131" i="143" s="1"/>
  <c r="G132" i="143" s="1"/>
  <c r="G133" i="143" s="1"/>
  <c r="G134" i="143" s="1"/>
  <c r="G135" i="143" s="1"/>
  <c r="G136" i="143" s="1"/>
  <c r="G137" i="143" s="1"/>
  <c r="G138" i="143" s="1"/>
  <c r="G139" i="143" s="1"/>
  <c r="G140" i="143" s="1"/>
  <c r="H141" i="143"/>
  <c r="E141" i="143" l="1"/>
  <c r="G141" i="143" s="1"/>
  <c r="F32" i="180" l="1"/>
  <c r="I33" i="180"/>
  <c r="H34" i="180"/>
  <c r="G32" i="180"/>
  <c r="F33" i="180"/>
  <c r="I34" i="180"/>
  <c r="H32" i="180"/>
  <c r="G33" i="180"/>
  <c r="F34" i="180"/>
  <c r="I32" i="180"/>
  <c r="H33" i="180"/>
  <c r="G34" i="180"/>
  <c r="E33" i="180"/>
  <c r="E34" i="180"/>
  <c r="E32" i="180"/>
  <c r="D32" i="180"/>
  <c r="D33" i="180"/>
  <c r="D34" i="180"/>
  <c r="C32" i="166" l="1"/>
  <c r="C34" i="166" s="1"/>
  <c r="C43" i="166" s="1"/>
  <c r="C41" i="166" s="1"/>
  <c r="C27" i="52"/>
  <c r="D28" i="52" s="1"/>
  <c r="D6" i="167" l="1"/>
  <c r="D5" i="178"/>
  <c r="D12" i="178" s="1"/>
  <c r="D11" i="177" s="1"/>
  <c r="F11" i="177" s="1"/>
  <c r="F6" i="167" l="1"/>
  <c r="D20" i="167"/>
  <c r="D21" i="167"/>
  <c r="D8" i="167"/>
  <c r="D22" i="167"/>
  <c r="D10" i="167"/>
  <c r="D14" i="167"/>
  <c r="D24" i="167"/>
  <c r="D7" i="167"/>
  <c r="D18" i="167"/>
  <c r="D25" i="167"/>
  <c r="D23" i="167"/>
  <c r="D16" i="167"/>
  <c r="D9" i="167"/>
  <c r="D17" i="167"/>
  <c r="D13" i="167"/>
  <c r="D11" i="167"/>
  <c r="D15" i="167"/>
  <c r="D19" i="167"/>
  <c r="D12" i="167"/>
  <c r="D7" i="178"/>
  <c r="D6" i="177" s="1"/>
  <c r="F6" i="177" s="1"/>
  <c r="D18" i="178"/>
  <c r="D17" i="177" s="1"/>
  <c r="D20" i="178"/>
  <c r="D19" i="177" s="1"/>
  <c r="F19" i="177" s="1"/>
  <c r="D23" i="178"/>
  <c r="D22" i="177" s="1"/>
  <c r="F22" i="177" s="1"/>
  <c r="D11" i="178"/>
  <c r="D10" i="177" s="1"/>
  <c r="F10" i="177" s="1"/>
  <c r="D14" i="178"/>
  <c r="D13" i="177" s="1"/>
  <c r="F13" i="177" s="1"/>
  <c r="D17" i="178"/>
  <c r="D16" i="177" s="1"/>
  <c r="F16" i="177" s="1"/>
  <c r="D21" i="178"/>
  <c r="D20" i="177" s="1"/>
  <c r="F20" i="177" s="1"/>
  <c r="D13" i="178"/>
  <c r="D12" i="177" s="1"/>
  <c r="F12" i="177" s="1"/>
  <c r="D24" i="178"/>
  <c r="D23" i="177" s="1"/>
  <c r="F23" i="177" s="1"/>
  <c r="D16" i="178"/>
  <c r="D15" i="177" s="1"/>
  <c r="F15" i="177" s="1"/>
  <c r="D25" i="178"/>
  <c r="D9" i="178"/>
  <c r="D8" i="177" s="1"/>
  <c r="F8" i="177" s="1"/>
  <c r="D15" i="178"/>
  <c r="D14" i="177" s="1"/>
  <c r="F14" i="177" s="1"/>
  <c r="D10" i="178"/>
  <c r="D9" i="177" s="1"/>
  <c r="F9" i="177" s="1"/>
  <c r="D8" i="178"/>
  <c r="D7" i="177" s="1"/>
  <c r="F7" i="177" s="1"/>
  <c r="D19" i="178"/>
  <c r="D18" i="177" s="1"/>
  <c r="F18" i="177" s="1"/>
  <c r="D22" i="178"/>
  <c r="D21" i="177" s="1"/>
  <c r="F21" i="177" s="1"/>
  <c r="D6" i="178"/>
  <c r="C39" i="166"/>
  <c r="D40" i="166" s="1"/>
  <c r="AO11" i="16" l="1"/>
  <c r="AQ11" i="16" s="1"/>
  <c r="F12" i="167"/>
  <c r="AO12" i="16"/>
  <c r="AQ12" i="16" s="1"/>
  <c r="F13" i="167"/>
  <c r="AO25" i="16"/>
  <c r="AQ25" i="16" s="1"/>
  <c r="F23" i="167"/>
  <c r="AO27" i="16"/>
  <c r="AQ27" i="16" s="1"/>
  <c r="F24" i="167"/>
  <c r="AO6" i="16"/>
  <c r="AQ6" i="16" s="1"/>
  <c r="F21" i="190" s="1"/>
  <c r="F8" i="167"/>
  <c r="AO20" i="16"/>
  <c r="AQ20" i="16" s="1"/>
  <c r="F19" i="167"/>
  <c r="D5" i="168" s="1"/>
  <c r="AO17" i="16"/>
  <c r="AQ17" i="16" s="1"/>
  <c r="C21" i="190"/>
  <c r="F17" i="167"/>
  <c r="AO28" i="16"/>
  <c r="AQ28" i="16" s="1"/>
  <c r="F25" i="167"/>
  <c r="AO14" i="16"/>
  <c r="AQ14" i="16" s="1"/>
  <c r="F14" i="167"/>
  <c r="AO22" i="16"/>
  <c r="AQ22" i="16" s="1"/>
  <c r="F21" i="167"/>
  <c r="AO15" i="16"/>
  <c r="AQ15" i="16" s="1"/>
  <c r="F15" i="167"/>
  <c r="AO7" i="16"/>
  <c r="AQ7" i="16" s="1"/>
  <c r="F9" i="167"/>
  <c r="AO19" i="16"/>
  <c r="AQ19" i="16" s="1"/>
  <c r="F18" i="167"/>
  <c r="AO8" i="16"/>
  <c r="AQ8" i="16" s="1"/>
  <c r="F10" i="167"/>
  <c r="F20" i="167"/>
  <c r="AO21" i="16"/>
  <c r="AQ21" i="16" s="1"/>
  <c r="AO10" i="16"/>
  <c r="AQ10" i="16" s="1"/>
  <c r="F11" i="167"/>
  <c r="AO16" i="16"/>
  <c r="AQ16" i="16" s="1"/>
  <c r="F16" i="167"/>
  <c r="AO5" i="16"/>
  <c r="D27" i="167"/>
  <c r="F7" i="167"/>
  <c r="AO23" i="16"/>
  <c r="AQ23" i="16" s="1"/>
  <c r="F22" i="167"/>
  <c r="D5" i="177"/>
  <c r="D26" i="178"/>
  <c r="D6" i="168"/>
  <c r="C6" i="168" s="1"/>
  <c r="F17" i="177"/>
  <c r="E21" i="190" l="1"/>
  <c r="F4" i="190" s="1"/>
  <c r="AQ5" i="16"/>
  <c r="AQ30" i="16" s="1"/>
  <c r="AO30" i="16"/>
  <c r="F27" i="167"/>
  <c r="F5" i="177"/>
  <c r="D25" i="177"/>
  <c r="F25" i="177" s="1"/>
</calcChain>
</file>

<file path=xl/sharedStrings.xml><?xml version="1.0" encoding="utf-8"?>
<sst xmlns="http://schemas.openxmlformats.org/spreadsheetml/2006/main" count="5709" uniqueCount="1294">
  <si>
    <t>No</t>
  </si>
  <si>
    <t>TOTAL</t>
  </si>
  <si>
    <t xml:space="preserve">NO. OF </t>
  </si>
  <si>
    <t>ABAKRAMPA</t>
  </si>
  <si>
    <t>ABURI</t>
  </si>
  <si>
    <t>AKIM ODA</t>
  </si>
  <si>
    <t>AMASAMAN</t>
  </si>
  <si>
    <t>ASAMANKESE</t>
  </si>
  <si>
    <t>ASHAIMAN</t>
  </si>
  <si>
    <t>AWOSHIE</t>
  </si>
  <si>
    <t>AYIREBI</t>
  </si>
  <si>
    <t>BAWJIASE</t>
  </si>
  <si>
    <t>BEGRO</t>
  </si>
  <si>
    <t>CIRCLE</t>
  </si>
  <si>
    <t>DANSOMAN</t>
  </si>
  <si>
    <t>DOME</t>
  </si>
  <si>
    <t>ENTUBRIL</t>
  </si>
  <si>
    <t>KASOA</t>
  </si>
  <si>
    <t>KOFORIDUA</t>
  </si>
  <si>
    <t>KOTOBABI</t>
  </si>
  <si>
    <t>ATONSU</t>
  </si>
  <si>
    <t>KWADASO</t>
  </si>
  <si>
    <t>OLD TAFO</t>
  </si>
  <si>
    <t>SUAME</t>
  </si>
  <si>
    <t>MADINA</t>
  </si>
  <si>
    <t>MANKESSIM</t>
  </si>
  <si>
    <t>NOYEM</t>
  </si>
  <si>
    <t>NSAWAM</t>
  </si>
  <si>
    <t>NUNGUA</t>
  </si>
  <si>
    <t>OBUASI</t>
  </si>
  <si>
    <t>ODORKOR</t>
  </si>
  <si>
    <t>SUHUM</t>
  </si>
  <si>
    <t>SWEDRU</t>
  </si>
  <si>
    <t>TAKORADI</t>
  </si>
  <si>
    <t>TEMA</t>
  </si>
  <si>
    <t>WINNEBA</t>
  </si>
  <si>
    <t>ASHALE BOTWE</t>
  </si>
  <si>
    <t>AGONA NKWANTA</t>
  </si>
  <si>
    <t>ELMINA</t>
  </si>
  <si>
    <t>AKAKOM</t>
  </si>
  <si>
    <t>ANUM</t>
  </si>
  <si>
    <t>BRANCHES</t>
  </si>
  <si>
    <t>KONONGO</t>
  </si>
  <si>
    <t>ABOMOSU</t>
  </si>
  <si>
    <t>TESHIE</t>
  </si>
  <si>
    <t>ELDERS</t>
  </si>
  <si>
    <t>SEFWI BEKWAE</t>
  </si>
  <si>
    <t>SEFWI DWENASE</t>
  </si>
  <si>
    <t>YAWKOKO</t>
  </si>
  <si>
    <t>ASAAGO</t>
  </si>
  <si>
    <t>BRANCH</t>
  </si>
  <si>
    <t>DATE</t>
  </si>
  <si>
    <t>PARTICULARS</t>
  </si>
  <si>
    <t>INCOME</t>
  </si>
  <si>
    <t>EXPENSES</t>
  </si>
  <si>
    <t>BALANCE</t>
  </si>
  <si>
    <t>¢</t>
  </si>
  <si>
    <t>NAME</t>
  </si>
  <si>
    <t>POSITION</t>
  </si>
  <si>
    <t>PHONE NO.</t>
  </si>
  <si>
    <t>REMARKS</t>
  </si>
  <si>
    <t>Emmanuel Kwasi Asamoah</t>
  </si>
  <si>
    <t>Jonathan Danso Siaw</t>
  </si>
  <si>
    <t>Secretary</t>
  </si>
  <si>
    <t>Chairman</t>
  </si>
  <si>
    <t>Treasurer</t>
  </si>
  <si>
    <t>Prince Asante Ahwireng</t>
  </si>
  <si>
    <t>ANYINAM</t>
  </si>
  <si>
    <t>Joseph Kofi Amanfo</t>
  </si>
  <si>
    <t>Eric Asare</t>
  </si>
  <si>
    <t>Alexander Amponsah</t>
  </si>
  <si>
    <t>Michael Akyeampong</t>
  </si>
  <si>
    <t>Joseph Twerefour Anson</t>
  </si>
  <si>
    <t>024 654 8610</t>
  </si>
  <si>
    <t>027 905 8460</t>
  </si>
  <si>
    <t>Maxwell Ofei Siaw</t>
  </si>
  <si>
    <t>Peter Kingsford Nkrumah</t>
  </si>
  <si>
    <t>024 428 3224</t>
  </si>
  <si>
    <t>Abakrampa</t>
  </si>
  <si>
    <t>Aburi</t>
  </si>
  <si>
    <t>Agona Nkwanta</t>
  </si>
  <si>
    <t>Akim Oda</t>
  </si>
  <si>
    <t>Amasaman</t>
  </si>
  <si>
    <t>Asaago</t>
  </si>
  <si>
    <t>Asamankese</t>
  </si>
  <si>
    <t>Ashaiman</t>
  </si>
  <si>
    <t>Ashale Botwe</t>
  </si>
  <si>
    <t>Atonsu</t>
  </si>
  <si>
    <t>Awoshie</t>
  </si>
  <si>
    <t>Ayirebi</t>
  </si>
  <si>
    <t>Bawjiase</t>
  </si>
  <si>
    <t>Begro</t>
  </si>
  <si>
    <t>Circle</t>
  </si>
  <si>
    <t>Dansoman</t>
  </si>
  <si>
    <t>Dome</t>
  </si>
  <si>
    <t>Elmina</t>
  </si>
  <si>
    <t>Entubril</t>
  </si>
  <si>
    <t>Kasoa</t>
  </si>
  <si>
    <t>Koforidua</t>
  </si>
  <si>
    <t>Konongo</t>
  </si>
  <si>
    <t>Kotobabi</t>
  </si>
  <si>
    <t>Kwadaso</t>
  </si>
  <si>
    <t>Madina</t>
  </si>
  <si>
    <t>Mankessim</t>
  </si>
  <si>
    <t>Noyem</t>
  </si>
  <si>
    <t>Nsawam</t>
  </si>
  <si>
    <t>Nungua</t>
  </si>
  <si>
    <t>Oboasi</t>
  </si>
  <si>
    <t>Odorkor</t>
  </si>
  <si>
    <t>Old Tafo</t>
  </si>
  <si>
    <t>Sefwi Bekwae</t>
  </si>
  <si>
    <t>Sefwi Dwenase</t>
  </si>
  <si>
    <t>Suame</t>
  </si>
  <si>
    <t>Suhum</t>
  </si>
  <si>
    <t>Swedru</t>
  </si>
  <si>
    <t>Takoradi</t>
  </si>
  <si>
    <t>Tema</t>
  </si>
  <si>
    <t>Teshie</t>
  </si>
  <si>
    <t>Winneba</t>
  </si>
  <si>
    <t>Yawkoko</t>
  </si>
  <si>
    <t>ABLEKUMA</t>
  </si>
  <si>
    <t>Eric Agyemang</t>
  </si>
  <si>
    <t>Ablekuma</t>
  </si>
  <si>
    <t>Akim Tafo</t>
  </si>
  <si>
    <t>DUES</t>
  </si>
  <si>
    <t>NO.</t>
  </si>
  <si>
    <t>AKIM TAFO</t>
  </si>
  <si>
    <t>OYOKO</t>
  </si>
  <si>
    <t>PHONE</t>
  </si>
  <si>
    <t>NUMBER</t>
  </si>
  <si>
    <t>NYANYANO</t>
  </si>
  <si>
    <t>Nyanyano</t>
  </si>
  <si>
    <t>Elder</t>
  </si>
  <si>
    <t>ASHANTI REGION</t>
  </si>
  <si>
    <t>Moses Oduro</t>
  </si>
  <si>
    <t>Napoleon Agyei</t>
  </si>
  <si>
    <t>David Tetteh</t>
  </si>
  <si>
    <t>Augustin Kwadwo Manu</t>
  </si>
  <si>
    <t>Abraham Annor</t>
  </si>
  <si>
    <t xml:space="preserve">Caleb Kofi Frimpong </t>
  </si>
  <si>
    <t>Sylvester Appiah</t>
  </si>
  <si>
    <t>David Mensah</t>
  </si>
  <si>
    <t xml:space="preserve">Stephen Yeboah </t>
  </si>
  <si>
    <t>Kwesi Okyere</t>
  </si>
  <si>
    <t>Emmanuel Vivie</t>
  </si>
  <si>
    <t>Deric Agyei</t>
  </si>
  <si>
    <t>Daniel Tweneboah</t>
  </si>
  <si>
    <t>Oscar Buabeng</t>
  </si>
  <si>
    <t>Michael Afful</t>
  </si>
  <si>
    <t>Stephen Adade Yaw</t>
  </si>
  <si>
    <t>Godfred Asante</t>
  </si>
  <si>
    <t xml:space="preserve">Isaac Akyeampong </t>
  </si>
  <si>
    <t>Samuel Asante</t>
  </si>
  <si>
    <t>024 425 0277 / 020 059 210</t>
  </si>
  <si>
    <t>024 281 2261 / 054 011 2233</t>
  </si>
  <si>
    <t>Christian Agudavi</t>
  </si>
  <si>
    <t>Frank Koranhye</t>
  </si>
  <si>
    <t>OCCUPATION</t>
  </si>
  <si>
    <t>Justice Kojo Acheampong</t>
  </si>
  <si>
    <t>024 497 2267</t>
  </si>
  <si>
    <t>Pastor</t>
  </si>
  <si>
    <t>Barber</t>
  </si>
  <si>
    <t>Welder</t>
  </si>
  <si>
    <t>NUMBER OF ELDERS</t>
  </si>
  <si>
    <t>Isaac Obuobi</t>
  </si>
  <si>
    <t>024 348 7049</t>
  </si>
  <si>
    <t>Eric Bentil</t>
  </si>
  <si>
    <t>055 595 3915</t>
  </si>
  <si>
    <t>Stephen Adama</t>
  </si>
  <si>
    <t>024 514 0669</t>
  </si>
  <si>
    <t>Outboard Motto Repairer</t>
  </si>
  <si>
    <t>Tiler / Mason</t>
  </si>
  <si>
    <t>024 406 7032</t>
  </si>
  <si>
    <t>Mason / Tiller</t>
  </si>
  <si>
    <t>Richard Owusu</t>
  </si>
  <si>
    <t>Kwaku Okyere</t>
  </si>
  <si>
    <t>059 100 7887</t>
  </si>
  <si>
    <t>Taxi Driver</t>
  </si>
  <si>
    <t>024 107 6250</t>
  </si>
  <si>
    <t>024 299 7146</t>
  </si>
  <si>
    <t>024 345 8744</t>
  </si>
  <si>
    <t>David Owusu Bekoe</t>
  </si>
  <si>
    <t>024 224 2949</t>
  </si>
  <si>
    <t>Driver</t>
  </si>
  <si>
    <t>Eric Yirenkyi</t>
  </si>
  <si>
    <t>024 462 7505</t>
  </si>
  <si>
    <t>Isaac Darko</t>
  </si>
  <si>
    <t>054 726 1159</t>
  </si>
  <si>
    <t>Alexis Armah Agyemang</t>
  </si>
  <si>
    <t>Graphic Designer</t>
  </si>
  <si>
    <t>024 955 0190</t>
  </si>
  <si>
    <t>Church Elder</t>
  </si>
  <si>
    <t>054 601 7250</t>
  </si>
  <si>
    <t>Farmer</t>
  </si>
  <si>
    <t>Gabriel Kwabena</t>
  </si>
  <si>
    <t>054 946 5997</t>
  </si>
  <si>
    <t>Plumber</t>
  </si>
  <si>
    <t>Emmanuel Nkrumah</t>
  </si>
  <si>
    <t>Auditor</t>
  </si>
  <si>
    <t>Emmanuel Yaw Appiah</t>
  </si>
  <si>
    <t>Car Dealer</t>
  </si>
  <si>
    <t>Boutique</t>
  </si>
  <si>
    <t>Amos Agyapong</t>
  </si>
  <si>
    <t>054 662 5159</t>
  </si>
  <si>
    <t>Seth Amo</t>
  </si>
  <si>
    <t>055 577 4320</t>
  </si>
  <si>
    <t>Student</t>
  </si>
  <si>
    <t>Stephen Osei</t>
  </si>
  <si>
    <t>025 620 2120</t>
  </si>
  <si>
    <t>Mason / Farmer</t>
  </si>
  <si>
    <t>024 654 8451</t>
  </si>
  <si>
    <t>Frederick Wortey Tawiah</t>
  </si>
  <si>
    <t>Just-Mark Kwabena Quansah</t>
  </si>
  <si>
    <t>William Kojo Anane</t>
  </si>
  <si>
    <t>APAAH</t>
  </si>
  <si>
    <t>Maxwell Effah Adu</t>
  </si>
  <si>
    <t>024 181 9176</t>
  </si>
  <si>
    <t>Apaah</t>
  </si>
  <si>
    <t>Jerry Isaiah</t>
  </si>
  <si>
    <t>Joseph Marteh</t>
  </si>
  <si>
    <t>Vincent Tetteh</t>
  </si>
  <si>
    <t>Cocoa Farmer</t>
  </si>
  <si>
    <t>054 169 2242</t>
  </si>
  <si>
    <t>054 290 3550</t>
  </si>
  <si>
    <t>BUDUBURAM</t>
  </si>
  <si>
    <t>Fosu Gyamena</t>
  </si>
  <si>
    <t>024 913 1813</t>
  </si>
  <si>
    <t>Trader</t>
  </si>
  <si>
    <t>Richard Kotei</t>
  </si>
  <si>
    <t>024 342 6491</t>
  </si>
  <si>
    <t>Ebenazer Appiah</t>
  </si>
  <si>
    <t>024 254 1261</t>
  </si>
  <si>
    <t>John Ofosuhene Asare</t>
  </si>
  <si>
    <t>024 292 7915</t>
  </si>
  <si>
    <t>Wilson Danso</t>
  </si>
  <si>
    <t>John Kwaku Boafo</t>
  </si>
  <si>
    <t>024 335 1212 / 026 142 3848</t>
  </si>
  <si>
    <t>Joseph Amachie</t>
  </si>
  <si>
    <t>Mason / Driver</t>
  </si>
  <si>
    <t>Kofi Takyi</t>
  </si>
  <si>
    <t>024 337 2994</t>
  </si>
  <si>
    <t>Welder / Driver</t>
  </si>
  <si>
    <t>Logan Brengle Kwabena Amoako</t>
  </si>
  <si>
    <t>024 208 1239</t>
  </si>
  <si>
    <t>Aluminium Fabricator</t>
  </si>
  <si>
    <t>Building Construction</t>
  </si>
  <si>
    <t>Bakery</t>
  </si>
  <si>
    <t>Paul Salom</t>
  </si>
  <si>
    <t>024 582 7437</t>
  </si>
  <si>
    <t>Kingsford Essoun</t>
  </si>
  <si>
    <t>024 793 8747</t>
  </si>
  <si>
    <t>Medicine Seller</t>
  </si>
  <si>
    <t>Samuel Sapong</t>
  </si>
  <si>
    <t>024 256 9274</t>
  </si>
  <si>
    <t>Land Deler</t>
  </si>
  <si>
    <t>James Baidoo</t>
  </si>
  <si>
    <t>055 253 7754</t>
  </si>
  <si>
    <t>Harbour</t>
  </si>
  <si>
    <t>Poul Ofori</t>
  </si>
  <si>
    <t>024 292 8781</t>
  </si>
  <si>
    <t>George Nyanney</t>
  </si>
  <si>
    <t>054 196 3825</t>
  </si>
  <si>
    <t>Carpenter</t>
  </si>
  <si>
    <t>Joseph Perttey</t>
  </si>
  <si>
    <t>Mason</t>
  </si>
  <si>
    <t>Philip Adjei</t>
  </si>
  <si>
    <t>054 690 5828</t>
  </si>
  <si>
    <t>Frank Avorme</t>
  </si>
  <si>
    <t>020 217 1782</t>
  </si>
  <si>
    <t>Shedrack Duncan</t>
  </si>
  <si>
    <t>054 320 8523</t>
  </si>
  <si>
    <t>024 283 0677</t>
  </si>
  <si>
    <t>POP Designer</t>
  </si>
  <si>
    <t>George Yeboah</t>
  </si>
  <si>
    <t>055 733 6020</t>
  </si>
  <si>
    <t>Alex Avevi</t>
  </si>
  <si>
    <t>Eectrician</t>
  </si>
  <si>
    <t>055 831 9532</t>
  </si>
  <si>
    <t>024 487 3968</t>
  </si>
  <si>
    <t>Samuel Frimpong</t>
  </si>
  <si>
    <t>Bright Adu</t>
  </si>
  <si>
    <t>John Kwabena Otsiba Obrenu</t>
  </si>
  <si>
    <t>Frank Addae</t>
  </si>
  <si>
    <t>024 377 1697</t>
  </si>
  <si>
    <t>General Forman in Building</t>
  </si>
  <si>
    <t>Sandy Adudumba</t>
  </si>
  <si>
    <t>054 549 5599</t>
  </si>
  <si>
    <t>Oliver Ayimah</t>
  </si>
  <si>
    <t>Samuel Sefenu</t>
  </si>
  <si>
    <t>Brake Shoe Dealer</t>
  </si>
  <si>
    <t>055 799 1386</t>
  </si>
  <si>
    <t>Philip Annan</t>
  </si>
  <si>
    <t>Isaac Nkrumah</t>
  </si>
  <si>
    <t>024 380 8009</t>
  </si>
  <si>
    <t>024 811 9957</t>
  </si>
  <si>
    <t>Alexander Kofi Mensah</t>
  </si>
  <si>
    <t>024 956 4076</t>
  </si>
  <si>
    <t>Darkuman</t>
  </si>
  <si>
    <t>024 656 0312</t>
  </si>
  <si>
    <t>Trader in Tiles</t>
  </si>
  <si>
    <t>Samuel Obeng</t>
  </si>
  <si>
    <t>Photographer</t>
  </si>
  <si>
    <t>Samuel Kofi Gartey</t>
  </si>
  <si>
    <t>DARKUMAN</t>
  </si>
  <si>
    <t>024 022 9208</t>
  </si>
  <si>
    <t>024 361 9808</t>
  </si>
  <si>
    <t>Isaac Tsomanya</t>
  </si>
  <si>
    <t>Auto Electrician</t>
  </si>
  <si>
    <t>Justice Koffei</t>
  </si>
  <si>
    <t>055 967 0856</t>
  </si>
  <si>
    <t>Felix Saih</t>
  </si>
  <si>
    <t>Benjamin Arthur</t>
  </si>
  <si>
    <t>020 275 6758</t>
  </si>
  <si>
    <t>Isaac Amisah</t>
  </si>
  <si>
    <t>Mechanic</t>
  </si>
  <si>
    <t>055 071 1201</t>
  </si>
  <si>
    <t>024 603 3889</t>
  </si>
  <si>
    <t>Augustine Baidoo</t>
  </si>
  <si>
    <t>054 648 1794</t>
  </si>
  <si>
    <t>054 146 5769</t>
  </si>
  <si>
    <t>Emmanuel Akwetey</t>
  </si>
  <si>
    <t>024 015 5151</t>
  </si>
  <si>
    <t>Amoako</t>
  </si>
  <si>
    <t>024 707 0526</t>
  </si>
  <si>
    <t>Apana Atinga</t>
  </si>
  <si>
    <t>024 221 3732</t>
  </si>
  <si>
    <t>Butcher</t>
  </si>
  <si>
    <t>Akwasi Gyasi</t>
  </si>
  <si>
    <t>024 773 8236</t>
  </si>
  <si>
    <t>Osei Akoto</t>
  </si>
  <si>
    <t>024 417 1928</t>
  </si>
  <si>
    <t>Osei Kwadwo</t>
  </si>
  <si>
    <t>024 631 1581</t>
  </si>
  <si>
    <t>Samuel Mensah</t>
  </si>
  <si>
    <t>024 201 9324</t>
  </si>
  <si>
    <t>Teacher</t>
  </si>
  <si>
    <t>Francis Nkrumah</t>
  </si>
  <si>
    <t>James Kwadwo Owusu</t>
  </si>
  <si>
    <t>024 388 8183</t>
  </si>
  <si>
    <t>Pensioner</t>
  </si>
  <si>
    <t>Paul K Arhin</t>
  </si>
  <si>
    <t>024 642 1011</t>
  </si>
  <si>
    <t>Felix Kwame Akuffo</t>
  </si>
  <si>
    <t>024 218 7205</t>
  </si>
  <si>
    <t>Car Welder</t>
  </si>
  <si>
    <t>024 993 8577</t>
  </si>
  <si>
    <t>Jonas Wereko</t>
  </si>
  <si>
    <t>Kwame Ankama</t>
  </si>
  <si>
    <t>024 453 3372</t>
  </si>
  <si>
    <t>Auto Sprayer</t>
  </si>
  <si>
    <t>Charles Badu</t>
  </si>
  <si>
    <t>Isaac Donkor</t>
  </si>
  <si>
    <t>Samuel Adu Antwi</t>
  </si>
  <si>
    <t>055 448 7820</t>
  </si>
  <si>
    <t>Electrical Welder</t>
  </si>
  <si>
    <t>024 310 9072</t>
  </si>
  <si>
    <t>055 405 9877</t>
  </si>
  <si>
    <t>Koomson K Owusu</t>
  </si>
  <si>
    <t>Moses Eilliretey</t>
  </si>
  <si>
    <t>054 421 9333</t>
  </si>
  <si>
    <t>024 318 9604</t>
  </si>
  <si>
    <t>Central</t>
  </si>
  <si>
    <t>Greater Accra</t>
  </si>
  <si>
    <t>REGIONS</t>
  </si>
  <si>
    <t>Eastern</t>
  </si>
  <si>
    <t>Ashanti</t>
  </si>
  <si>
    <t>024 222 3929</t>
  </si>
  <si>
    <t>024 672 4500 / 023 473 1370</t>
  </si>
  <si>
    <t>Isaac Boamah</t>
  </si>
  <si>
    <t>National Youth Chairman</t>
  </si>
  <si>
    <t>Awutu Breku</t>
  </si>
  <si>
    <t>Stephen Nketsiah</t>
  </si>
  <si>
    <t>Augustine Ankamah</t>
  </si>
  <si>
    <t>054 462 0186</t>
  </si>
  <si>
    <t>Kente Weiver</t>
  </si>
  <si>
    <t>AWUTU BREKU</t>
  </si>
  <si>
    <t>Eric Ofosu</t>
  </si>
  <si>
    <t>Joseph Obeng</t>
  </si>
  <si>
    <t>054 616 5101</t>
  </si>
  <si>
    <t>054 875 6535</t>
  </si>
  <si>
    <t>Electrician</t>
  </si>
  <si>
    <t>Nii Osu Tetteh</t>
  </si>
  <si>
    <t>Thomas Kussi</t>
  </si>
  <si>
    <t>024 914 7604</t>
  </si>
  <si>
    <t>Chop Bar</t>
  </si>
  <si>
    <t>Asante</t>
  </si>
  <si>
    <t>054 674 0457</t>
  </si>
  <si>
    <t>Kyem</t>
  </si>
  <si>
    <t>054 519 9053</t>
  </si>
  <si>
    <t>024 931 9008</t>
  </si>
  <si>
    <t>Mesu Nkansa</t>
  </si>
  <si>
    <t>056 128 6949</t>
  </si>
  <si>
    <t>Ben Kofi</t>
  </si>
  <si>
    <t>Kingsley Amankwa</t>
  </si>
  <si>
    <t>054 970 6020</t>
  </si>
  <si>
    <t>Alex Baah</t>
  </si>
  <si>
    <t>055 588 0971</t>
  </si>
  <si>
    <t>Thomas Addai</t>
  </si>
  <si>
    <t>T Addhomas Addai</t>
  </si>
  <si>
    <t>024 928 4210</t>
  </si>
  <si>
    <t>Amos Mensah</t>
  </si>
  <si>
    <t>024 985 6566</t>
  </si>
  <si>
    <t>Stephen Agyekum</t>
  </si>
  <si>
    <t>024 016 0575</t>
  </si>
  <si>
    <t>024 014 1331</t>
  </si>
  <si>
    <t>054 488 0487</t>
  </si>
  <si>
    <t>Frances Forson</t>
  </si>
  <si>
    <t>054 399 0855</t>
  </si>
  <si>
    <t>James Ofosu</t>
  </si>
  <si>
    <t>024 341 5540</t>
  </si>
  <si>
    <t>Johnson Wood</t>
  </si>
  <si>
    <t>024 028 0328</t>
  </si>
  <si>
    <t>Frances Nuhu Acquah</t>
  </si>
  <si>
    <t>Morgan Amanfi</t>
  </si>
  <si>
    <t>Jacob Donkor</t>
  </si>
  <si>
    <t>054 103 9918</t>
  </si>
  <si>
    <t>Building Contractor</t>
  </si>
  <si>
    <t>Frank Sarfo Mensah</t>
  </si>
  <si>
    <t>024 449 8747</t>
  </si>
  <si>
    <t>Samuel Ofei Dodoo</t>
  </si>
  <si>
    <t>054 334 1001</t>
  </si>
  <si>
    <t>024 776 7636</t>
  </si>
  <si>
    <t>Daniel Avumey</t>
  </si>
  <si>
    <t>024 071 9719</t>
  </si>
  <si>
    <t>Isaac Gyzho</t>
  </si>
  <si>
    <t>024 932 8370</t>
  </si>
  <si>
    <t>Farmer / Carpenter</t>
  </si>
  <si>
    <t>William Antwi Agyei</t>
  </si>
  <si>
    <t>024 624 4176</t>
  </si>
  <si>
    <t>024 6 24 4176</t>
  </si>
  <si>
    <t>Nicholas Addai</t>
  </si>
  <si>
    <t>024 679 7213</t>
  </si>
  <si>
    <t>Philip Jadidiah</t>
  </si>
  <si>
    <t>024 110 2223</t>
  </si>
  <si>
    <t>024 386 2317</t>
  </si>
  <si>
    <t>024 273 6473</t>
  </si>
  <si>
    <t>Benard Appiah</t>
  </si>
  <si>
    <t>024 166 6176</t>
  </si>
  <si>
    <t>William Alagbo</t>
  </si>
  <si>
    <t>027 743 2113</t>
  </si>
  <si>
    <t>Richmond Dadzie</t>
  </si>
  <si>
    <t>Tradser</t>
  </si>
  <si>
    <t>Isaac Ampomah</t>
  </si>
  <si>
    <t>057 516 2615</t>
  </si>
  <si>
    <t>Robert Godson Essian</t>
  </si>
  <si>
    <t>024 175 6947</t>
  </si>
  <si>
    <t>Auto Body Works</t>
  </si>
  <si>
    <t>Kofi Odame Asiante Ofosu</t>
  </si>
  <si>
    <t>Oporstry</t>
  </si>
  <si>
    <t>024 383 4194</t>
  </si>
  <si>
    <t>Abraham Anim</t>
  </si>
  <si>
    <t>054 549 6226</t>
  </si>
  <si>
    <t>Daniel Ofori</t>
  </si>
  <si>
    <t>054 835 6162</t>
  </si>
  <si>
    <t>055 142 6628</t>
  </si>
  <si>
    <t>054 804 5952</t>
  </si>
  <si>
    <t>George Mensah</t>
  </si>
  <si>
    <t>055 141 5470</t>
  </si>
  <si>
    <t>Fanuel Hagan</t>
  </si>
  <si>
    <t>024 418 1735</t>
  </si>
  <si>
    <t>024 343 0617</t>
  </si>
  <si>
    <t>Joshua Djani</t>
  </si>
  <si>
    <t>Robert Asigbe</t>
  </si>
  <si>
    <t>024 302 7016</t>
  </si>
  <si>
    <t>054 482 0620</t>
  </si>
  <si>
    <t>Kakari</t>
  </si>
  <si>
    <t xml:space="preserve">TOTAL </t>
  </si>
  <si>
    <t>054 015 5151 / 054 031 3960</t>
  </si>
  <si>
    <t>054 260 2059 / 024 285 0250</t>
  </si>
  <si>
    <t>Samuel Yaw Nkansah</t>
  </si>
  <si>
    <t>054 116 2717</t>
  </si>
  <si>
    <t>024 094 4790</t>
  </si>
  <si>
    <t>020 194 4974</t>
  </si>
  <si>
    <t>020 822 4460</t>
  </si>
  <si>
    <t>020 852 3134</t>
  </si>
  <si>
    <t>024 367 5380</t>
  </si>
  <si>
    <t>024 983 3978</t>
  </si>
  <si>
    <t>024 847 7779</t>
  </si>
  <si>
    <t>024 832 9037</t>
  </si>
  <si>
    <t>024 653 2117</t>
  </si>
  <si>
    <t>024 506 9167</t>
  </si>
  <si>
    <t>024 440 9317</t>
  </si>
  <si>
    <t>024 406 7262</t>
  </si>
  <si>
    <t>ELDER</t>
  </si>
  <si>
    <t>REGISTRATION</t>
  </si>
  <si>
    <t>REGISTRATION FEES</t>
  </si>
  <si>
    <t>Shares from the Bank</t>
  </si>
  <si>
    <t>SHARES</t>
  </si>
  <si>
    <t>SAVINGS</t>
  </si>
  <si>
    <t>CURRENT</t>
  </si>
  <si>
    <t>217xxxxxxxxxxx01</t>
  </si>
  <si>
    <t>2161006002421201</t>
  </si>
  <si>
    <t>MONTHLY DUES - 2023</t>
  </si>
  <si>
    <t>PRINTING &amp; STATIONERY</t>
  </si>
  <si>
    <t>MONTHLY DUES - 2025</t>
  </si>
  <si>
    <t>MONTHLY DUES - 2024</t>
  </si>
  <si>
    <t>MONTHLY DUES - 2026</t>
  </si>
  <si>
    <t>MONTHLY DUES - 2027</t>
  </si>
  <si>
    <t>MONTHLY DUES - 2028</t>
  </si>
  <si>
    <t>MONTHLY DUES - 2029</t>
  </si>
  <si>
    <t>MONTHLY DUES - 2030</t>
  </si>
  <si>
    <t>EDWARD YAW BEKOE</t>
  </si>
  <si>
    <t>FANUEL HAGAN</t>
  </si>
  <si>
    <t>FRANCIS LARBI</t>
  </si>
  <si>
    <t>FREDERICK WORTEY TAWIAH</t>
  </si>
  <si>
    <t>JOHN OFOSUHENE ASARE</t>
  </si>
  <si>
    <t>JOHNSON WOOD</t>
  </si>
  <si>
    <t>JONAS WEREKO</t>
  </si>
  <si>
    <t>JONATHAN DANSO SIAW</t>
  </si>
  <si>
    <t>JOSEPH KOFI AMANFO</t>
  </si>
  <si>
    <t>JUSTICE KOJO ACHEAMPONG</t>
  </si>
  <si>
    <t>JUST-MARK KWABENA QUANSAH</t>
  </si>
  <si>
    <t>MAXWELL OFEI SIAW</t>
  </si>
  <si>
    <t>MOSES ODURO</t>
  </si>
  <si>
    <t>PETER KINGSFORD NKRUMAH</t>
  </si>
  <si>
    <t>PRINCE ASANTE AHWIRENG</t>
  </si>
  <si>
    <t>SAMUEL YAW NKANSAH</t>
  </si>
  <si>
    <t>WILLIAM KOJO ANANE</t>
  </si>
  <si>
    <t>ISAAC DARKO</t>
  </si>
  <si>
    <t>Registration of the Association at RGD Accra</t>
  </si>
  <si>
    <t>T &amp; T from Mampong to Madina MTN Office</t>
  </si>
  <si>
    <t>SPECIAL LEVY</t>
  </si>
  <si>
    <t>FUNERAL DONATIONS</t>
  </si>
  <si>
    <t>-</t>
  </si>
  <si>
    <t>Osei Kwame</t>
  </si>
  <si>
    <t>BANK</t>
  </si>
  <si>
    <t>INTREST</t>
  </si>
  <si>
    <t>WITHDRAWAL</t>
  </si>
  <si>
    <t>Cash Withdrawal</t>
  </si>
  <si>
    <t>BANK INTREST</t>
  </si>
  <si>
    <t xml:space="preserve">T &amp; T from Mampong to Odorkor </t>
  </si>
  <si>
    <t>DATE JOINED</t>
  </si>
  <si>
    <t>YEARLY DUES</t>
  </si>
  <si>
    <t>024 214 5516</t>
  </si>
  <si>
    <t>MONTHLY DUES - 2031</t>
  </si>
  <si>
    <t>MONTHLY DUES - 2032</t>
  </si>
  <si>
    <t>YEARLY DUES FEES</t>
  </si>
  <si>
    <t>SPECIAL LEVY FEES</t>
  </si>
  <si>
    <t xml:space="preserve"> NORTH TEMA CO-OPERATIVE CREDIT UNION LIMITED</t>
  </si>
  <si>
    <t>TRAIL BALANCE</t>
  </si>
  <si>
    <t>Printing of documents</t>
  </si>
  <si>
    <t xml:space="preserve"> FIDELITY BANK</t>
  </si>
  <si>
    <t>TREASURER BILL</t>
  </si>
  <si>
    <t>BANK CHARGES</t>
  </si>
  <si>
    <t>TITLE</t>
  </si>
  <si>
    <t>026 746 1029</t>
  </si>
  <si>
    <t>026 956 3876</t>
  </si>
  <si>
    <t>054 864 5220</t>
  </si>
  <si>
    <t>055 376 1600</t>
  </si>
  <si>
    <t>024 750 5280</t>
  </si>
  <si>
    <t>054 338 2738</t>
  </si>
  <si>
    <t>020 354 1966</t>
  </si>
  <si>
    <t>024 046 6830</t>
  </si>
  <si>
    <t>024 788 0895</t>
  </si>
  <si>
    <t xml:space="preserve">FEDILITY DEPOSITS </t>
  </si>
  <si>
    <t>TEMA BANK INTREST</t>
  </si>
  <si>
    <t>Document from Auditor to GBC Bank</t>
  </si>
  <si>
    <t>OSEI KWAME</t>
  </si>
  <si>
    <t>idkofisiaw@gmail.com</t>
  </si>
  <si>
    <t>GHA-004625185-1</t>
  </si>
  <si>
    <t>Mampong Akuapem</t>
  </si>
  <si>
    <t>Married</t>
  </si>
  <si>
    <t>020 477 7999</t>
  </si>
  <si>
    <t>024 314 3124</t>
  </si>
  <si>
    <t>Wife</t>
  </si>
  <si>
    <t>E2-0793-9515</t>
  </si>
  <si>
    <t>Mpintsin New Site</t>
  </si>
  <si>
    <t>jbwoode30@gmail.com</t>
  </si>
  <si>
    <t>GHA-719844260-5</t>
  </si>
  <si>
    <t>WS-107-326</t>
  </si>
  <si>
    <t>Sarah Wood</t>
  </si>
  <si>
    <t>024 401 7670</t>
  </si>
  <si>
    <t>054 851 6251</t>
  </si>
  <si>
    <t>050 258 3546</t>
  </si>
  <si>
    <t>Accra High Court</t>
  </si>
  <si>
    <t>Cecilia Adofowa Ofei</t>
  </si>
  <si>
    <t>026 286 5288</t>
  </si>
  <si>
    <t>020 614 5516</t>
  </si>
  <si>
    <t>027 774 9302</t>
  </si>
  <si>
    <t>GB-039-6631</t>
  </si>
  <si>
    <t>fredericktawoah360@gmail,com</t>
  </si>
  <si>
    <t>GHA-001371929-4</t>
  </si>
  <si>
    <t>Kumasi</t>
  </si>
  <si>
    <t>Ebenezer Angmor Wortey</t>
  </si>
  <si>
    <t>Son</t>
  </si>
  <si>
    <t>Heavy Duty Technician</t>
  </si>
  <si>
    <t>026 814 6137</t>
  </si>
  <si>
    <t>CG-0583-8649</t>
  </si>
  <si>
    <t>Kasoa Ofankor</t>
  </si>
  <si>
    <t>kenosei1656@gmail,com</t>
  </si>
  <si>
    <t>GHA-721203546-3</t>
  </si>
  <si>
    <t>Osei Kenneth Appiah</t>
  </si>
  <si>
    <t>059 994 2041</t>
  </si>
  <si>
    <t>peterkingsfordnkrumah@gmail.com</t>
  </si>
  <si>
    <t>GHA-002364861-6</t>
  </si>
  <si>
    <t>CX-132-3953</t>
  </si>
  <si>
    <t>Margaret Nkrumah</t>
  </si>
  <si>
    <t>024 983 6713</t>
  </si>
  <si>
    <t>024 459 1236</t>
  </si>
  <si>
    <t>E2-09390063</t>
  </si>
  <si>
    <t>Old Dasuoyaa JHS</t>
  </si>
  <si>
    <t>Agaagamateyvincent881@gmail.com</t>
  </si>
  <si>
    <t>GHA-722583522-4</t>
  </si>
  <si>
    <t>Somanya</t>
  </si>
  <si>
    <t>Abigail Agamatey</t>
  </si>
  <si>
    <t>024 722 8692</t>
  </si>
  <si>
    <t>024 844 2609</t>
  </si>
  <si>
    <t>054 509 4585</t>
  </si>
  <si>
    <t>024 652 8067</t>
  </si>
  <si>
    <t>GB-0261673</t>
  </si>
  <si>
    <t>N/360</t>
  </si>
  <si>
    <t>elderquan7601@gmail.com</t>
  </si>
  <si>
    <t>Quansah Jordan Kwame</t>
  </si>
  <si>
    <t>054 109 9509</t>
  </si>
  <si>
    <t>054 152 4008</t>
  </si>
  <si>
    <t>GHA-00134909-6</t>
  </si>
  <si>
    <t>024 378 3004</t>
  </si>
  <si>
    <t>cecebunibuni@gnail.com</t>
  </si>
  <si>
    <t>GK-0755-5569</t>
  </si>
  <si>
    <t>GHA-745309113-6</t>
  </si>
  <si>
    <t>Alex Ackah</t>
  </si>
  <si>
    <t>ALEX ACKAH</t>
  </si>
  <si>
    <t>CF-0627-7085</t>
  </si>
  <si>
    <t>Fanscoelectricals@gmail.com</t>
  </si>
  <si>
    <t>GHA-720503848-4</t>
  </si>
  <si>
    <t>Elfreda Hagan</t>
  </si>
  <si>
    <t>Daughter</t>
  </si>
  <si>
    <t>059 869 1157</t>
  </si>
  <si>
    <t>055 510 2666</t>
  </si>
  <si>
    <t>Youth Chairman</t>
  </si>
  <si>
    <t>alexackah26@gmail.com</t>
  </si>
  <si>
    <t>GHA-720659099-3</t>
  </si>
  <si>
    <t>Kwabena Boafo Ackah</t>
  </si>
  <si>
    <t>054 396 8936</t>
  </si>
  <si>
    <t>053 835 8530</t>
  </si>
  <si>
    <t>055 621 2318</t>
  </si>
  <si>
    <t>GW-1027-5738</t>
  </si>
  <si>
    <t>ofosufenejohn@gmail.com</t>
  </si>
  <si>
    <t>GHA-722763286-3</t>
  </si>
  <si>
    <t>Tsado</t>
  </si>
  <si>
    <t>Simon Ofosuhene</t>
  </si>
  <si>
    <t>054 328 3970</t>
  </si>
  <si>
    <t>053 371 6628</t>
  </si>
  <si>
    <t>REGISREAL GENERAL</t>
  </si>
  <si>
    <t>DUES PAID</t>
  </si>
  <si>
    <t>ELD. ISAAC DARKO</t>
  </si>
  <si>
    <t>ELD. SAMUEL NKANSAH</t>
  </si>
  <si>
    <t>DUES 2023</t>
  </si>
  <si>
    <t>DUES 2024</t>
  </si>
  <si>
    <t>DUES 2025</t>
  </si>
  <si>
    <t>COUNT</t>
  </si>
  <si>
    <t>MTN MOMO ACCOUNT</t>
  </si>
  <si>
    <t>ACCOUNT</t>
  </si>
  <si>
    <t>`</t>
  </si>
  <si>
    <t>CONTACT ADDRESS</t>
  </si>
  <si>
    <t>AMOUNT     PAID</t>
  </si>
  <si>
    <t>024 768 5316</t>
  </si>
  <si>
    <t>Mechanical Engineering</t>
  </si>
  <si>
    <t>Ashaiman Middle East</t>
  </si>
  <si>
    <t>GK-0491-5502</t>
  </si>
  <si>
    <t>williamsanane497@gmail.com</t>
  </si>
  <si>
    <t>GHA-725903330-0</t>
  </si>
  <si>
    <t>Margaret Anane</t>
  </si>
  <si>
    <t>024 530 1392</t>
  </si>
  <si>
    <t>024 255 4607</t>
  </si>
  <si>
    <t>055 418 5769</t>
  </si>
  <si>
    <t>050 178 6106</t>
  </si>
  <si>
    <t>GEORGE YEBOAH</t>
  </si>
  <si>
    <t>024 285 6642</t>
  </si>
  <si>
    <t>ACTIVE</t>
  </si>
  <si>
    <t>DUES 2026</t>
  </si>
  <si>
    <t>Bought Shares from Tema Bank</t>
  </si>
  <si>
    <t>Deposit Cash to Tema Bank</t>
  </si>
  <si>
    <t>LEVY  ACCOUNT</t>
  </si>
  <si>
    <t>REGISTRATION FEE</t>
  </si>
  <si>
    <t>SPECIAL LEVY 1</t>
  </si>
  <si>
    <t>SPECIAL LEVY 2</t>
  </si>
  <si>
    <t>SPECIAL LEVY 3</t>
  </si>
  <si>
    <t>SPECIAL LEVY 4</t>
  </si>
  <si>
    <t>SPECIAL LEVY 5</t>
  </si>
  <si>
    <t>MTN MOMO ACCOUNTS</t>
  </si>
  <si>
    <t>Intrest on MoMo</t>
  </si>
  <si>
    <t>Cash Deposit to Fidelity Bank</t>
  </si>
  <si>
    <t>T&amp;T Mampong to Accra &amp; back</t>
  </si>
  <si>
    <t>TOTAL MEMBERS PAID</t>
  </si>
  <si>
    <t>TOTAL MEMBERS NOT PAID</t>
  </si>
  <si>
    <t>ISAAC DONKOR</t>
  </si>
  <si>
    <t>Danso Kingsley</t>
  </si>
  <si>
    <t>024 499 1855</t>
  </si>
  <si>
    <t>020 830 4466</t>
  </si>
  <si>
    <t>Mampong</t>
  </si>
  <si>
    <t>DANSO KINGSLEY</t>
  </si>
  <si>
    <t>dankings@yahoo.com</t>
  </si>
  <si>
    <t>GHA-721930936-4</t>
  </si>
  <si>
    <t>E2-0793-9218</t>
  </si>
  <si>
    <t>Kwadwo Siaw Danso</t>
  </si>
  <si>
    <t>059 531 9840</t>
  </si>
  <si>
    <t>Men's Fellowship Chairman</t>
  </si>
  <si>
    <t>CHRCK YOUR DUES BALANCE</t>
  </si>
  <si>
    <t>TOTAL LEVY</t>
  </si>
  <si>
    <t>PAID LEVY</t>
  </si>
  <si>
    <t>CHRCK YOUR LEVY BALANCE</t>
  </si>
  <si>
    <t>SPECIAL LEVY 6</t>
  </si>
  <si>
    <t>EX-1532-7443</t>
  </si>
  <si>
    <t>C/8 NOYEM</t>
  </si>
  <si>
    <t>mosesoduro1966@gmail.com</t>
  </si>
  <si>
    <t>GHA-722014751-1</t>
  </si>
  <si>
    <t>Frederick Oduro</t>
  </si>
  <si>
    <t>E3-007-9789</t>
  </si>
  <si>
    <t>GHA-722403637-4</t>
  </si>
  <si>
    <t>Ebenezer Ahwireng</t>
  </si>
  <si>
    <t>Brother</t>
  </si>
  <si>
    <t>Era Donkor</t>
  </si>
  <si>
    <t>donkorisaac1979@gmail.com</t>
  </si>
  <si>
    <t>GHA-718421698-0</t>
  </si>
  <si>
    <t>AF-0129-3414</t>
  </si>
  <si>
    <t>Businessman</t>
  </si>
  <si>
    <t>DISCRIPTION</t>
  </si>
  <si>
    <t>Shares</t>
  </si>
  <si>
    <t>Bank Deposit</t>
  </si>
  <si>
    <t>ELD. JUST-MARK QUANSAH</t>
  </si>
  <si>
    <t>Registration of the Association</t>
  </si>
  <si>
    <t>REGISTER GENERAL DEPARTMENT ACCRA</t>
  </si>
  <si>
    <t>T &amp; T from Mampong - Accra &amp; Back</t>
  </si>
  <si>
    <t>ELD JONATHN DANSO SIAW</t>
  </si>
  <si>
    <t>T &amp; T from Mampong - Odorkor &amp; Back</t>
  </si>
  <si>
    <t>Child Naming Ceremony</t>
  </si>
  <si>
    <t>T &amp; T  Ashaiman Bank &amp; Back</t>
  </si>
  <si>
    <t>COMMUNICATION CENTER</t>
  </si>
  <si>
    <t>AUDITOR AT AWOSHIE</t>
  </si>
  <si>
    <t>Pictures to GCB</t>
  </si>
  <si>
    <t>PHOTO STIDIO</t>
  </si>
  <si>
    <t>Printing of Documents to GCB Bank Accra</t>
  </si>
  <si>
    <t>Pictures to GCB Bank</t>
  </si>
  <si>
    <t>Printing of Documents to Fidelity Bank Accra</t>
  </si>
  <si>
    <t>FIDELITY BANK ACCRA</t>
  </si>
  <si>
    <t>Cash Deposit</t>
  </si>
  <si>
    <t>ELD. JONATHAN SIAW</t>
  </si>
  <si>
    <t>ELD MOSES ODURO</t>
  </si>
  <si>
    <t>T&amp;T Noyem to Accra &amp; back</t>
  </si>
  <si>
    <t>T&amp;T Ashaiman to Accra &amp; back</t>
  </si>
  <si>
    <t>T &amp; T from Mampong - Ashaiman Bank &amp; Back</t>
  </si>
  <si>
    <t>From Tema Bank to MoMo</t>
  </si>
  <si>
    <t xml:space="preserve">Mother Funeral Contribution </t>
  </si>
  <si>
    <t xml:space="preserve">BANK TEMA </t>
  </si>
  <si>
    <t>CHILD  NAMING</t>
  </si>
  <si>
    <t>TRANPORTATIONS</t>
  </si>
  <si>
    <t>ELD. MAXWELL OFEI</t>
  </si>
  <si>
    <t>T&amp;T Mampong  to Accra &amp; back</t>
  </si>
  <si>
    <t>T&amp;T Mampong-Awoshie-Circle &amp; back</t>
  </si>
  <si>
    <t>TEMA BANK</t>
  </si>
  <si>
    <t>FIDELETY BANK INTREST</t>
  </si>
  <si>
    <t>T &amp; T from Mampong to Registrar General Office</t>
  </si>
  <si>
    <t>PAYMENT VOUCHER NOMBER</t>
  </si>
  <si>
    <t>T &amp; T from Mampong - MTN Head office Accra &amp; Back</t>
  </si>
  <si>
    <t>Jackson University College</t>
  </si>
  <si>
    <t>Electrocution</t>
  </si>
  <si>
    <t>Tipper Truck Business</t>
  </si>
  <si>
    <t>Vincent Agamatey</t>
  </si>
  <si>
    <t>Sales Representative</t>
  </si>
  <si>
    <t>Cash Deposited</t>
  </si>
  <si>
    <t>Bank Interest for the year</t>
  </si>
  <si>
    <t>Purchase of Treasure Bill</t>
  </si>
  <si>
    <t>VINCENT AGAMATEY</t>
  </si>
  <si>
    <t>T&amp;T Mampong to Accra MTN Head office &amp; back</t>
  </si>
  <si>
    <t>T&amp;T Mampong to Fidelity Bank Accra &amp; back</t>
  </si>
  <si>
    <t>MTN OFFICE</t>
  </si>
  <si>
    <t>New Chip for Onuado Na Eye</t>
  </si>
  <si>
    <t>PURCHASE</t>
  </si>
  <si>
    <t>New Phone for Onuado</t>
  </si>
  <si>
    <t>GENERAL EXPENSES</t>
  </si>
  <si>
    <t>050 934 1027</t>
  </si>
  <si>
    <t>17/02/2025  -  16-02-2026</t>
  </si>
  <si>
    <t>10/06/2025  -  09-06-2026</t>
  </si>
  <si>
    <t>TREASURER BILL INTREST</t>
  </si>
  <si>
    <t>JOHN DARBO</t>
  </si>
  <si>
    <t>John Darbo</t>
  </si>
  <si>
    <t>Accra</t>
  </si>
  <si>
    <t>JohnDarbo@gmail.com</t>
  </si>
  <si>
    <t>GHA-001499499-7</t>
  </si>
  <si>
    <t>Bomfa Achiase</t>
  </si>
  <si>
    <t>Asante Akim</t>
  </si>
  <si>
    <t>Achiase</t>
  </si>
  <si>
    <t>Selina Darbo</t>
  </si>
  <si>
    <t>Akwasi Offin</t>
  </si>
  <si>
    <t>Afia Kyerewaa</t>
  </si>
  <si>
    <t>Ruth Darbo</t>
  </si>
  <si>
    <t>Bog shares No. 2</t>
  </si>
  <si>
    <t>FIDELITY BANK BALANCE</t>
  </si>
  <si>
    <t>BANK TEMA BALANCE</t>
  </si>
  <si>
    <t>Bog shares NO. 3</t>
  </si>
  <si>
    <t>GHA-719976822-3</t>
  </si>
  <si>
    <t>Gomoa Afransi</t>
  </si>
  <si>
    <t>Gomoa Central</t>
  </si>
  <si>
    <t>Fante</t>
  </si>
  <si>
    <t>Nathanel Acheampong</t>
  </si>
  <si>
    <t>053 506 647</t>
  </si>
  <si>
    <t>Hanah Acheampong</t>
  </si>
  <si>
    <t>024 114 7045</t>
  </si>
  <si>
    <t>Kojo Acheampong</t>
  </si>
  <si>
    <t>027 150 6060</t>
  </si>
  <si>
    <t>Esi Mansah</t>
  </si>
  <si>
    <t>055 504 6416</t>
  </si>
  <si>
    <t>Asankragwa</t>
  </si>
  <si>
    <t>Wassa Daurampong</t>
  </si>
  <si>
    <t>Wassa</t>
  </si>
  <si>
    <t>Sarah Amoakoah</t>
  </si>
  <si>
    <t>024 937 8595</t>
  </si>
  <si>
    <t xml:space="preserve">Male              Female       </t>
  </si>
  <si>
    <t>Peter Kofi Obeng</t>
  </si>
  <si>
    <t>Akua Bomo</t>
  </si>
  <si>
    <t>Akuapem North</t>
  </si>
  <si>
    <t>Akuapem</t>
  </si>
  <si>
    <t>Matilda Danso</t>
  </si>
  <si>
    <t>055 031 8985</t>
  </si>
  <si>
    <t>Leticia Oye Siaw</t>
  </si>
  <si>
    <t>Assin Ochiso</t>
  </si>
  <si>
    <t>Cape Coast</t>
  </si>
  <si>
    <t>Fanteman District</t>
  </si>
  <si>
    <t>Regina Hagan</t>
  </si>
  <si>
    <t>054 158 7379</t>
  </si>
  <si>
    <t>Joseph Hagan</t>
  </si>
  <si>
    <t>Marry Ackom</t>
  </si>
  <si>
    <t>Odumase-Krobo</t>
  </si>
  <si>
    <t>Lower Manya</t>
  </si>
  <si>
    <t>Krobo</t>
  </si>
  <si>
    <t>Rose Tetteh</t>
  </si>
  <si>
    <t>055 710 3472</t>
  </si>
  <si>
    <t>Simon Kwadjo</t>
  </si>
  <si>
    <t>Faati Amadu</t>
  </si>
  <si>
    <t>Akim Abuoso</t>
  </si>
  <si>
    <t>Atwima Bebu</t>
  </si>
  <si>
    <t>Ateima Kwanwoma</t>
  </si>
  <si>
    <t>Kennedy Eddy Donkor</t>
  </si>
  <si>
    <t>Ama Fosuaa</t>
  </si>
  <si>
    <t>Akim Swedru</t>
  </si>
  <si>
    <t>Briem North</t>
  </si>
  <si>
    <t>Akim</t>
  </si>
  <si>
    <t>Mary Ofosuhene</t>
  </si>
  <si>
    <t>054 037 6893</t>
  </si>
  <si>
    <t>Moses Kwame Ofosuhene</t>
  </si>
  <si>
    <t>Elizabeth Antwi</t>
  </si>
  <si>
    <t>Sekondi / Essikado</t>
  </si>
  <si>
    <t>Ajumako Bisease</t>
  </si>
  <si>
    <t>Ajumako/Enyan/Essiam</t>
  </si>
  <si>
    <t>Johnson Benjamin Wood</t>
  </si>
  <si>
    <t>Kate Ennin</t>
  </si>
  <si>
    <t>Gyan Danso</t>
  </si>
  <si>
    <t>Shama</t>
  </si>
  <si>
    <t>Shama District</t>
  </si>
  <si>
    <t>Quansah Victoria</t>
  </si>
  <si>
    <t>053 439 6522</t>
  </si>
  <si>
    <t>Nketia Quansah</t>
  </si>
  <si>
    <t>Mary Branful</t>
  </si>
  <si>
    <t>Birim North</t>
  </si>
  <si>
    <t>Regina Oduro</t>
  </si>
  <si>
    <t>Paul Antwi</t>
  </si>
  <si>
    <t>Agatha Forjuor</t>
  </si>
  <si>
    <t>Kyekyewere</t>
  </si>
  <si>
    <t>Anyinasu</t>
  </si>
  <si>
    <t>Ejura Sekyere Dumase</t>
  </si>
  <si>
    <t>Theresah Afriyie</t>
  </si>
  <si>
    <t>054 275 0318</t>
  </si>
  <si>
    <t>Kofi Nsia</t>
  </si>
  <si>
    <t>Akua Mansah</t>
  </si>
  <si>
    <t>Amosima</t>
  </si>
  <si>
    <t>Abura Aseibu</t>
  </si>
  <si>
    <t>Matthew K Nkrumah</t>
  </si>
  <si>
    <t>Mary Nkrumah (Ekua Akua)</t>
  </si>
  <si>
    <t>Dago</t>
  </si>
  <si>
    <t>Akuapem South</t>
  </si>
  <si>
    <t>Grace Asante</t>
  </si>
  <si>
    <t>Nana Ahwireng</t>
  </si>
  <si>
    <t>Gladys Asante</t>
  </si>
  <si>
    <t>Tinkon Mile 40</t>
  </si>
  <si>
    <t>Yilo Krobo</t>
  </si>
  <si>
    <t>Samuel Tetteh</t>
  </si>
  <si>
    <t>Victoria Donkor</t>
  </si>
  <si>
    <t>Akosombo</t>
  </si>
  <si>
    <t>Asuogyaman</t>
  </si>
  <si>
    <t>Seth Sarpong</t>
  </si>
  <si>
    <t>Margaret Sarpong</t>
  </si>
  <si>
    <t>Bog shares NO. 4</t>
  </si>
  <si>
    <t>T&amp;T Ashaiman to Mampong / Accra &amp; back</t>
  </si>
  <si>
    <t>Momo sent to Payment Voucher Number 2.</t>
  </si>
  <si>
    <t>Momo sent to Payment Voucher Number 3.</t>
  </si>
  <si>
    <t>Momo sent to Payment Voucher Number 4.</t>
  </si>
  <si>
    <t>Momo sent to Payment Voucher Number 5.</t>
  </si>
  <si>
    <t>Momo sent to Payment Voucher Number 6.</t>
  </si>
  <si>
    <t>Momo sent to Payment Voucher Number 7.</t>
  </si>
  <si>
    <t>Momo sent to Payment Voucher Number 8.</t>
  </si>
  <si>
    <t>Momo sent to Payment Voucher Number 9.</t>
  </si>
  <si>
    <t>Momo sent to Payment Voucher Number 10.</t>
  </si>
  <si>
    <t>Momo sent to Payment Voucher Number 11.</t>
  </si>
  <si>
    <t>Momo sent to Payment Voucher Number 12.</t>
  </si>
  <si>
    <t>Momo sent to Payment Voucher Number 13.</t>
  </si>
  <si>
    <t>Momo sent to Payment Voucher Number 14.</t>
  </si>
  <si>
    <t>Momo sent to Payment Voucher Number 15.</t>
  </si>
  <si>
    <t>Momo sent to Payment Voucher Number 16.</t>
  </si>
  <si>
    <t>Momo sent to Payment Voucher Number 17.</t>
  </si>
  <si>
    <t>TREASURER BILL  BOG</t>
  </si>
  <si>
    <t>Momo sent to Payment Voucher Number 18.</t>
  </si>
  <si>
    <t>06/08/2025  -  04-02-2026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</si>
  <si>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</si>
  <si>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</si>
  <si>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</si>
  <si>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</si>
  <si>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</si>
  <si>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</si>
  <si>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</si>
  <si>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</si>
  <si>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NORTH TEMA CO-OPERATIVE CREDIT UNION LTD.</t>
  </si>
  <si>
    <t>055 546 0838</t>
  </si>
  <si>
    <t>024 327 5855</t>
  </si>
  <si>
    <t>TOTAL AMOUNT</t>
  </si>
  <si>
    <t>MEMBERS LIST UPPER CACE</t>
  </si>
  <si>
    <r>
      <rPr>
        <b/>
        <i/>
        <sz val="16"/>
        <rFont val="Arial"/>
        <family val="2"/>
      </rPr>
      <t>Note:</t>
    </r>
    <r>
      <rPr>
        <b/>
        <sz val="16"/>
        <rFont val="Arial"/>
        <family val="2"/>
      </rPr>
      <t xml:space="preserve"> Add Pasport Picture</t>
    </r>
  </si>
  <si>
    <t>ONUADO NA EYE REGISTRATION FORMS</t>
  </si>
  <si>
    <t>Diseased</t>
  </si>
  <si>
    <t xml:space="preserve">PRINCIPAL AMOUNT       </t>
  </si>
  <si>
    <t>RATE PER ANNUAL</t>
  </si>
  <si>
    <t>WEEKS</t>
  </si>
  <si>
    <t>TOTAL MONTHLY DUES FOR 2023</t>
  </si>
  <si>
    <t>TOTAL MONTHLY DUES FOR 2024</t>
  </si>
  <si>
    <t>TOTAL MONTHLY DUES FOR 2025</t>
  </si>
  <si>
    <t>TOTAL MONTHLY DUES FOR 2026</t>
  </si>
  <si>
    <t>FIRST TOTAL LEVY</t>
  </si>
  <si>
    <t>SECOND TOTAL LEVY</t>
  </si>
  <si>
    <t>THIRD TOTAL LEVY</t>
  </si>
  <si>
    <t>FIFTH TOTAL LEVY</t>
  </si>
  <si>
    <t>MOMO CASH</t>
  </si>
  <si>
    <t>MOMO LEVY</t>
  </si>
  <si>
    <t>Withdraw cash from MoMo Account</t>
  </si>
  <si>
    <t>NO. 1 T/BILL</t>
  </si>
  <si>
    <t>NO. 2 T/BILL</t>
  </si>
  <si>
    <t>NO. 3 T/BILL</t>
  </si>
  <si>
    <t>NO. 4 T/BILL</t>
  </si>
  <si>
    <t>MEMBERS SHARES HOLDING</t>
  </si>
  <si>
    <t>PETTY cash ACCOUNT</t>
  </si>
  <si>
    <t>CASH FLOW</t>
  </si>
  <si>
    <t>PAYMENT VOUCHERS</t>
  </si>
  <si>
    <t>SHARES DEVIDENTS ON DUES</t>
  </si>
  <si>
    <t>0546516913</t>
  </si>
  <si>
    <t>DAYS MATURED</t>
  </si>
  <si>
    <t>Interest for December 2025</t>
  </si>
  <si>
    <t>Interest for May 2024</t>
  </si>
  <si>
    <t>Interest for June 2024</t>
  </si>
  <si>
    <t>Interest for July 2024</t>
  </si>
  <si>
    <t>Interest for Aug- Dec 2024</t>
  </si>
  <si>
    <t>Interest for January 2025</t>
  </si>
  <si>
    <t>Interest for Feb &amp; Mar 2025</t>
  </si>
  <si>
    <t>Interest for April</t>
  </si>
  <si>
    <t>Interest for July 2025</t>
  </si>
  <si>
    <t>Interest for August 2025</t>
  </si>
  <si>
    <t>Interest for September 2025</t>
  </si>
  <si>
    <t>Interest for October 2025</t>
  </si>
  <si>
    <t>Interest for November 2025</t>
  </si>
  <si>
    <t>Interest for June 2025</t>
  </si>
  <si>
    <t>Interest for April 2025</t>
  </si>
  <si>
    <t>Interest for May 2025</t>
  </si>
  <si>
    <t>20/1/2026  -  18/01/2027</t>
  </si>
  <si>
    <t>364 DAYS</t>
  </si>
  <si>
    <t>182 DAYS</t>
  </si>
  <si>
    <t>REMOVED</t>
  </si>
  <si>
    <t>NO. 5 T/BILL</t>
  </si>
  <si>
    <t>Bog shares NO. 1</t>
  </si>
  <si>
    <t>DAYLY INTREST FOR  MEMBERS</t>
  </si>
  <si>
    <t>bog treasurer bill - NO 1 FIRST YEAR</t>
  </si>
  <si>
    <t>DAYS REMAINED</t>
  </si>
  <si>
    <t xml:space="preserve">TOTAL INTREST RATE </t>
  </si>
  <si>
    <t>ONE YEAR TREASURER BILL (DAYS)</t>
  </si>
  <si>
    <t>bog treasurer bill - NO 2 FIRST YEAR</t>
  </si>
  <si>
    <t>bog treasurer bill - NO 4 FIRST YEAR</t>
  </si>
  <si>
    <t>FROM</t>
  </si>
  <si>
    <t>TO</t>
  </si>
  <si>
    <t>TOTAL MMBERS QUALIFIED</t>
  </si>
  <si>
    <t>DURATION</t>
  </si>
  <si>
    <t>FORTH TOTAL LEVY</t>
  </si>
  <si>
    <t>SIXTH TOTAL LEVY</t>
  </si>
  <si>
    <t>SUB TOTAL</t>
  </si>
  <si>
    <t xml:space="preserve">                 </t>
  </si>
  <si>
    <t xml:space="preserve">                   </t>
  </si>
  <si>
    <t>CHECK YOUR SHARES HOLDING</t>
  </si>
  <si>
    <t>T/BILL</t>
  </si>
  <si>
    <t>bog treasurer bill - NO 3 FIRST YEAR</t>
  </si>
  <si>
    <t>Interest for January &amp; February  2026</t>
  </si>
  <si>
    <t xml:space="preserve">DAYLY INTREST </t>
  </si>
  <si>
    <t>DAYLY INTREST AS AT DATE</t>
  </si>
  <si>
    <t>DAYLY INTREST AS AT DATE  FOR  MEMBERS</t>
  </si>
  <si>
    <t>PREVIOUS INTREST</t>
  </si>
  <si>
    <t>bog treasurer bill - NO 4 SECOND YEAR</t>
  </si>
  <si>
    <t>TOTAL (PRI)</t>
  </si>
  <si>
    <t>FIRST YEAR</t>
  </si>
  <si>
    <t>TOTAL INTREST FOR A MEMBER</t>
  </si>
  <si>
    <t>SECOND YEAR</t>
  </si>
  <si>
    <t>bog treasurer bill - NO 3 SECOND HALF YEAR</t>
  </si>
  <si>
    <t>SECOND HALF YEAR</t>
  </si>
  <si>
    <t>bog treasurer bill - NO 2 SECOND YEAR</t>
  </si>
  <si>
    <t>bog treasurer bill - NO 1 SECOND YEAR</t>
  </si>
  <si>
    <t>FIRST YEAR - 364 DAYS</t>
  </si>
  <si>
    <t xml:space="preserve">TOTAL INTREST </t>
  </si>
  <si>
    <t>+</t>
  </si>
  <si>
    <t>GRAND AMOUNT</t>
  </si>
  <si>
    <t>SHARES TOTAL</t>
  </si>
  <si>
    <t>TREASURER BILL TOTAL</t>
  </si>
  <si>
    <t>PAYMENT VOUCHER NO. 1 -  FOR MAY 2023</t>
  </si>
  <si>
    <t>PAYMENT VOUCHER NO. 2 -  FOR AUGUST 2023</t>
  </si>
  <si>
    <t>MTN</t>
  </si>
  <si>
    <t>Taxes on MoMo</t>
  </si>
  <si>
    <t>T&amp;T Oyibi - Awoshie-Circle &amp; back</t>
  </si>
  <si>
    <t>PAYMENT VOUCHER NO. 3 -  FOR OCTOBER 2023</t>
  </si>
  <si>
    <t>PAYMENT VOUCHER NO. 4 -  FOR DECEMBER 2023</t>
  </si>
  <si>
    <t>PAYMENT VOUCHER NO. 5 -  FOR FEBRUARY 2024</t>
  </si>
  <si>
    <t>PAYMENT VOUCHER NO. 6 -  FOR APRIL 2024</t>
  </si>
  <si>
    <t>PAYMENT VOUCHER NO. 7 -  FOR MAY 2024</t>
  </si>
  <si>
    <t>PAYMENT VOUCHER NO. 8 -  FOR JUNE 2024</t>
  </si>
  <si>
    <t>PAYMENT VOUCHER NO. 9 -  FOR AUGUST 2024</t>
  </si>
  <si>
    <t>PAYMENT VOUCHER NO. 10 -  FOR OCTOBER 2024</t>
  </si>
  <si>
    <t>EXPENDICTURE</t>
  </si>
  <si>
    <t>DUES ACCOUNTS</t>
  </si>
  <si>
    <t>MOMO:  '0530486443 - MECHANT: 293658</t>
  </si>
  <si>
    <t>MTN Taxes on MoMo</t>
  </si>
  <si>
    <t>MOMO CHARGES</t>
  </si>
  <si>
    <t>T &amp; T  DUES</t>
  </si>
  <si>
    <t>DUES EXPENSES</t>
  </si>
  <si>
    <t>DOCUMENTATIONS</t>
  </si>
  <si>
    <t>DOCUMENTATION</t>
  </si>
  <si>
    <t xml:space="preserve">Printing of documents to GCB </t>
  </si>
  <si>
    <t xml:space="preserve">T&amp;T Oyibi,- Awoshie &amp; back </t>
  </si>
  <si>
    <t>TRANPORTATIONS DUES</t>
  </si>
  <si>
    <t>TRANPORTATIONS LEVY</t>
  </si>
  <si>
    <t>MTN MOMO CHARGES LEVY</t>
  </si>
  <si>
    <t>REGISTRATION OF FELLOWSHIP</t>
  </si>
  <si>
    <t>MTN MOMO CHARGES DUES</t>
  </si>
  <si>
    <t>TREASURER BILL FOR QUALIFIED MEMBERS ONLY</t>
  </si>
  <si>
    <t>DUES 2027</t>
  </si>
  <si>
    <t>AMOUNT</t>
  </si>
  <si>
    <t>SPECIAL</t>
  </si>
  <si>
    <t>BANK TEMA BALANCE SHARES</t>
  </si>
  <si>
    <t>TOTAL BALANCE B/D</t>
  </si>
  <si>
    <t>Deposit of Treasurer Bill</t>
  </si>
  <si>
    <t>Reverse of all Treasurer Bill</t>
  </si>
  <si>
    <t>CASH WITHDRAWAL</t>
  </si>
  <si>
    <t>Repair of Fellowship phone</t>
  </si>
  <si>
    <t>PHONE REPAIRER</t>
  </si>
  <si>
    <t>Bank Charges CCW</t>
  </si>
  <si>
    <t>FIDELITY BANK CHARGES</t>
  </si>
  <si>
    <t>2nd PAYMENT</t>
  </si>
  <si>
    <t>3rd PAYMENT</t>
  </si>
  <si>
    <t>4th PAYMENT</t>
  </si>
  <si>
    <t>1st PAYMENT</t>
  </si>
  <si>
    <t>SHARES DEVIDENT</t>
  </si>
  <si>
    <t>TREASURER BILL CHARGES</t>
  </si>
  <si>
    <t>GHA-721767934-6</t>
  </si>
  <si>
    <t>Nsawam Adoagyiri</t>
  </si>
  <si>
    <t>William Obuobi Darko</t>
  </si>
  <si>
    <t>Emma Darko</t>
  </si>
  <si>
    <t>Opayin Yaw Darko</t>
  </si>
  <si>
    <t>Obaapayin Akosua Pokua</t>
  </si>
  <si>
    <t>DISBURSEMENT OF ACCOUNT</t>
  </si>
  <si>
    <t>FIRST CONTRIBUTION</t>
  </si>
  <si>
    <t>Total Contribution</t>
  </si>
  <si>
    <t>TOTAL &amp; BALANCE</t>
  </si>
  <si>
    <t>ELD. ISAAC DARKO  (FUNERAL)</t>
  </si>
  <si>
    <t>Balance C/F</t>
  </si>
  <si>
    <t>Loan from Dues</t>
  </si>
  <si>
    <t>Balance C/D</t>
  </si>
  <si>
    <t>Mother's Funeral Donation</t>
  </si>
  <si>
    <t>Transportation to Darkoman (2 Members)</t>
  </si>
  <si>
    <t>Transportation to Nsawam (2 Members)</t>
  </si>
  <si>
    <t>ELD. ISAAC DARKO (FUNERAL)</t>
  </si>
  <si>
    <t>ELD. SAMUEL YAW NKANSAH (CHILD NAMING)</t>
  </si>
  <si>
    <t>ELD. SAMUEL YAW NKANSAH (FUNERAL)</t>
  </si>
  <si>
    <t>ELD. JOHN OFOSUHENE ASARE (FUNERAL)</t>
  </si>
  <si>
    <t>ELD JONATHAN DANSO SIAW (FUNERAL)</t>
  </si>
  <si>
    <t>ELD PRINCE AHWIREN ASANTE (CHILD NAMING)</t>
  </si>
  <si>
    <t>Transportation to Akim Oda (2 Members)</t>
  </si>
  <si>
    <t>Father's Funeral Donation</t>
  </si>
  <si>
    <t>Transportation to Akim Asuom (2 Members)</t>
  </si>
  <si>
    <t>FUNERAL</t>
  </si>
  <si>
    <t>CHILD NAMING</t>
  </si>
  <si>
    <t>T &amp; T</t>
  </si>
  <si>
    <t>MOMO TAXES</t>
  </si>
  <si>
    <t>EXPENCES</t>
  </si>
  <si>
    <t>DISBURSEMENT</t>
  </si>
  <si>
    <t>Special Levy No 1</t>
  </si>
  <si>
    <t>Special Levy No 2</t>
  </si>
  <si>
    <t>Special Levy No 3</t>
  </si>
  <si>
    <t>Special Levy No 4</t>
  </si>
  <si>
    <t>Special Levy No 5</t>
  </si>
  <si>
    <t>Special Levy No 6</t>
  </si>
  <si>
    <t>Funeral Donations</t>
  </si>
  <si>
    <t>Child Naming Donations</t>
  </si>
  <si>
    <t>Transportations</t>
  </si>
  <si>
    <t>MoMo Charges</t>
  </si>
  <si>
    <t>Balance on MoMo Account</t>
  </si>
  <si>
    <t>PETTY cash ACCOUNT FOR VEHICLES</t>
  </si>
  <si>
    <t>Capital by the Bank</t>
  </si>
  <si>
    <t>Capital by Eld Jonathan Danso Siaw</t>
  </si>
  <si>
    <t>Capital by Eld Osei Kwame</t>
  </si>
  <si>
    <t>CASH</t>
  </si>
  <si>
    <t>MoMo Transfare to Levy Account</t>
  </si>
  <si>
    <t xml:space="preserve">MOMO ACCOUNT      </t>
  </si>
  <si>
    <t xml:space="preserve">BANK ACCOUNT      </t>
  </si>
  <si>
    <t>PAYMENT VOUCHER NO. 11 -  FOR FEBRUARY 2025</t>
  </si>
  <si>
    <t>PAYMENT VOUCHER NO. 12 -  FOR APRIL 2025</t>
  </si>
  <si>
    <t>PAYMENT VOUCHER NO. 13 -  FOR MAY 2025</t>
  </si>
  <si>
    <t>PAYMENT VOUCHER NO. 14 -  FOR APRIL 2023</t>
  </si>
  <si>
    <t>PAYMENT VOUCHER NO. 15 -  FOR SEPTEMBER  2025</t>
  </si>
  <si>
    <t>PAYMENT VOUCHER NO. 16 -  FOR  DECEMBER 2025</t>
  </si>
  <si>
    <t>PAYMENT VOUCHER NO. 17 -  FOR  JANUARY 2026</t>
  </si>
  <si>
    <t>PAYMENT VOUCHER NO. 18 -  FOR  MARCH 2026</t>
  </si>
  <si>
    <t>PAYMENT VOUCHER NO. 19 -  FOR  MARCH 2026</t>
  </si>
  <si>
    <t>Momo sent to Dues Payment Voucher Number 1.</t>
  </si>
  <si>
    <t>Momo sent to Levy Payment Voucher Number 1.</t>
  </si>
  <si>
    <t>Momo sent to Levy Payment Voucher Number 2.</t>
  </si>
  <si>
    <t>Momo sent to Levy Payment Voucher Number 3.</t>
  </si>
  <si>
    <t>Momo sent to Levy Payment Voucher Number 4.</t>
  </si>
  <si>
    <t>Momo sent to Levy Payment Voucher Number 5.</t>
  </si>
  <si>
    <t>Momo sent to Levy Payment Voucher Number 6.</t>
  </si>
  <si>
    <t>LEVY BALANCE</t>
  </si>
  <si>
    <t>Levy Balance</t>
  </si>
  <si>
    <t>BANK WITHDRAWAL</t>
  </si>
  <si>
    <t>MOMO INTREST</t>
  </si>
  <si>
    <t>From Fidelity Bank</t>
  </si>
  <si>
    <t>LEVY ACCOUNT</t>
  </si>
  <si>
    <t>Withdrawal from Dues Account</t>
  </si>
  <si>
    <t>Sent to Levy Account</t>
  </si>
  <si>
    <t>DEPOSIT LEVY</t>
  </si>
  <si>
    <t>Cash Withdrawal to Purchases A/C</t>
  </si>
  <si>
    <t>Cash Withdrawal to MoMo A/C</t>
  </si>
  <si>
    <t>MOMO BALANCE</t>
  </si>
  <si>
    <t>PURCHESE OF VEHICLE ACCOUNT</t>
  </si>
  <si>
    <t>ELD. JOHN OFOSUHENE ASARE</t>
  </si>
  <si>
    <t>ELD JONATHAN DANSO SIAW</t>
  </si>
  <si>
    <t>ELD PRINCE AHWIREN ASANTE</t>
  </si>
  <si>
    <t>John Aidoo</t>
  </si>
  <si>
    <t>Mr.</t>
  </si>
  <si>
    <t>024 312 9927</t>
  </si>
  <si>
    <t>Self Employed</t>
  </si>
  <si>
    <t>PROBATION</t>
  </si>
  <si>
    <t>JOHN AIDOO</t>
  </si>
  <si>
    <t>Chourester</t>
  </si>
  <si>
    <t>GK-0435-1876</t>
  </si>
  <si>
    <t>GHA-00137688-3</t>
  </si>
  <si>
    <t>Katamanso</t>
  </si>
  <si>
    <t>Abaasa</t>
  </si>
  <si>
    <t>Enyan</t>
  </si>
  <si>
    <t>Michael Aidoo</t>
  </si>
  <si>
    <t>Faustina Aidoo</t>
  </si>
  <si>
    <t>Opayin Paul Aidoo</t>
  </si>
  <si>
    <t>Hannah Onuma</t>
  </si>
  <si>
    <t>SECOND CONTRIBUTION</t>
  </si>
  <si>
    <t>THIRD CONTRIBUTION</t>
  </si>
  <si>
    <t>FOURTH CONTRIBUTION</t>
  </si>
  <si>
    <t>FIFTH CONTRIBUTION</t>
  </si>
  <si>
    <t>SIXTH CONTRIBUTION</t>
  </si>
  <si>
    <t>SEVENTH CONTRIBUTION</t>
  </si>
  <si>
    <t>EIGHTH CONTRIBUTION</t>
  </si>
  <si>
    <t>NINETH CONTRIBUTION</t>
  </si>
  <si>
    <t>TENTH CONTRIBUTION</t>
  </si>
  <si>
    <t>Amanfie East</t>
  </si>
  <si>
    <t>Momo sent to Payment Voucher Number 19.</t>
  </si>
  <si>
    <t>Interest for March 2026</t>
  </si>
  <si>
    <t>POSITION IN CHURCH</t>
  </si>
  <si>
    <t>TELEPHONE NO. 1</t>
  </si>
  <si>
    <t>TELEPHONE NO. 2</t>
  </si>
  <si>
    <t>DATE JOINED THE FELLOWSHIP</t>
  </si>
  <si>
    <t>PLACE OF WORK</t>
  </si>
  <si>
    <t>E-MAIL ADDRESS (IF ANY)</t>
  </si>
  <si>
    <t>DATE OF BIRTH</t>
  </si>
  <si>
    <t>PLACE OF BIRTH</t>
  </si>
  <si>
    <t>HOMETOWN</t>
  </si>
  <si>
    <t>DISTRICT</t>
  </si>
  <si>
    <t>TRIBE</t>
  </si>
  <si>
    <t>NEXT OF KIN</t>
  </si>
  <si>
    <t>RELATIONSHIP</t>
  </si>
  <si>
    <t>CONTACT: NEXT OF KIN ADDRESS</t>
  </si>
  <si>
    <t>MARITAL STATUS</t>
  </si>
  <si>
    <t>NAME OF SPOUSE</t>
  </si>
  <si>
    <t xml:space="preserve">NO. OF CHILDREN </t>
  </si>
  <si>
    <t>FATHER'S NAME</t>
  </si>
  <si>
    <t>MOTHER'S NAME</t>
  </si>
  <si>
    <t>DUES FEE</t>
  </si>
  <si>
    <t>PERSONAL RECORD</t>
  </si>
  <si>
    <t>TOWN</t>
  </si>
  <si>
    <t>DUES  2026</t>
  </si>
  <si>
    <t>DUES  2027</t>
  </si>
  <si>
    <t>DUES  2028</t>
  </si>
  <si>
    <t>DUES  2029</t>
  </si>
  <si>
    <t>DUES  2030</t>
  </si>
  <si>
    <t>DUES  2031</t>
  </si>
  <si>
    <t>DUES  2032</t>
  </si>
  <si>
    <t>DUES  2033</t>
  </si>
  <si>
    <t>PHONE NO. 1</t>
  </si>
  <si>
    <t>PHONE NO. 2</t>
  </si>
  <si>
    <t>HOUSE NO</t>
  </si>
  <si>
    <t>HOUSE NO.</t>
  </si>
  <si>
    <t>GPS ADDRESS</t>
  </si>
  <si>
    <t>GPS  ADDRESS</t>
  </si>
  <si>
    <t>GHANA ID  CARD</t>
  </si>
  <si>
    <t xml:space="preserve">GHANA ID CARD </t>
  </si>
  <si>
    <t>REGION</t>
  </si>
  <si>
    <t>RELATIONSHIP OF  NEXT OF KIN</t>
  </si>
  <si>
    <t>TOTAL PAYMENTS</t>
  </si>
  <si>
    <t>LEVY PAID</t>
  </si>
  <si>
    <t>GRAND TOTAL</t>
  </si>
  <si>
    <t>SHARES DEVIDENTS</t>
  </si>
  <si>
    <t>DUES  2023</t>
  </si>
  <si>
    <t>DUES  2024</t>
  </si>
  <si>
    <t>DUES  2025</t>
  </si>
  <si>
    <t>3rd LEVY</t>
  </si>
  <si>
    <t>4th LEVY</t>
  </si>
  <si>
    <t>5th LEVY</t>
  </si>
  <si>
    <t>6th LEVY</t>
  </si>
  <si>
    <t>1st LEVY</t>
  </si>
  <si>
    <t>2nd LEVY</t>
  </si>
  <si>
    <t>8th LEVY</t>
  </si>
  <si>
    <t>9th LEVY</t>
  </si>
  <si>
    <t>10th LEVY</t>
  </si>
  <si>
    <t>11th LEVY</t>
  </si>
  <si>
    <t>12th LEVY</t>
  </si>
  <si>
    <t>NAME IN CAPITALS</t>
  </si>
  <si>
    <t>PICTURES</t>
  </si>
  <si>
    <t>SHARE DIVIDENTS</t>
  </si>
  <si>
    <t>6A/5A Airport Ridge</t>
  </si>
  <si>
    <t>Four</t>
  </si>
  <si>
    <t>Jericho-Ashaiman</t>
  </si>
  <si>
    <t>Akim Asane</t>
  </si>
  <si>
    <t>055 443 3909</t>
  </si>
  <si>
    <t>055 803 2662</t>
  </si>
  <si>
    <t>STATE OF FATHER</t>
  </si>
  <si>
    <t>STATE OF MOTHER</t>
  </si>
  <si>
    <t>Alive</t>
  </si>
  <si>
    <t>SHARES HOLDING</t>
  </si>
  <si>
    <t>Kumasi Suame</t>
  </si>
  <si>
    <t>054 553 7670</t>
  </si>
  <si>
    <t>054 570 4732</t>
  </si>
  <si>
    <t>Two</t>
  </si>
  <si>
    <t>024 755 5385</t>
  </si>
  <si>
    <t>055 153 0777</t>
  </si>
  <si>
    <t>Seven</t>
  </si>
  <si>
    <t xml:space="preserve">DE 32 Circle St. </t>
  </si>
  <si>
    <t>Kotoku Papase</t>
  </si>
  <si>
    <t xml:space="preserve">M/E 163 </t>
  </si>
  <si>
    <t xml:space="preserve">HH/12B </t>
  </si>
  <si>
    <t xml:space="preserve">J4/11 </t>
  </si>
  <si>
    <t xml:space="preserve">B/71 </t>
  </si>
  <si>
    <t>Wiabona</t>
  </si>
  <si>
    <t>Mampomg Akuapem</t>
  </si>
  <si>
    <t>020 477 999</t>
  </si>
  <si>
    <t>Regina Dakoa Dankwa</t>
  </si>
  <si>
    <t>justiceacheampong30400@gmail.com</t>
  </si>
  <si>
    <t>Gomoa</t>
  </si>
  <si>
    <t>024 210 5516</t>
  </si>
  <si>
    <t>Oyibi</t>
  </si>
  <si>
    <t>EC/745 Garden Acres St</t>
  </si>
  <si>
    <t>Eight</t>
  </si>
  <si>
    <t xml:space="preserve"> Kasoa Ofankor</t>
  </si>
  <si>
    <t>WL 387/1</t>
  </si>
  <si>
    <t xml:space="preserve"> Kasoa</t>
  </si>
  <si>
    <t>K-144/11 UN Guy</t>
  </si>
  <si>
    <t>princeahwiren6152@gmail.com</t>
  </si>
  <si>
    <t>AW 52/4</t>
  </si>
  <si>
    <t>054 717 6323</t>
  </si>
  <si>
    <t>054 570 4701</t>
  </si>
  <si>
    <t>Three</t>
  </si>
  <si>
    <t>054 501 5197</t>
  </si>
  <si>
    <t xml:space="preserve"> Ashaiman</t>
  </si>
  <si>
    <t>KN/045</t>
  </si>
  <si>
    <t>Five</t>
  </si>
  <si>
    <t>GPS CODE ADDRESS</t>
  </si>
  <si>
    <t>CONTACT: NEXT OF KIN</t>
  </si>
  <si>
    <t>GHANA IDENTITY CARD NO.</t>
  </si>
  <si>
    <t>TRANSFARE TO PURCHASES VEHICLE (Account)</t>
  </si>
  <si>
    <t>BANK TEMA SHARES</t>
  </si>
  <si>
    <t>VEHICLE</t>
  </si>
  <si>
    <t>SPECIAL CONTRIBUTION</t>
  </si>
  <si>
    <t>Purchse of vehicle</t>
  </si>
  <si>
    <t>Mr. Osei Kwame</t>
  </si>
  <si>
    <t>SPECIAL CONTRIBUTIONS</t>
  </si>
  <si>
    <t>PURCHASE OFM VEHIVLE</t>
  </si>
  <si>
    <t>Purchase of Vehicle</t>
  </si>
  <si>
    <t>INTREST ON TREASURER BILL</t>
  </si>
  <si>
    <t>DUES AND OTHER CONTRIBUTIONS</t>
  </si>
  <si>
    <t>VL</t>
  </si>
  <si>
    <t xml:space="preserve">SHARES </t>
  </si>
  <si>
    <t>PAYMENT VOUCHER NO. 20 -  FOR  AUGUST 2026</t>
  </si>
  <si>
    <t>Momo sent to Payment Voucher Number 20.</t>
  </si>
  <si>
    <t>026 871 3230</t>
  </si>
  <si>
    <t>PAYMENT VOUCHER NO. 21 -  FOR  SEPTEMBER 2026</t>
  </si>
  <si>
    <t>Momo sent to Payment Voucher Number 21.</t>
  </si>
  <si>
    <t>TOTAL DUES BALANCE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</si>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</sst>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dd/mm/yyyy;@"/>
    <numFmt numFmtId="166" formatCode="dd\-mmmm\-yyyy"/>
    <numFmt numFmtId="167" formatCode="[$-409]d/mmm/yy;@"/>
    <numFmt numFmtId="168" formatCode="[$-409]d\-mmm\-yy;@"/>
    <numFmt numFmtId="169" formatCode="[$-F800]dddd\,\ mmmm\ dd\,\ yyyy"/>
    <numFmt numFmtId="170" formatCode="[$-409]mmmm\ d\,\ yyyy;@"/>
    <numFmt numFmtId="171" formatCode="[$-409]d\-mmm\-yyyy;@"/>
    <numFmt numFmtId="172" formatCode="[$-809]dd\ mmmm\ yyyy;@"/>
    <numFmt numFmtId="173" formatCode="[$]d\ mmm\ yyyy;@" x16r2:formatCode16="[$-en-GH,1]d\ mmm\ yyyy;@"/>
    <numFmt numFmtId="174" formatCode="#,##0_ ;\-#,##0\ "/>
    <numFmt numFmtId="175" formatCode="0_ ;\-0\ "/>
  </numFmts>
  <fonts count="10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rgb="FF0000FF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3"/>
      <color theme="1"/>
      <name val="Arial"/>
      <family val="2"/>
    </font>
    <font>
      <b/>
      <sz val="13"/>
      <color rgb="FF0000FF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b/>
      <sz val="20"/>
      <color rgb="FF0000CC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6"/>
      <name val="Arial"/>
      <family val="2"/>
    </font>
    <font>
      <b/>
      <sz val="20"/>
      <color theme="1"/>
      <name val="Arial"/>
      <family val="2"/>
    </font>
    <font>
      <b/>
      <sz val="16"/>
      <color rgb="FF0000FF"/>
      <name val="Arial"/>
      <family val="2"/>
    </font>
    <font>
      <b/>
      <sz val="18"/>
      <color rgb="FF0000FF"/>
      <name val="Arial"/>
      <family val="2"/>
    </font>
    <font>
      <sz val="18"/>
      <color theme="1"/>
      <name val="Arial"/>
      <family val="2"/>
    </font>
    <font>
      <sz val="8"/>
      <name val="Calibri"/>
      <family val="2"/>
      <scheme val="minor"/>
    </font>
    <font>
      <b/>
      <sz val="20"/>
      <color rgb="FFFF0000"/>
      <name val="Arial"/>
      <family val="2"/>
    </font>
    <font>
      <b/>
      <sz val="24"/>
      <color rgb="FFFF0000"/>
      <name val="Arial Black"/>
      <family val="2"/>
    </font>
    <font>
      <sz val="14"/>
      <color rgb="FFFF0000"/>
      <name val="Arial"/>
      <family val="2"/>
    </font>
    <font>
      <b/>
      <sz val="22"/>
      <color rgb="FF0000FF"/>
      <name val="Arial"/>
      <family val="2"/>
    </font>
    <font>
      <sz val="20"/>
      <color theme="1"/>
      <name val="Arial"/>
      <family val="2"/>
    </font>
    <font>
      <sz val="14"/>
      <color theme="1"/>
      <name val="Calibri"/>
      <family val="2"/>
      <scheme val="minor"/>
    </font>
    <font>
      <b/>
      <sz val="20"/>
      <color rgb="FF0000FF"/>
      <name val="Arial"/>
      <family val="2"/>
    </font>
    <font>
      <b/>
      <sz val="22"/>
      <color theme="0"/>
      <name val="Arial"/>
      <family val="2"/>
    </font>
    <font>
      <b/>
      <sz val="24"/>
      <color theme="0"/>
      <name val="Arial"/>
      <family val="2"/>
    </font>
    <font>
      <b/>
      <sz val="32"/>
      <color rgb="FF0000FF"/>
      <name val="Algerian"/>
      <family val="5"/>
    </font>
    <font>
      <b/>
      <sz val="30"/>
      <color rgb="FF0000FF"/>
      <name val="Algerian"/>
      <family val="5"/>
    </font>
    <font>
      <sz val="18"/>
      <name val="Arial"/>
      <family val="2"/>
    </font>
    <font>
      <sz val="24"/>
      <color theme="0" tint="-4.9989318521683403E-2"/>
      <name val="Arial Black"/>
      <family val="2"/>
    </font>
    <font>
      <sz val="18"/>
      <color rgb="FFFF0000"/>
      <name val="Arial"/>
      <family val="2"/>
    </font>
    <font>
      <b/>
      <sz val="20"/>
      <name val="Arial Black"/>
      <family val="2"/>
    </font>
    <font>
      <b/>
      <sz val="24"/>
      <color rgb="FF0000FF"/>
      <name val="Arial"/>
      <family val="2"/>
    </font>
    <font>
      <b/>
      <sz val="18"/>
      <color rgb="FF3333FF"/>
      <name val="Arial"/>
      <family val="2"/>
    </font>
    <font>
      <b/>
      <sz val="18"/>
      <name val="Arial"/>
      <family val="2"/>
    </font>
    <font>
      <u/>
      <sz val="11"/>
      <color theme="10"/>
      <name val="Calibri"/>
      <family val="2"/>
      <scheme val="minor"/>
    </font>
    <font>
      <sz val="17"/>
      <color theme="1"/>
      <name val="Arial"/>
      <family val="2"/>
    </font>
    <font>
      <b/>
      <sz val="17"/>
      <color theme="1"/>
      <name val="Arial"/>
      <family val="2"/>
    </font>
    <font>
      <b/>
      <sz val="17"/>
      <color rgb="FFFF0000"/>
      <name val="Arial"/>
      <family val="2"/>
    </font>
    <font>
      <b/>
      <sz val="17"/>
      <color rgb="FF0000FF"/>
      <name val="Arial"/>
      <family val="2"/>
    </font>
    <font>
      <b/>
      <sz val="17"/>
      <name val="Arial"/>
      <family val="2"/>
    </font>
    <font>
      <b/>
      <sz val="16"/>
      <color rgb="FF2E00F0"/>
      <name val="Arial"/>
      <family val="2"/>
    </font>
    <font>
      <b/>
      <sz val="20"/>
      <color rgb="FF00B050"/>
      <name val="Arial"/>
      <family val="2"/>
    </font>
    <font>
      <b/>
      <sz val="22"/>
      <color theme="1"/>
      <name val="Arial Black"/>
      <family val="2"/>
    </font>
    <font>
      <sz val="18"/>
      <color rgb="FF000000"/>
      <name val="Arial"/>
      <family val="2"/>
    </font>
    <font>
      <b/>
      <sz val="2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sz val="20"/>
      <color theme="0"/>
      <name val="Arial"/>
      <family val="2"/>
    </font>
    <font>
      <sz val="11"/>
      <color theme="1"/>
      <name val="Arial"/>
      <family val="2"/>
    </font>
    <font>
      <sz val="24"/>
      <name val="Arial"/>
      <family val="2"/>
    </font>
    <font>
      <b/>
      <sz val="24"/>
      <name val="Arial"/>
      <family val="2"/>
    </font>
    <font>
      <b/>
      <i/>
      <sz val="16"/>
      <name val="Arial"/>
      <family val="2"/>
    </font>
    <font>
      <b/>
      <sz val="32"/>
      <color rgb="FF0000FF"/>
      <name val="Arial"/>
      <family val="2"/>
    </font>
    <font>
      <b/>
      <sz val="18"/>
      <name val="Calibri"/>
      <family val="2"/>
      <scheme val="minor"/>
    </font>
    <font>
      <b/>
      <sz val="36"/>
      <color rgb="FF0000FF"/>
      <name val="Algerian"/>
      <family val="5"/>
    </font>
    <font>
      <b/>
      <sz val="28"/>
      <color theme="0"/>
      <name val="Arial Black"/>
      <family val="2"/>
    </font>
    <font>
      <sz val="28"/>
      <color theme="0"/>
      <name val="Arial Black"/>
      <family val="2"/>
    </font>
    <font>
      <b/>
      <sz val="22"/>
      <name val="Arial"/>
      <family val="2"/>
    </font>
    <font>
      <b/>
      <sz val="30"/>
      <color theme="0"/>
      <name val="Arial Black"/>
      <family val="2"/>
    </font>
    <font>
      <sz val="16"/>
      <color rgb="FF000000"/>
      <name val="Arial"/>
      <family val="2"/>
    </font>
    <font>
      <b/>
      <sz val="18"/>
      <color rgb="FF0000CC"/>
      <name val="Arial"/>
      <family val="2"/>
    </font>
    <font>
      <sz val="18"/>
      <color rgb="FF0000FF"/>
      <name val="Arial"/>
      <family val="2"/>
    </font>
    <font>
      <b/>
      <sz val="40"/>
      <color rgb="FF0000FF"/>
      <name val="Arial Black"/>
      <family val="2"/>
    </font>
    <font>
      <b/>
      <sz val="20"/>
      <color theme="5" tint="-0.499984740745262"/>
      <name val="Arial"/>
      <family val="2"/>
    </font>
    <font>
      <b/>
      <sz val="28"/>
      <color rgb="FF0000FF"/>
      <name val="Arial"/>
      <family val="2"/>
    </font>
    <font>
      <sz val="14"/>
      <color rgb="FF000000"/>
      <name val="Arial"/>
      <family val="2"/>
    </font>
    <font>
      <sz val="20"/>
      <name val="Arial"/>
      <family val="2"/>
    </font>
    <font>
      <b/>
      <sz val="24"/>
      <color rgb="FFFF0000"/>
      <name val="Arial"/>
      <family val="2"/>
    </font>
    <font>
      <b/>
      <sz val="22"/>
      <color rgb="FFFF0000"/>
      <name val="Arial"/>
      <family val="2"/>
    </font>
    <font>
      <b/>
      <sz val="16"/>
      <color rgb="FF0000FF"/>
      <name val="Algerian"/>
      <family val="5"/>
    </font>
    <font>
      <i/>
      <sz val="14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20"/>
      <color rgb="FF0000FF"/>
      <name val="Arial Black"/>
      <family val="2"/>
    </font>
    <font>
      <b/>
      <sz val="20"/>
      <color theme="3"/>
      <name val="Arial"/>
      <family val="2"/>
    </font>
    <font>
      <b/>
      <sz val="13"/>
      <color theme="1"/>
      <name val="Arial"/>
      <family val="2"/>
    </font>
    <font>
      <b/>
      <sz val="13"/>
      <color rgb="FFFF0000"/>
      <name val="Arial"/>
      <family val="2"/>
    </font>
    <font>
      <b/>
      <sz val="28"/>
      <color rgb="FF0000FF"/>
      <name val="Algerian"/>
      <family val="5"/>
    </font>
    <font>
      <b/>
      <sz val="18"/>
      <color rgb="FF0000FF"/>
      <name val="Arial Black"/>
      <family val="2"/>
    </font>
    <font>
      <b/>
      <sz val="16"/>
      <color rgb="FF0000FF"/>
      <name val="Arial Black"/>
      <family val="2"/>
    </font>
    <font>
      <sz val="18"/>
      <color rgb="FF0000FF"/>
      <name val="Arial Black"/>
      <family val="2"/>
    </font>
    <font>
      <b/>
      <sz val="40"/>
      <color theme="0"/>
      <name val="Algerian"/>
      <family val="5"/>
    </font>
    <font>
      <sz val="22"/>
      <color theme="1"/>
      <name val="Arial"/>
      <family val="2"/>
    </font>
    <font>
      <sz val="26"/>
      <color theme="1"/>
      <name val="Arial"/>
      <family val="2"/>
    </font>
    <font>
      <b/>
      <sz val="40"/>
      <color theme="0"/>
      <name val="Arial Black"/>
      <family val="2"/>
    </font>
    <font>
      <sz val="28"/>
      <color theme="1"/>
      <name val="Arial Black"/>
      <family val="2"/>
    </font>
    <font>
      <b/>
      <sz val="28"/>
      <color theme="0"/>
      <name val="Algerian"/>
      <family val="5"/>
    </font>
    <font>
      <b/>
      <sz val="14"/>
      <color rgb="FFFF0000"/>
      <name val="Arial"/>
      <family val="2"/>
    </font>
    <font>
      <b/>
      <sz val="14"/>
      <name val="Arial"/>
      <family val="2"/>
    </font>
    <font>
      <u/>
      <sz val="14"/>
      <color theme="1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b/>
      <sz val="24"/>
      <color rgb="FF0000FF"/>
      <name val="Algerian"/>
      <family val="5"/>
    </font>
  </fonts>
  <fills count="3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Grid">
        <bgColor theme="9" tint="0.39994506668294322"/>
      </patternFill>
    </fill>
    <fill>
      <patternFill patternType="lightGrid">
        <bgColor theme="7" tint="0.39994506668294322"/>
      </patternFill>
    </fill>
    <fill>
      <patternFill patternType="lightVertical">
        <bgColor theme="7" tint="0.39994506668294322"/>
      </patternFill>
    </fill>
    <fill>
      <patternFill patternType="lightVertical">
        <bgColor theme="4" tint="0.39994506668294322"/>
      </patternFill>
    </fill>
    <fill>
      <patternFill patternType="solid">
        <fgColor theme="1"/>
        <bgColor indexed="64"/>
      </patternFill>
    </fill>
    <fill>
      <patternFill patternType="darkVertical">
        <bgColor rgb="FF92D05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</fills>
  <borders count="2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ck">
        <color rgb="FFFF0000"/>
      </right>
      <top style="medium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medium">
        <color rgb="FFFF0000"/>
      </top>
      <bottom style="thick">
        <color rgb="FFFF0000"/>
      </bottom>
      <diagonal/>
    </border>
    <border>
      <left style="thick">
        <color rgb="FFFF0000"/>
      </left>
      <right style="medium">
        <color rgb="FFFF0000"/>
      </right>
      <top style="medium">
        <color rgb="FFFF0000"/>
      </top>
      <bottom style="thick">
        <color rgb="FFFF0000"/>
      </bottom>
      <diagonal/>
    </border>
    <border>
      <left style="medium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FF0000"/>
      </left>
      <right style="thick">
        <color rgb="FFFF0000"/>
      </right>
      <top style="thick">
        <color rgb="FFFF0000"/>
      </top>
      <bottom style="medium">
        <color rgb="FFFF0000"/>
      </bottom>
      <diagonal/>
    </border>
    <border>
      <left style="medium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medium">
        <color rgb="FFFF0000"/>
      </right>
      <top style="thick">
        <color rgb="FFFF0000"/>
      </top>
      <bottom/>
      <diagonal/>
    </border>
    <border>
      <left style="medium">
        <color rgb="FFFF0000"/>
      </left>
      <right style="thick">
        <color rgb="FFFF0000"/>
      </right>
      <top/>
      <bottom style="medium">
        <color rgb="FFFF0000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ck">
        <color rgb="FF00B050"/>
      </left>
      <right style="thick">
        <color rgb="FF00B050"/>
      </right>
      <top/>
      <bottom style="thick">
        <color rgb="FF00B050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medium">
        <color rgb="FFFF000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medium">
        <color rgb="FFFF0000"/>
      </left>
      <right style="thick">
        <color rgb="FF00B050"/>
      </right>
      <top style="thick">
        <color rgb="FF00B050"/>
      </top>
      <bottom style="medium">
        <color rgb="FFFF0000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medium">
        <color rgb="FFFF0000"/>
      </bottom>
      <diagonal/>
    </border>
    <border>
      <left style="thick">
        <color rgb="FF00B050"/>
      </left>
      <right style="medium">
        <color rgb="FFFF0000"/>
      </right>
      <top style="thick">
        <color rgb="FF00B050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thick">
        <color rgb="FF00B050"/>
      </top>
      <bottom style="thick">
        <color rgb="FF00B050"/>
      </bottom>
      <diagonal/>
    </border>
    <border>
      <left style="medium">
        <color rgb="FFFF0000"/>
      </left>
      <right/>
      <top/>
      <bottom style="thick">
        <color rgb="FF00B05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/>
      <top style="thick">
        <color rgb="FF00B050"/>
      </top>
      <bottom style="thick">
        <color rgb="FF00B050"/>
      </bottom>
      <diagonal/>
    </border>
    <border>
      <left/>
      <right/>
      <top style="thick">
        <color rgb="FF00B050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medium">
        <color rgb="FFFF0000"/>
      </left>
      <right style="thick">
        <color rgb="FF00B0F0"/>
      </right>
      <top style="medium">
        <color rgb="FFFF0000"/>
      </top>
      <bottom style="thick">
        <color rgb="FF00B0F0"/>
      </bottom>
      <diagonal/>
    </border>
    <border>
      <left style="thick">
        <color rgb="FF00B0F0"/>
      </left>
      <right style="thick">
        <color rgb="FF00B0F0"/>
      </right>
      <top style="medium">
        <color rgb="FFFF0000"/>
      </top>
      <bottom style="thick">
        <color rgb="FF00B0F0"/>
      </bottom>
      <diagonal/>
    </border>
    <border>
      <left style="thick">
        <color rgb="FF00B0F0"/>
      </left>
      <right style="medium">
        <color rgb="FFFF0000"/>
      </right>
      <top style="medium">
        <color rgb="FFFF0000"/>
      </top>
      <bottom style="thick">
        <color rgb="FF00B0F0"/>
      </bottom>
      <diagonal/>
    </border>
    <border>
      <left style="medium">
        <color rgb="FFFF0000"/>
      </left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 style="medium">
        <color rgb="FFFF0000"/>
      </top>
      <bottom style="thick">
        <color rgb="FFFF0000"/>
      </bottom>
      <diagonal/>
    </border>
    <border>
      <left/>
      <right style="thick">
        <color rgb="FFFF0000"/>
      </right>
      <top style="medium">
        <color rgb="FFFF0000"/>
      </top>
      <bottom style="thick">
        <color rgb="FFFF0000"/>
      </bottom>
      <diagonal/>
    </border>
    <border>
      <left style="medium">
        <color rgb="FFFF0000"/>
      </left>
      <right style="thick">
        <color rgb="FF00B050"/>
      </right>
      <top style="medium">
        <color rgb="FFFF0000"/>
      </top>
      <bottom style="thick">
        <color rgb="FF00B050"/>
      </bottom>
      <diagonal/>
    </border>
    <border>
      <left style="thick">
        <color rgb="FF00B050"/>
      </left>
      <right style="thick">
        <color rgb="FF00B050"/>
      </right>
      <top style="medium">
        <color rgb="FFFF0000"/>
      </top>
      <bottom style="thick">
        <color rgb="FF00B050"/>
      </bottom>
      <diagonal/>
    </border>
    <border>
      <left style="thick">
        <color rgb="FF92D050"/>
      </left>
      <right style="thick">
        <color rgb="FF92D050"/>
      </right>
      <top style="thick">
        <color rgb="FF92D050"/>
      </top>
      <bottom style="thick">
        <color rgb="FF92D050"/>
      </bottom>
      <diagonal/>
    </border>
    <border>
      <left style="medium">
        <color rgb="FFFF0000"/>
      </left>
      <right style="thick">
        <color rgb="FF92D050"/>
      </right>
      <top style="medium">
        <color rgb="FFFF0000"/>
      </top>
      <bottom style="thick">
        <color rgb="FF92D050"/>
      </bottom>
      <diagonal/>
    </border>
    <border>
      <left style="thick">
        <color rgb="FF92D050"/>
      </left>
      <right style="thick">
        <color rgb="FF92D050"/>
      </right>
      <top style="medium">
        <color rgb="FFFF0000"/>
      </top>
      <bottom style="thick">
        <color rgb="FF92D050"/>
      </bottom>
      <diagonal/>
    </border>
    <border>
      <left style="thick">
        <color rgb="FF92D050"/>
      </left>
      <right style="medium">
        <color rgb="FFFF0000"/>
      </right>
      <top style="medium">
        <color rgb="FFFF0000"/>
      </top>
      <bottom style="thick">
        <color rgb="FF92D050"/>
      </bottom>
      <diagonal/>
    </border>
    <border>
      <left style="medium">
        <color rgb="FFFF0000"/>
      </left>
      <right style="thick">
        <color rgb="FF92D050"/>
      </right>
      <top style="thick">
        <color rgb="FF92D050"/>
      </top>
      <bottom style="thick">
        <color rgb="FF92D050"/>
      </bottom>
      <diagonal/>
    </border>
    <border>
      <left style="thick">
        <color rgb="FF92D050"/>
      </left>
      <right style="medium">
        <color rgb="FFFF0000"/>
      </right>
      <top style="thick">
        <color rgb="FF92D050"/>
      </top>
      <bottom style="thick">
        <color rgb="FF92D050"/>
      </bottom>
      <diagonal/>
    </border>
    <border>
      <left style="medium">
        <color rgb="FFFF0000"/>
      </left>
      <right style="thick">
        <color rgb="FF92D050"/>
      </right>
      <top style="thick">
        <color rgb="FF92D050"/>
      </top>
      <bottom style="medium">
        <color rgb="FFFF0000"/>
      </bottom>
      <diagonal/>
    </border>
    <border>
      <left style="thick">
        <color rgb="FF92D050"/>
      </left>
      <right style="thick">
        <color rgb="FF92D050"/>
      </right>
      <top style="thick">
        <color rgb="FF92D050"/>
      </top>
      <bottom style="medium">
        <color rgb="FFFF0000"/>
      </bottom>
      <diagonal/>
    </border>
    <border>
      <left style="thick">
        <color rgb="FF92D050"/>
      </left>
      <right style="medium">
        <color rgb="FFFF0000"/>
      </right>
      <top style="thick">
        <color rgb="FF92D050"/>
      </top>
      <bottom style="medium">
        <color rgb="FFFF0000"/>
      </bottom>
      <diagonal/>
    </border>
    <border>
      <left style="medium">
        <color rgb="FFFF0000"/>
      </left>
      <right style="thick">
        <color rgb="FF92D050"/>
      </right>
      <top/>
      <bottom style="thick">
        <color rgb="FF92D050"/>
      </bottom>
      <diagonal/>
    </border>
    <border>
      <left style="thick">
        <color rgb="FF92D050"/>
      </left>
      <right style="thick">
        <color rgb="FF92D050"/>
      </right>
      <top/>
      <bottom style="thick">
        <color rgb="FF92D050"/>
      </bottom>
      <diagonal/>
    </border>
    <border>
      <left style="thick">
        <color rgb="FF92D050"/>
      </left>
      <right style="medium">
        <color rgb="FFFF0000"/>
      </right>
      <top/>
      <bottom style="thick">
        <color rgb="FF92D050"/>
      </bottom>
      <diagonal/>
    </border>
    <border>
      <left style="thick">
        <color rgb="FFFF0000"/>
      </left>
      <right style="medium">
        <color rgb="FFFF0000"/>
      </right>
      <top style="thick">
        <color rgb="FFFF0000"/>
      </top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 style="thick">
        <color rgb="FF00B050"/>
      </top>
      <bottom/>
      <diagonal/>
    </border>
    <border>
      <left style="medium">
        <color rgb="FFFF0000"/>
      </left>
      <right style="thick">
        <color rgb="FF92D050"/>
      </right>
      <top style="thick">
        <color rgb="FF92D050"/>
      </top>
      <bottom/>
      <diagonal/>
    </border>
    <border>
      <left style="thick">
        <color rgb="FF92D050"/>
      </left>
      <right style="thick">
        <color rgb="FF92D050"/>
      </right>
      <top style="thick">
        <color rgb="FF92D050"/>
      </top>
      <bottom/>
      <diagonal/>
    </border>
    <border>
      <left style="thick">
        <color rgb="FF92D050"/>
      </left>
      <right style="medium">
        <color rgb="FFFF0000"/>
      </right>
      <top style="thick">
        <color rgb="FF92D05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ck">
        <color rgb="FF00B050"/>
      </left>
      <right style="medium">
        <color rgb="FFFF0000"/>
      </right>
      <top style="medium">
        <color rgb="FFFF0000"/>
      </top>
      <bottom style="thick">
        <color rgb="FF00B050"/>
      </bottom>
      <diagonal/>
    </border>
    <border>
      <left style="thick">
        <color rgb="FF00B050"/>
      </left>
      <right style="medium">
        <color rgb="FFFF0000"/>
      </right>
      <top style="thick">
        <color rgb="FF00B050"/>
      </top>
      <bottom style="thick">
        <color rgb="FF00B05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medium">
        <color rgb="FFFF000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medium">
        <color rgb="FFFF0000"/>
      </right>
      <top style="thick">
        <color rgb="FF00B0F0"/>
      </top>
      <bottom/>
      <diagonal/>
    </border>
    <border>
      <left style="thick">
        <color rgb="FF00B0F0"/>
      </left>
      <right style="thick">
        <color rgb="FF00B0F0"/>
      </right>
      <top style="thick">
        <color rgb="FF00B0F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FF0000"/>
      </left>
      <right style="thick">
        <color rgb="FF00B050"/>
      </right>
      <top/>
      <bottom style="thick">
        <color rgb="FF00B05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FF0000"/>
      </left>
      <right style="thick">
        <color indexed="64"/>
      </right>
      <top style="medium">
        <color rgb="FFFF0000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rgb="FFFF0000"/>
      </top>
      <bottom style="thick">
        <color indexed="64"/>
      </bottom>
      <diagonal/>
    </border>
    <border>
      <left style="thick">
        <color indexed="64"/>
      </left>
      <right style="medium">
        <color rgb="FFFF0000"/>
      </right>
      <top style="medium">
        <color rgb="FFFF0000"/>
      </top>
      <bottom style="thick">
        <color indexed="64"/>
      </bottom>
      <diagonal/>
    </border>
    <border>
      <left style="medium">
        <color rgb="FFFF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rgb="FFFF0000"/>
      </right>
      <top style="thick">
        <color indexed="64"/>
      </top>
      <bottom style="thick">
        <color indexed="64"/>
      </bottom>
      <diagonal/>
    </border>
    <border>
      <left style="medium">
        <color rgb="FFFF0000"/>
      </left>
      <right style="thick">
        <color indexed="64"/>
      </right>
      <top style="thick">
        <color indexed="64"/>
      </top>
      <bottom style="medium">
        <color rgb="FFFF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rgb="FFFF0000"/>
      </bottom>
      <diagonal/>
    </border>
    <border>
      <left style="thick">
        <color indexed="64"/>
      </left>
      <right style="medium">
        <color rgb="FFFF0000"/>
      </right>
      <top style="thick">
        <color indexed="64"/>
      </top>
      <bottom style="medium">
        <color rgb="FFFF0000"/>
      </bottom>
      <diagonal/>
    </border>
    <border>
      <left style="medium">
        <color rgb="FFFF0000"/>
      </left>
      <right style="medium">
        <color rgb="FF00B050"/>
      </right>
      <top style="medium">
        <color rgb="FFFF0000"/>
      </top>
      <bottom style="medium">
        <color rgb="FF00B050"/>
      </bottom>
      <diagonal/>
    </border>
    <border>
      <left style="medium">
        <color rgb="FFFF000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medium">
        <color rgb="FFFF0000"/>
      </right>
      <top style="medium">
        <color rgb="FF00B050"/>
      </top>
      <bottom style="medium">
        <color rgb="FF00B05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thick">
        <color rgb="FF00B0F0"/>
      </left>
      <right style="thick">
        <color rgb="FF00B0F0"/>
      </right>
      <top/>
      <bottom style="thick">
        <color rgb="FF00B0F0"/>
      </bottom>
      <diagonal/>
    </border>
    <border>
      <left style="thick">
        <color rgb="FFFF0000"/>
      </left>
      <right style="thick">
        <color rgb="FFFF0000"/>
      </right>
      <top style="medium">
        <color rgb="FFFF0000"/>
      </top>
      <bottom style="medium">
        <color rgb="FFFF0000"/>
      </bottom>
      <diagonal/>
    </border>
    <border>
      <left style="thick">
        <color rgb="FF00B0F0"/>
      </left>
      <right style="medium">
        <color rgb="FFFF0000"/>
      </right>
      <top style="thick">
        <color rgb="FF00B0F0"/>
      </top>
      <bottom style="thick">
        <color rgb="FF00B0F0"/>
      </bottom>
      <diagonal/>
    </border>
    <border>
      <left style="medium">
        <color rgb="FFFF0000"/>
      </left>
      <right style="thick">
        <color rgb="FF00B0F0"/>
      </right>
      <top style="thick">
        <color rgb="FF00B0F0"/>
      </top>
      <bottom style="medium">
        <color rgb="FFFF0000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 style="medium">
        <color rgb="FFFF0000"/>
      </bottom>
      <diagonal/>
    </border>
    <border>
      <left style="thick">
        <color rgb="FF00B0F0"/>
      </left>
      <right style="medium">
        <color rgb="FFFF0000"/>
      </right>
      <top style="thick">
        <color rgb="FF00B0F0"/>
      </top>
      <bottom style="medium">
        <color rgb="FFFF0000"/>
      </bottom>
      <diagonal/>
    </border>
    <border>
      <left/>
      <right style="thick">
        <color rgb="FF00B0F0"/>
      </right>
      <top style="medium">
        <color rgb="FFFF0000"/>
      </top>
      <bottom style="thick">
        <color rgb="FF00B0F0"/>
      </bottom>
      <diagonal/>
    </border>
    <border>
      <left/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/>
      <right style="thick">
        <color rgb="FF00B0F0"/>
      </right>
      <top style="thick">
        <color rgb="FF00B0F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medium">
        <color rgb="FFFF0000"/>
      </right>
      <top style="medium">
        <color rgb="FF00B050"/>
      </top>
      <bottom/>
      <diagonal/>
    </border>
    <border>
      <left style="medium">
        <color rgb="FFFF0000"/>
      </left>
      <right style="medium">
        <color rgb="FF00B050"/>
      </right>
      <top/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/>
      <bottom style="medium">
        <color rgb="FF00B050"/>
      </bottom>
      <diagonal/>
    </border>
    <border>
      <left style="medium">
        <color rgb="FF00B050"/>
      </left>
      <right style="medium">
        <color rgb="FFFF0000"/>
      </right>
      <top/>
      <bottom style="medium">
        <color rgb="FF00B050"/>
      </bottom>
      <diagonal/>
    </border>
    <border>
      <left style="thick">
        <color rgb="FF00B0F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 style="thick">
        <color rgb="FFFF0000"/>
      </bottom>
      <diagonal/>
    </border>
    <border>
      <left/>
      <right style="medium">
        <color rgb="FFFF0000"/>
      </right>
      <top style="medium">
        <color rgb="FFFF0000"/>
      </top>
      <bottom style="thick">
        <color rgb="FFFF0000"/>
      </bottom>
      <diagonal/>
    </border>
    <border>
      <left style="thick">
        <color rgb="FF00B0F0"/>
      </left>
      <right style="medium">
        <color rgb="FFFF0000"/>
      </right>
      <top/>
      <bottom style="thick">
        <color rgb="FF00B0F0"/>
      </bottom>
      <diagonal/>
    </border>
    <border>
      <left/>
      <right/>
      <top style="medium">
        <color rgb="FFFF0000"/>
      </top>
      <bottom style="thick">
        <color rgb="FFFF0000"/>
      </bottom>
      <diagonal/>
    </border>
    <border>
      <left/>
      <right style="medium">
        <color rgb="FFFF0000"/>
      </right>
      <top style="thick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 style="thick">
        <color rgb="FF00B0F0"/>
      </bottom>
      <diagonal/>
    </border>
    <border>
      <left/>
      <right style="medium">
        <color rgb="FFFF0000"/>
      </right>
      <top/>
      <bottom style="thick">
        <color rgb="FF00B0F0"/>
      </bottom>
      <diagonal/>
    </border>
    <border>
      <left/>
      <right style="medium">
        <color rgb="FFFF0000"/>
      </right>
      <top style="thick">
        <color rgb="FF00B0F0"/>
      </top>
      <bottom/>
      <diagonal/>
    </border>
    <border>
      <left/>
      <right style="medium">
        <color rgb="FFFF0000"/>
      </right>
      <top style="thick">
        <color rgb="FFFF0000"/>
      </top>
      <bottom style="medium">
        <color rgb="FFFF0000"/>
      </bottom>
      <diagonal/>
    </border>
    <border>
      <left style="medium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medium">
        <color rgb="FFFF0000"/>
      </right>
      <top/>
      <bottom/>
      <diagonal/>
    </border>
    <border>
      <left style="thick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thick">
        <color rgb="FF00B0F0"/>
      </left>
      <right/>
      <top style="thick">
        <color rgb="FF00B0F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ck">
        <color rgb="FFFF0000"/>
      </bottom>
      <diagonal/>
    </border>
    <border>
      <left/>
      <right style="thick">
        <color rgb="FF00B0F0"/>
      </right>
      <top/>
      <bottom style="medium">
        <color rgb="FFFF0000"/>
      </bottom>
      <diagonal/>
    </border>
    <border>
      <left style="medium">
        <color rgb="FFFF0000"/>
      </left>
      <right style="thick">
        <color rgb="FF00B0F0"/>
      </right>
      <top/>
      <bottom style="medium">
        <color rgb="FFFF0000"/>
      </bottom>
      <diagonal/>
    </border>
    <border>
      <left style="thick">
        <color rgb="FF00B050"/>
      </left>
      <right/>
      <top style="thick">
        <color rgb="FF00B050"/>
      </top>
      <bottom style="thick">
        <color rgb="FF00B050"/>
      </bottom>
      <diagonal/>
    </border>
    <border>
      <left style="thick">
        <color rgb="FF00B050"/>
      </left>
      <right/>
      <top style="thick">
        <color rgb="FF00B050"/>
      </top>
      <bottom style="medium">
        <color rgb="FFFF0000"/>
      </bottom>
      <diagonal/>
    </border>
    <border>
      <left/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ck">
        <color rgb="FF00B050"/>
      </left>
      <right style="medium">
        <color rgb="FFFF0000"/>
      </right>
      <top/>
      <bottom style="thick">
        <color rgb="FF00B050"/>
      </bottom>
      <diagonal/>
    </border>
    <border>
      <left style="medium">
        <color rgb="FFFF0000"/>
      </left>
      <right/>
      <top style="medium">
        <color rgb="FFFF0000"/>
      </top>
      <bottom style="thick">
        <color rgb="FF00B050"/>
      </bottom>
      <diagonal/>
    </border>
    <border>
      <left style="medium">
        <color rgb="FFFF0000"/>
      </left>
      <right/>
      <top style="thick">
        <color rgb="FF00B050"/>
      </top>
      <bottom style="medium">
        <color rgb="FFFF0000"/>
      </bottom>
      <diagonal/>
    </border>
    <border>
      <left style="medium">
        <color rgb="FFFF0000"/>
      </left>
      <right/>
      <top style="thick">
        <color rgb="FFFF0000"/>
      </top>
      <bottom style="thick">
        <color rgb="FFFF0000"/>
      </bottom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medium">
        <color rgb="FFFF0000"/>
      </left>
      <right style="medium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FF0000"/>
      </left>
      <right style="medium">
        <color rgb="FFFF0000"/>
      </right>
      <top style="thick">
        <color rgb="FFFF0000"/>
      </top>
      <bottom style="medium">
        <color rgb="FFFF0000"/>
      </bottom>
      <diagonal/>
    </border>
    <border>
      <left style="thick">
        <color rgb="FFFF0000"/>
      </left>
      <right/>
      <top style="thick">
        <color rgb="FFFF0000"/>
      </top>
      <bottom style="medium">
        <color rgb="FFFF0000"/>
      </bottom>
      <diagonal/>
    </border>
    <border>
      <left style="thick">
        <color rgb="FF00B0F0"/>
      </left>
      <right/>
      <top style="medium">
        <color rgb="FFFF0000"/>
      </top>
      <bottom style="thick">
        <color rgb="FF00B0F0"/>
      </bottom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medium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thick">
        <color rgb="FFFF0000"/>
      </left>
      <right/>
      <top style="medium">
        <color rgb="FFFF0000"/>
      </top>
      <bottom/>
      <diagonal/>
    </border>
    <border>
      <left style="thick">
        <color rgb="FFFF0000"/>
      </left>
      <right style="thick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 style="thick">
        <color rgb="FFFF0000"/>
      </top>
      <bottom/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thick">
        <color rgb="FFFF0000"/>
      </bottom>
      <diagonal/>
    </border>
    <border>
      <left/>
      <right/>
      <top style="double">
        <color rgb="FFFF0000"/>
      </top>
      <bottom/>
      <diagonal/>
    </border>
    <border>
      <left/>
      <right/>
      <top/>
      <bottom style="double">
        <color rgb="FFFF000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 style="medium">
        <color rgb="FFFF0000"/>
      </left>
      <right/>
      <top style="medium">
        <color rgb="FFFF0000"/>
      </top>
      <bottom style="thick">
        <color rgb="FF00B0F0"/>
      </bottom>
      <diagonal/>
    </border>
    <border>
      <left/>
      <right/>
      <top style="thick">
        <color rgb="FF00B050"/>
      </top>
      <bottom style="medium">
        <color rgb="FFFF0000"/>
      </bottom>
      <diagonal/>
    </border>
    <border>
      <left style="medium">
        <color rgb="FFFF0000"/>
      </left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 style="medium">
        <color rgb="FFFF0000"/>
      </right>
      <top style="thick">
        <color rgb="FF00B050"/>
      </top>
      <bottom/>
      <diagonal/>
    </border>
    <border>
      <left style="medium">
        <color rgb="FFFF0000"/>
      </left>
      <right style="thick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ck">
        <color rgb="FFFF0000"/>
      </right>
      <top/>
      <bottom style="thick">
        <color rgb="FFFF0000"/>
      </bottom>
      <diagonal/>
    </border>
    <border>
      <left style="medium">
        <color rgb="FFFF0000"/>
      </left>
      <right style="thick">
        <color rgb="FFFF0000"/>
      </right>
      <top style="medium">
        <color rgb="FFFF0000"/>
      </top>
      <bottom/>
      <diagonal/>
    </border>
    <border>
      <left style="thick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ck">
        <color rgb="FF00B0F0"/>
      </right>
      <top/>
      <bottom style="thick">
        <color rgb="FF00B0F0"/>
      </bottom>
      <diagonal/>
    </border>
    <border>
      <left style="medium">
        <color rgb="FFFF0000"/>
      </left>
      <right/>
      <top/>
      <bottom style="thick">
        <color rgb="FF00B0F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ck">
        <color rgb="FF00B0F0"/>
      </bottom>
      <diagonal/>
    </border>
    <border>
      <left style="medium">
        <color rgb="FFFF0000"/>
      </left>
      <right style="medium">
        <color rgb="FFFF0000"/>
      </right>
      <top style="thick">
        <color rgb="FF00B0F0"/>
      </top>
      <bottom style="thick">
        <color rgb="FF00B0F0"/>
      </bottom>
      <diagonal/>
    </border>
    <border>
      <left style="thick">
        <color rgb="FF00B0F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thick">
        <color rgb="FF00B0F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theme="4"/>
      </bottom>
      <diagonal/>
    </border>
    <border>
      <left style="thick">
        <color rgb="FF92D050"/>
      </left>
      <right style="thick">
        <color rgb="FF92D050"/>
      </right>
      <top/>
      <bottom style="thin">
        <color indexed="64"/>
      </bottom>
      <diagonal/>
    </border>
    <border>
      <left style="thick">
        <color rgb="FF92D050"/>
      </left>
      <right style="thick">
        <color rgb="FF92D050"/>
      </right>
      <top style="thick">
        <color rgb="FF92D050"/>
      </top>
      <bottom style="thin">
        <color indexed="64"/>
      </bottom>
      <diagonal/>
    </border>
    <border>
      <left style="medium">
        <color indexed="64"/>
      </left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ck">
        <color rgb="FF92D050"/>
      </right>
      <top/>
      <bottom/>
      <diagonal/>
    </border>
    <border>
      <left style="thick">
        <color rgb="FF92D050"/>
      </left>
      <right style="thick">
        <color rgb="FF92D050"/>
      </right>
      <top/>
      <bottom/>
      <diagonal/>
    </border>
    <border>
      <left/>
      <right/>
      <top/>
      <bottom style="thick">
        <color rgb="FF0000FF"/>
      </bottom>
      <diagonal/>
    </border>
  </borders>
  <cellStyleXfs count="5">
    <xf numFmtId="0" fontId="0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83" fillId="0" borderId="206" applyNumberFormat="0" applyFill="0" applyAlignment="0" applyProtection="0"/>
  </cellStyleXfs>
  <cellXfs count="1136">
    <xf numFmtId="0" fontId="0" fillId="0" borderId="0" xfId="0"/>
    <xf numFmtId="0" fontId="10" fillId="0" borderId="0" xfId="0" applyFont="1" applyAlignment="1">
      <alignment horizontal="center"/>
    </xf>
    <xf numFmtId="0" fontId="10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164" fontId="14" fillId="0" borderId="0" xfId="1" applyFont="1"/>
    <xf numFmtId="0" fontId="11" fillId="0" borderId="0" xfId="0" applyFont="1" applyAlignment="1">
      <alignment horizontal="center"/>
    </xf>
    <xf numFmtId="0" fontId="18" fillId="0" borderId="0" xfId="0" applyFont="1"/>
    <xf numFmtId="0" fontId="10" fillId="3" borderId="19" xfId="0" applyFont="1" applyFill="1" applyBorder="1" applyAlignment="1">
      <alignment horizontal="left"/>
    </xf>
    <xf numFmtId="0" fontId="10" fillId="3" borderId="24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left"/>
    </xf>
    <xf numFmtId="0" fontId="10" fillId="3" borderId="15" xfId="0" applyFont="1" applyFill="1" applyBorder="1" applyAlignment="1">
      <alignment horizontal="center"/>
    </xf>
    <xf numFmtId="0" fontId="10" fillId="3" borderId="17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left"/>
    </xf>
    <xf numFmtId="0" fontId="12" fillId="0" borderId="0" xfId="0" applyFont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0" fillId="4" borderId="4" xfId="1" applyNumberFormat="1" applyFont="1" applyFill="1" applyBorder="1"/>
    <xf numFmtId="0" fontId="10" fillId="4" borderId="8" xfId="1" applyNumberFormat="1" applyFont="1" applyFill="1" applyBorder="1"/>
    <xf numFmtId="0" fontId="10" fillId="4" borderId="21" xfId="1" applyNumberFormat="1" applyFont="1" applyFill="1" applyBorder="1"/>
    <xf numFmtId="0" fontId="10" fillId="4" borderId="19" xfId="1" applyNumberFormat="1" applyFont="1" applyFill="1" applyBorder="1"/>
    <xf numFmtId="0" fontId="10" fillId="4" borderId="20" xfId="1" applyNumberFormat="1" applyFont="1" applyFill="1" applyBorder="1"/>
    <xf numFmtId="0" fontId="10" fillId="4" borderId="18" xfId="1" applyNumberFormat="1" applyFont="1" applyFill="1" applyBorder="1"/>
    <xf numFmtId="0" fontId="11" fillId="2" borderId="27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6" fillId="4" borderId="16" xfId="1" applyNumberFormat="1" applyFont="1" applyFill="1" applyBorder="1" applyAlignment="1">
      <alignment horizontal="left"/>
    </xf>
    <xf numFmtId="0" fontId="13" fillId="0" borderId="0" xfId="0" applyFont="1" applyAlignment="1">
      <alignment horizontal="left"/>
    </xf>
    <xf numFmtId="164" fontId="12" fillId="4" borderId="5" xfId="1" applyFont="1" applyFill="1" applyBorder="1" applyAlignment="1">
      <alignment horizontal="left"/>
    </xf>
    <xf numFmtId="164" fontId="12" fillId="4" borderId="9" xfId="1" applyFont="1" applyFill="1" applyBorder="1" applyAlignment="1">
      <alignment horizontal="left"/>
    </xf>
    <xf numFmtId="164" fontId="12" fillId="4" borderId="6" xfId="1" applyFont="1" applyFill="1" applyBorder="1" applyAlignment="1">
      <alignment horizontal="left"/>
    </xf>
    <xf numFmtId="0" fontId="20" fillId="0" borderId="0" xfId="0" applyFont="1" applyAlignment="1">
      <alignment horizontal="center"/>
    </xf>
    <xf numFmtId="0" fontId="21" fillId="2" borderId="22" xfId="0" applyFont="1" applyFill="1" applyBorder="1" applyAlignment="1">
      <alignment horizontal="center"/>
    </xf>
    <xf numFmtId="0" fontId="21" fillId="2" borderId="13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left"/>
    </xf>
    <xf numFmtId="0" fontId="16" fillId="6" borderId="19" xfId="1" applyNumberFormat="1" applyFont="1" applyFill="1" applyBorder="1" applyAlignment="1">
      <alignment horizontal="left"/>
    </xf>
    <xf numFmtId="0" fontId="10" fillId="6" borderId="15" xfId="0" applyFont="1" applyFill="1" applyBorder="1" applyAlignment="1">
      <alignment horizontal="center"/>
    </xf>
    <xf numFmtId="0" fontId="16" fillId="6" borderId="19" xfId="0" applyFont="1" applyFill="1" applyBorder="1" applyAlignment="1">
      <alignment horizontal="left"/>
    </xf>
    <xf numFmtId="0" fontId="11" fillId="7" borderId="10" xfId="0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left"/>
    </xf>
    <xf numFmtId="49" fontId="17" fillId="4" borderId="19" xfId="0" applyNumberFormat="1" applyFont="1" applyFill="1" applyBorder="1" applyAlignment="1">
      <alignment horizontal="left"/>
    </xf>
    <xf numFmtId="49" fontId="22" fillId="4" borderId="19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2" fillId="3" borderId="25" xfId="0" applyFont="1" applyFill="1" applyBorder="1" applyAlignment="1">
      <alignment horizontal="left"/>
    </xf>
    <xf numFmtId="0" fontId="12" fillId="3" borderId="23" xfId="0" applyFont="1" applyFill="1" applyBorder="1" applyAlignment="1">
      <alignment horizontal="left"/>
    </xf>
    <xf numFmtId="0" fontId="12" fillId="3" borderId="26" xfId="0" applyFont="1" applyFill="1" applyBorder="1" applyAlignment="1">
      <alignment horizontal="left"/>
    </xf>
    <xf numFmtId="0" fontId="12" fillId="6" borderId="23" xfId="0" applyFont="1" applyFill="1" applyBorder="1" applyAlignment="1">
      <alignment horizontal="center"/>
    </xf>
    <xf numFmtId="0" fontId="12" fillId="6" borderId="26" xfId="0" applyFont="1" applyFill="1" applyBorder="1" applyAlignment="1">
      <alignment horizontal="center"/>
    </xf>
    <xf numFmtId="0" fontId="12" fillId="6" borderId="25" xfId="0" applyFont="1" applyFill="1" applyBorder="1" applyAlignment="1">
      <alignment horizontal="center"/>
    </xf>
    <xf numFmtId="0" fontId="10" fillId="6" borderId="24" xfId="0" applyFont="1" applyFill="1" applyBorder="1" applyAlignment="1">
      <alignment horizontal="center"/>
    </xf>
    <xf numFmtId="0" fontId="10" fillId="6" borderId="20" xfId="0" applyFont="1" applyFill="1" applyBorder="1" applyAlignment="1">
      <alignment horizontal="left"/>
    </xf>
    <xf numFmtId="0" fontId="16" fillId="6" borderId="20" xfId="0" applyFont="1" applyFill="1" applyBorder="1" applyAlignment="1">
      <alignment horizontal="left"/>
    </xf>
    <xf numFmtId="49" fontId="22" fillId="4" borderId="7" xfId="0" applyNumberFormat="1" applyFont="1" applyFill="1" applyBorder="1" applyAlignment="1">
      <alignment horizontal="left"/>
    </xf>
    <xf numFmtId="0" fontId="16" fillId="4" borderId="20" xfId="0" applyFont="1" applyFill="1" applyBorder="1" applyAlignment="1">
      <alignment horizontal="left"/>
    </xf>
    <xf numFmtId="49" fontId="17" fillId="4" borderId="20" xfId="0" applyNumberFormat="1" applyFont="1" applyFill="1" applyBorder="1" applyAlignment="1">
      <alignment horizontal="left"/>
    </xf>
    <xf numFmtId="49" fontId="22" fillId="4" borderId="20" xfId="0" applyNumberFormat="1" applyFont="1" applyFill="1" applyBorder="1" applyAlignment="1">
      <alignment horizontal="left"/>
    </xf>
    <xf numFmtId="0" fontId="16" fillId="4" borderId="14" xfId="1" applyNumberFormat="1" applyFont="1" applyFill="1" applyBorder="1" applyAlignment="1">
      <alignment horizontal="left"/>
    </xf>
    <xf numFmtId="0" fontId="26" fillId="0" borderId="0" xfId="0" applyFont="1"/>
    <xf numFmtId="0" fontId="25" fillId="10" borderId="28" xfId="0" applyFont="1" applyFill="1" applyBorder="1" applyAlignment="1">
      <alignment horizontal="center"/>
    </xf>
    <xf numFmtId="0" fontId="25" fillId="10" borderId="29" xfId="0" applyFont="1" applyFill="1" applyBorder="1" applyAlignment="1">
      <alignment horizontal="center"/>
    </xf>
    <xf numFmtId="0" fontId="25" fillId="10" borderId="36" xfId="0" applyFont="1" applyFill="1" applyBorder="1" applyAlignment="1">
      <alignment horizontal="center"/>
    </xf>
    <xf numFmtId="0" fontId="26" fillId="12" borderId="0" xfId="0" applyFont="1" applyFill="1"/>
    <xf numFmtId="0" fontId="25" fillId="10" borderId="38" xfId="0" applyFont="1" applyFill="1" applyBorder="1" applyAlignment="1">
      <alignment horizontal="center"/>
    </xf>
    <xf numFmtId="0" fontId="30" fillId="0" borderId="0" xfId="0" applyFont="1"/>
    <xf numFmtId="0" fontId="15" fillId="5" borderId="28" xfId="0" applyFont="1" applyFill="1" applyBorder="1" applyAlignment="1">
      <alignment horizontal="center"/>
    </xf>
    <xf numFmtId="164" fontId="15" fillId="5" borderId="28" xfId="1" applyFont="1" applyFill="1" applyBorder="1" applyAlignment="1">
      <alignment horizontal="center"/>
    </xf>
    <xf numFmtId="1" fontId="25" fillId="5" borderId="28" xfId="0" quotePrefix="1" applyNumberFormat="1" applyFont="1" applyFill="1" applyBorder="1" applyAlignment="1">
      <alignment horizontal="center"/>
    </xf>
    <xf numFmtId="1" fontId="25" fillId="5" borderId="28" xfId="0" applyNumberFormat="1" applyFont="1" applyFill="1" applyBorder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28" fillId="0" borderId="0" xfId="0" applyFont="1" applyAlignment="1">
      <alignment vertical="center"/>
    </xf>
    <xf numFmtId="0" fontId="7" fillId="12" borderId="0" xfId="0" applyFont="1" applyFill="1"/>
    <xf numFmtId="165" fontId="7" fillId="0" borderId="0" xfId="0" applyNumberFormat="1" applyFont="1" applyAlignment="1">
      <alignment horizontal="center"/>
    </xf>
    <xf numFmtId="0" fontId="32" fillId="0" borderId="0" xfId="0" applyFont="1"/>
    <xf numFmtId="0" fontId="29" fillId="12" borderId="49" xfId="0" applyFont="1" applyFill="1" applyBorder="1"/>
    <xf numFmtId="0" fontId="18" fillId="6" borderId="41" xfId="0" applyFont="1" applyFill="1" applyBorder="1"/>
    <xf numFmtId="43" fontId="18" fillId="0" borderId="0" xfId="0" applyNumberFormat="1" applyFont="1"/>
    <xf numFmtId="0" fontId="6" fillId="15" borderId="0" xfId="0" applyFont="1" applyFill="1"/>
    <xf numFmtId="0" fontId="6" fillId="16" borderId="0" xfId="0" applyFont="1" applyFill="1"/>
    <xf numFmtId="0" fontId="6" fillId="17" borderId="0" xfId="0" applyFont="1" applyFill="1"/>
    <xf numFmtId="0" fontId="0" fillId="18" borderId="0" xfId="0" applyFill="1"/>
    <xf numFmtId="0" fontId="5" fillId="0" borderId="0" xfId="0" applyFont="1"/>
    <xf numFmtId="1" fontId="31" fillId="10" borderId="34" xfId="0" applyNumberFormat="1" applyFont="1" applyFill="1" applyBorder="1" applyAlignment="1">
      <alignment horizontal="center"/>
    </xf>
    <xf numFmtId="0" fontId="38" fillId="12" borderId="0" xfId="0" applyFont="1" applyFill="1"/>
    <xf numFmtId="164" fontId="28" fillId="2" borderId="30" xfId="1" applyFont="1" applyFill="1" applyBorder="1" applyAlignment="1">
      <alignment horizontal="center"/>
    </xf>
    <xf numFmtId="0" fontId="29" fillId="12" borderId="0" xfId="0" applyFont="1" applyFill="1"/>
    <xf numFmtId="0" fontId="37" fillId="12" borderId="0" xfId="0" applyFont="1" applyFill="1"/>
    <xf numFmtId="0" fontId="18" fillId="6" borderId="42" xfId="0" applyFont="1" applyFill="1" applyBorder="1"/>
    <xf numFmtId="164" fontId="21" fillId="11" borderId="41" xfId="1" applyFont="1" applyFill="1" applyBorder="1"/>
    <xf numFmtId="164" fontId="17" fillId="13" borderId="42" xfId="1" applyFont="1" applyFill="1" applyBorder="1"/>
    <xf numFmtId="164" fontId="18" fillId="5" borderId="42" xfId="1" applyFont="1" applyFill="1" applyBorder="1"/>
    <xf numFmtId="164" fontId="17" fillId="13" borderId="41" xfId="1" applyFont="1" applyFill="1" applyBorder="1"/>
    <xf numFmtId="164" fontId="18" fillId="5" borderId="41" xfId="1" applyFont="1" applyFill="1" applyBorder="1"/>
    <xf numFmtId="164" fontId="17" fillId="13" borderId="43" xfId="1" applyFont="1" applyFill="1" applyBorder="1"/>
    <xf numFmtId="164" fontId="18" fillId="5" borderId="43" xfId="1" applyFont="1" applyFill="1" applyBorder="1"/>
    <xf numFmtId="0" fontId="28" fillId="9" borderId="28" xfId="0" applyFont="1" applyFill="1" applyBorder="1" applyAlignment="1">
      <alignment horizontal="center"/>
    </xf>
    <xf numFmtId="164" fontId="28" fillId="9" borderId="28" xfId="1" applyFont="1" applyFill="1" applyBorder="1" applyAlignment="1">
      <alignment horizontal="center"/>
    </xf>
    <xf numFmtId="0" fontId="33" fillId="20" borderId="0" xfId="0" applyFont="1" applyFill="1"/>
    <xf numFmtId="0" fontId="24" fillId="5" borderId="28" xfId="0" applyFont="1" applyFill="1" applyBorder="1" applyAlignment="1">
      <alignment horizontal="center" vertical="center" wrapText="1"/>
    </xf>
    <xf numFmtId="0" fontId="28" fillId="9" borderId="13" xfId="0" applyFont="1" applyFill="1" applyBorder="1" applyAlignment="1">
      <alignment horizontal="center"/>
    </xf>
    <xf numFmtId="164" fontId="28" fillId="9" borderId="13" xfId="1" applyFont="1" applyFill="1" applyBorder="1" applyAlignment="1">
      <alignment horizontal="center"/>
    </xf>
    <xf numFmtId="164" fontId="25" fillId="4" borderId="41" xfId="1" applyFont="1" applyFill="1" applyBorder="1"/>
    <xf numFmtId="164" fontId="21" fillId="4" borderId="41" xfId="1" applyFont="1" applyFill="1" applyBorder="1"/>
    <xf numFmtId="0" fontId="11" fillId="5" borderId="2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11" fillId="5" borderId="28" xfId="1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37" fillId="12" borderId="55" xfId="0" applyFont="1" applyFill="1" applyBorder="1"/>
    <xf numFmtId="0" fontId="28" fillId="2" borderId="40" xfId="0" applyFont="1" applyFill="1" applyBorder="1" applyAlignment="1">
      <alignment horizontal="center"/>
    </xf>
    <xf numFmtId="1" fontId="31" fillId="5" borderId="28" xfId="0" applyNumberFormat="1" applyFont="1" applyFill="1" applyBorder="1" applyAlignment="1">
      <alignment horizontal="center" vertical="center"/>
    </xf>
    <xf numFmtId="164" fontId="25" fillId="5" borderId="28" xfId="1" applyFont="1" applyFill="1" applyBorder="1" applyAlignment="1">
      <alignment horizontal="center"/>
    </xf>
    <xf numFmtId="0" fontId="25" fillId="5" borderId="28" xfId="0" applyFont="1" applyFill="1" applyBorder="1" applyAlignment="1">
      <alignment horizontal="center"/>
    </xf>
    <xf numFmtId="0" fontId="32" fillId="0" borderId="0" xfId="0" applyFont="1" applyAlignment="1">
      <alignment vertical="center" wrapText="1"/>
    </xf>
    <xf numFmtId="0" fontId="18" fillId="5" borderId="64" xfId="0" applyFont="1" applyFill="1" applyBorder="1" applyAlignment="1">
      <alignment horizontal="center"/>
    </xf>
    <xf numFmtId="0" fontId="18" fillId="5" borderId="67" xfId="0" applyFont="1" applyFill="1" applyBorder="1" applyAlignment="1">
      <alignment horizontal="center"/>
    </xf>
    <xf numFmtId="10" fontId="10" fillId="0" borderId="0" xfId="2" applyNumberFormat="1" applyFont="1" applyAlignment="1">
      <alignment vertical="center"/>
    </xf>
    <xf numFmtId="0" fontId="10" fillId="0" borderId="0" xfId="0" applyFont="1" applyAlignment="1">
      <alignment vertical="center"/>
    </xf>
    <xf numFmtId="2" fontId="40" fillId="0" borderId="0" xfId="0" applyNumberFormat="1" applyFont="1" applyAlignment="1">
      <alignment vertical="center"/>
    </xf>
    <xf numFmtId="0" fontId="3" fillId="6" borderId="19" xfId="0" applyFont="1" applyFill="1" applyBorder="1" applyAlignment="1">
      <alignment horizontal="left"/>
    </xf>
    <xf numFmtId="43" fontId="7" fillId="0" borderId="0" xfId="0" applyNumberFormat="1" applyFont="1"/>
    <xf numFmtId="0" fontId="18" fillId="6" borderId="41" xfId="0" applyFont="1" applyFill="1" applyBorder="1" applyAlignment="1">
      <alignment horizontal="left" vertical="center" wrapText="1"/>
    </xf>
    <xf numFmtId="0" fontId="2" fillId="0" borderId="0" xfId="0" applyFont="1"/>
    <xf numFmtId="0" fontId="13" fillId="0" borderId="0" xfId="0" applyFont="1" applyAlignment="1">
      <alignment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34" fillId="5" borderId="29" xfId="0" applyFont="1" applyFill="1" applyBorder="1" applyAlignment="1">
      <alignment horizontal="center"/>
    </xf>
    <xf numFmtId="164" fontId="34" fillId="5" borderId="29" xfId="1" applyFont="1" applyFill="1" applyBorder="1" applyAlignment="1">
      <alignment horizontal="center"/>
    </xf>
    <xf numFmtId="0" fontId="28" fillId="9" borderId="28" xfId="0" applyFont="1" applyFill="1" applyBorder="1" applyAlignment="1">
      <alignment horizontal="center" vertical="center"/>
    </xf>
    <xf numFmtId="164" fontId="28" fillId="9" borderId="28" xfId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164" fontId="28" fillId="2" borderId="30" xfId="1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164" fontId="18" fillId="4" borderId="72" xfId="1" applyFont="1" applyFill="1" applyBorder="1" applyAlignment="1">
      <alignment vertical="center"/>
    </xf>
    <xf numFmtId="0" fontId="18" fillId="6" borderId="46" xfId="0" applyFont="1" applyFill="1" applyBorder="1" applyAlignment="1">
      <alignment horizontal="center"/>
    </xf>
    <xf numFmtId="0" fontId="18" fillId="6" borderId="47" xfId="0" applyFont="1" applyFill="1" applyBorder="1" applyAlignment="1">
      <alignment horizontal="left"/>
    </xf>
    <xf numFmtId="164" fontId="24" fillId="5" borderId="47" xfId="1" applyFont="1" applyFill="1" applyBorder="1"/>
    <xf numFmtId="164" fontId="18" fillId="4" borderId="47" xfId="1" applyFont="1" applyFill="1" applyBorder="1"/>
    <xf numFmtId="164" fontId="18" fillId="4" borderId="48" xfId="1" applyFont="1" applyFill="1" applyBorder="1"/>
    <xf numFmtId="0" fontId="18" fillId="6" borderId="79" xfId="0" applyFont="1" applyFill="1" applyBorder="1" applyAlignment="1">
      <alignment horizontal="center"/>
    </xf>
    <xf numFmtId="0" fontId="18" fillId="6" borderId="80" xfId="0" applyFont="1" applyFill="1" applyBorder="1" applyAlignment="1">
      <alignment horizontal="left"/>
    </xf>
    <xf numFmtId="0" fontId="25" fillId="8" borderId="36" xfId="0" applyFont="1" applyFill="1" applyBorder="1" applyAlignment="1">
      <alignment horizontal="center"/>
    </xf>
    <xf numFmtId="0" fontId="25" fillId="8" borderId="28" xfId="0" applyFont="1" applyFill="1" applyBorder="1" applyAlignment="1">
      <alignment horizontal="center"/>
    </xf>
    <xf numFmtId="1" fontId="31" fillId="8" borderId="34" xfId="0" applyNumberFormat="1" applyFont="1" applyFill="1" applyBorder="1" applyAlignment="1">
      <alignment horizontal="center"/>
    </xf>
    <xf numFmtId="0" fontId="25" fillId="8" borderId="38" xfId="0" applyFont="1" applyFill="1" applyBorder="1" applyAlignment="1">
      <alignment horizontal="center"/>
    </xf>
    <xf numFmtId="0" fontId="25" fillId="8" borderId="29" xfId="0" applyFont="1" applyFill="1" applyBorder="1" applyAlignment="1">
      <alignment horizontal="center"/>
    </xf>
    <xf numFmtId="0" fontId="25" fillId="6" borderId="38" xfId="0" applyFont="1" applyFill="1" applyBorder="1" applyAlignment="1">
      <alignment horizontal="center"/>
    </xf>
    <xf numFmtId="0" fontId="25" fillId="6" borderId="29" xfId="0" applyFont="1" applyFill="1" applyBorder="1" applyAlignment="1">
      <alignment horizontal="center"/>
    </xf>
    <xf numFmtId="0" fontId="25" fillId="6" borderId="39" xfId="0" applyFont="1" applyFill="1" applyBorder="1" applyAlignment="1">
      <alignment horizontal="center"/>
    </xf>
    <xf numFmtId="0" fontId="10" fillId="6" borderId="79" xfId="0" applyFont="1" applyFill="1" applyBorder="1" applyAlignment="1">
      <alignment horizontal="center"/>
    </xf>
    <xf numFmtId="0" fontId="10" fillId="6" borderId="80" xfId="0" applyFont="1" applyFill="1" applyBorder="1" applyAlignment="1">
      <alignment horizontal="left"/>
    </xf>
    <xf numFmtId="0" fontId="34" fillId="10" borderId="29" xfId="0" applyFont="1" applyFill="1" applyBorder="1" applyAlignment="1">
      <alignment horizontal="center"/>
    </xf>
    <xf numFmtId="164" fontId="10" fillId="23" borderId="80" xfId="1" applyFont="1" applyFill="1" applyBorder="1" applyAlignment="1">
      <alignment vertical="center"/>
    </xf>
    <xf numFmtId="164" fontId="18" fillId="23" borderId="83" xfId="1" applyFont="1" applyFill="1" applyBorder="1" applyAlignment="1">
      <alignment vertical="center"/>
    </xf>
    <xf numFmtId="164" fontId="18" fillId="23" borderId="84" xfId="1" applyFont="1" applyFill="1" applyBorder="1" applyAlignment="1">
      <alignment vertical="center"/>
    </xf>
    <xf numFmtId="164" fontId="18" fillId="23" borderId="73" xfId="1" applyFont="1" applyFill="1" applyBorder="1" applyAlignment="1">
      <alignment vertical="center"/>
    </xf>
    <xf numFmtId="164" fontId="18" fillId="23" borderId="78" xfId="1" applyFont="1" applyFill="1" applyBorder="1" applyAlignment="1">
      <alignment vertical="center"/>
    </xf>
    <xf numFmtId="164" fontId="18" fillId="23" borderId="80" xfId="1" applyFont="1" applyFill="1" applyBorder="1" applyAlignment="1">
      <alignment vertical="center"/>
    </xf>
    <xf numFmtId="164" fontId="18" fillId="23" borderId="81" xfId="1" applyFont="1" applyFill="1" applyBorder="1" applyAlignment="1">
      <alignment vertical="center"/>
    </xf>
    <xf numFmtId="0" fontId="23" fillId="0" borderId="0" xfId="0" applyFont="1"/>
    <xf numFmtId="164" fontId="25" fillId="6" borderId="83" xfId="1" applyFont="1" applyFill="1" applyBorder="1" applyAlignment="1">
      <alignment vertical="center"/>
    </xf>
    <xf numFmtId="164" fontId="25" fillId="6" borderId="73" xfId="1" applyFont="1" applyFill="1" applyBorder="1" applyAlignment="1">
      <alignment vertical="center"/>
    </xf>
    <xf numFmtId="164" fontId="25" fillId="6" borderId="80" xfId="1" applyFont="1" applyFill="1" applyBorder="1" applyAlignment="1">
      <alignment vertical="center"/>
    </xf>
    <xf numFmtId="164" fontId="25" fillId="6" borderId="75" xfId="1" applyFont="1" applyFill="1" applyBorder="1" applyAlignment="1">
      <alignment vertical="center"/>
    </xf>
    <xf numFmtId="164" fontId="26" fillId="22" borderId="73" xfId="1" applyFont="1" applyFill="1" applyBorder="1" applyAlignment="1">
      <alignment vertical="center"/>
    </xf>
    <xf numFmtId="164" fontId="26" fillId="22" borderId="73" xfId="1" applyFont="1" applyFill="1" applyBorder="1"/>
    <xf numFmtId="164" fontId="26" fillId="22" borderId="75" xfId="1" applyFont="1" applyFill="1" applyBorder="1" applyAlignment="1">
      <alignment vertical="center"/>
    </xf>
    <xf numFmtId="164" fontId="26" fillId="22" borderId="76" xfId="1" applyFont="1" applyFill="1" applyBorder="1" applyAlignment="1">
      <alignment vertical="center"/>
    </xf>
    <xf numFmtId="164" fontId="26" fillId="22" borderId="78" xfId="1" applyFont="1" applyFill="1" applyBorder="1" applyAlignment="1">
      <alignment vertical="center"/>
    </xf>
    <xf numFmtId="164" fontId="26" fillId="22" borderId="80" xfId="1" applyFont="1" applyFill="1" applyBorder="1" applyAlignment="1">
      <alignment vertical="center"/>
    </xf>
    <xf numFmtId="164" fontId="26" fillId="22" borderId="81" xfId="1" applyFont="1" applyFill="1" applyBorder="1" applyAlignment="1">
      <alignment vertical="center"/>
    </xf>
    <xf numFmtId="164" fontId="26" fillId="22" borderId="75" xfId="1" applyFont="1" applyFill="1" applyBorder="1"/>
    <xf numFmtId="164" fontId="26" fillId="22" borderId="76" xfId="1" applyFont="1" applyFill="1" applyBorder="1"/>
    <xf numFmtId="164" fontId="26" fillId="22" borderId="78" xfId="1" applyFont="1" applyFill="1" applyBorder="1"/>
    <xf numFmtId="164" fontId="26" fillId="22" borderId="80" xfId="1" applyFont="1" applyFill="1" applyBorder="1"/>
    <xf numFmtId="164" fontId="26" fillId="22" borderId="81" xfId="1" applyFont="1" applyFill="1" applyBorder="1"/>
    <xf numFmtId="0" fontId="25" fillId="6" borderId="36" xfId="0" applyFont="1" applyFill="1" applyBorder="1" applyAlignment="1">
      <alignment horizontal="center"/>
    </xf>
    <xf numFmtId="17" fontId="34" fillId="6" borderId="34" xfId="0" applyNumberFormat="1" applyFont="1" applyFill="1" applyBorder="1" applyAlignment="1">
      <alignment horizontal="center"/>
    </xf>
    <xf numFmtId="164" fontId="34" fillId="5" borderId="75" xfId="1" applyFont="1" applyFill="1" applyBorder="1" applyAlignment="1">
      <alignment vertical="center"/>
    </xf>
    <xf numFmtId="164" fontId="34" fillId="5" borderId="73" xfId="1" applyFont="1" applyFill="1" applyBorder="1" applyAlignment="1">
      <alignment vertical="center"/>
    </xf>
    <xf numFmtId="0" fontId="18" fillId="5" borderId="73" xfId="0" applyFont="1" applyFill="1" applyBorder="1" applyAlignment="1">
      <alignment horizontal="left" vertical="center"/>
    </xf>
    <xf numFmtId="0" fontId="7" fillId="5" borderId="77" xfId="0" applyFont="1" applyFill="1" applyBorder="1" applyAlignment="1">
      <alignment horizontal="center" vertical="center"/>
    </xf>
    <xf numFmtId="0" fontId="7" fillId="5" borderId="79" xfId="0" applyFont="1" applyFill="1" applyBorder="1" applyAlignment="1">
      <alignment horizontal="center" vertical="center"/>
    </xf>
    <xf numFmtId="0" fontId="18" fillId="5" borderId="80" xfId="0" applyFont="1" applyFill="1" applyBorder="1" applyAlignment="1">
      <alignment horizontal="left" vertical="center"/>
    </xf>
    <xf numFmtId="164" fontId="34" fillId="5" borderId="80" xfId="1" applyFont="1" applyFill="1" applyBorder="1" applyAlignment="1">
      <alignment vertical="center"/>
    </xf>
    <xf numFmtId="0" fontId="7" fillId="5" borderId="79" xfId="0" applyFont="1" applyFill="1" applyBorder="1" applyAlignment="1">
      <alignment horizontal="center"/>
    </xf>
    <xf numFmtId="0" fontId="18" fillId="5" borderId="80" xfId="0" applyFont="1" applyFill="1" applyBorder="1" applyAlignment="1">
      <alignment horizontal="left"/>
    </xf>
    <xf numFmtId="164" fontId="10" fillId="0" borderId="0" xfId="0" applyNumberFormat="1" applyFont="1"/>
    <xf numFmtId="164" fontId="34" fillId="22" borderId="30" xfId="1" applyFont="1" applyFill="1" applyBorder="1"/>
    <xf numFmtId="0" fontId="18" fillId="5" borderId="88" xfId="0" applyFont="1" applyFill="1" applyBorder="1" applyAlignment="1">
      <alignment horizontal="center"/>
    </xf>
    <xf numFmtId="0" fontId="18" fillId="5" borderId="89" xfId="0" applyFont="1" applyFill="1" applyBorder="1" applyAlignment="1">
      <alignment horizontal="left"/>
    </xf>
    <xf numFmtId="164" fontId="34" fillId="5" borderId="89" xfId="1" applyFont="1" applyFill="1" applyBorder="1" applyAlignment="1">
      <alignment vertical="center"/>
    </xf>
    <xf numFmtId="164" fontId="26" fillId="22" borderId="89" xfId="1" applyFont="1" applyFill="1" applyBorder="1" applyAlignment="1">
      <alignment vertical="center"/>
    </xf>
    <xf numFmtId="164" fontId="26" fillId="22" borderId="90" xfId="1" applyFont="1" applyFill="1" applyBorder="1" applyAlignment="1">
      <alignment vertical="center"/>
    </xf>
    <xf numFmtId="168" fontId="18" fillId="6" borderId="42" xfId="0" applyNumberFormat="1" applyFont="1" applyFill="1" applyBorder="1" applyAlignment="1">
      <alignment horizontal="center"/>
    </xf>
    <xf numFmtId="168" fontId="18" fillId="6" borderId="41" xfId="0" applyNumberFormat="1" applyFont="1" applyFill="1" applyBorder="1" applyAlignment="1">
      <alignment horizontal="center"/>
    </xf>
    <xf numFmtId="168" fontId="18" fillId="6" borderId="43" xfId="0" applyNumberFormat="1" applyFont="1" applyFill="1" applyBorder="1" applyAlignment="1">
      <alignment horizontal="center"/>
    </xf>
    <xf numFmtId="164" fontId="25" fillId="5" borderId="75" xfId="1" applyFont="1" applyFill="1" applyBorder="1" applyAlignment="1">
      <alignment vertical="center"/>
    </xf>
    <xf numFmtId="164" fontId="26" fillId="10" borderId="75" xfId="1" applyFont="1" applyFill="1" applyBorder="1" applyAlignment="1">
      <alignment vertical="center"/>
    </xf>
    <xf numFmtId="164" fontId="26" fillId="10" borderId="75" xfId="1" applyFont="1" applyFill="1" applyBorder="1"/>
    <xf numFmtId="164" fontId="26" fillId="10" borderId="76" xfId="1" applyFont="1" applyFill="1" applyBorder="1"/>
    <xf numFmtId="164" fontId="25" fillId="5" borderId="73" xfId="1" applyFont="1" applyFill="1" applyBorder="1" applyAlignment="1">
      <alignment vertical="center"/>
    </xf>
    <xf numFmtId="164" fontId="26" fillId="10" borderId="73" xfId="1" applyFont="1" applyFill="1" applyBorder="1" applyAlignment="1">
      <alignment vertical="center"/>
    </xf>
    <xf numFmtId="164" fontId="26" fillId="10" borderId="73" xfId="1" applyFont="1" applyFill="1" applyBorder="1"/>
    <xf numFmtId="164" fontId="26" fillId="10" borderId="78" xfId="1" applyFont="1" applyFill="1" applyBorder="1"/>
    <xf numFmtId="164" fontId="25" fillId="5" borderId="80" xfId="1" applyFont="1" applyFill="1" applyBorder="1"/>
    <xf numFmtId="164" fontId="26" fillId="10" borderId="80" xfId="1" applyFont="1" applyFill="1" applyBorder="1"/>
    <xf numFmtId="164" fontId="26" fillId="10" borderId="81" xfId="1" applyFont="1" applyFill="1" applyBorder="1"/>
    <xf numFmtId="164" fontId="28" fillId="0" borderId="0" xfId="0" applyNumberFormat="1" applyFont="1"/>
    <xf numFmtId="0" fontId="16" fillId="0" borderId="0" xfId="0" applyFont="1"/>
    <xf numFmtId="0" fontId="1" fillId="0" borderId="0" xfId="0" applyFont="1"/>
    <xf numFmtId="0" fontId="25" fillId="5" borderId="28" xfId="0" applyFont="1" applyFill="1" applyBorder="1" applyAlignment="1">
      <alignment horizontal="center" vertical="center" wrapText="1"/>
    </xf>
    <xf numFmtId="164" fontId="45" fillId="10" borderId="41" xfId="1" applyFont="1" applyFill="1" applyBorder="1"/>
    <xf numFmtId="164" fontId="48" fillId="11" borderId="42" xfId="1" applyFont="1" applyFill="1" applyBorder="1" applyAlignment="1">
      <alignment vertical="center"/>
    </xf>
    <xf numFmtId="164" fontId="50" fillId="11" borderId="42" xfId="1" applyFont="1" applyFill="1" applyBorder="1" applyAlignment="1">
      <alignment vertical="center"/>
    </xf>
    <xf numFmtId="164" fontId="51" fillId="13" borderId="42" xfId="1" applyFont="1" applyFill="1" applyBorder="1" applyAlignment="1">
      <alignment vertical="center"/>
    </xf>
    <xf numFmtId="164" fontId="47" fillId="5" borderId="42" xfId="1" applyFont="1" applyFill="1" applyBorder="1" applyAlignment="1">
      <alignment vertical="center"/>
    </xf>
    <xf numFmtId="164" fontId="48" fillId="11" borderId="41" xfId="1" applyFont="1" applyFill="1" applyBorder="1" applyAlignment="1">
      <alignment vertical="center"/>
    </xf>
    <xf numFmtId="164" fontId="49" fillId="11" borderId="41" xfId="1" applyFont="1" applyFill="1" applyBorder="1" applyAlignment="1">
      <alignment vertical="center"/>
    </xf>
    <xf numFmtId="164" fontId="50" fillId="11" borderId="41" xfId="1" applyFont="1" applyFill="1" applyBorder="1" applyAlignment="1">
      <alignment vertical="center"/>
    </xf>
    <xf numFmtId="164" fontId="51" fillId="13" borderId="41" xfId="1" applyFont="1" applyFill="1" applyBorder="1" applyAlignment="1">
      <alignment vertical="center"/>
    </xf>
    <xf numFmtId="164" fontId="47" fillId="5" borderId="41" xfId="1" applyFont="1" applyFill="1" applyBorder="1" applyAlignment="1">
      <alignment vertical="center"/>
    </xf>
    <xf numFmtId="168" fontId="47" fillId="6" borderId="43" xfId="0" applyNumberFormat="1" applyFont="1" applyFill="1" applyBorder="1" applyAlignment="1">
      <alignment horizontal="center" vertical="center"/>
    </xf>
    <xf numFmtId="0" fontId="47" fillId="6" borderId="43" xfId="0" applyFont="1" applyFill="1" applyBorder="1" applyAlignment="1">
      <alignment vertical="center"/>
    </xf>
    <xf numFmtId="164" fontId="51" fillId="13" borderId="43" xfId="1" applyFont="1" applyFill="1" applyBorder="1" applyAlignment="1">
      <alignment vertical="center"/>
    </xf>
    <xf numFmtId="164" fontId="47" fillId="5" borderId="43" xfId="1" applyFont="1" applyFill="1" applyBorder="1" applyAlignment="1">
      <alignment vertical="center"/>
    </xf>
    <xf numFmtId="164" fontId="18" fillId="0" borderId="0" xfId="1" applyFont="1"/>
    <xf numFmtId="0" fontId="18" fillId="5" borderId="95" xfId="0" applyFont="1" applyFill="1" applyBorder="1" applyAlignment="1">
      <alignment horizontal="center"/>
    </xf>
    <xf numFmtId="164" fontId="25" fillId="5" borderId="28" xfId="1" applyFont="1" applyFill="1" applyBorder="1" applyAlignment="1">
      <alignment horizontal="center" vertical="center" wrapText="1"/>
    </xf>
    <xf numFmtId="164" fontId="52" fillId="0" borderId="0" xfId="1" applyFont="1"/>
    <xf numFmtId="164" fontId="14" fillId="0" borderId="0" xfId="0" applyNumberFormat="1" applyFont="1"/>
    <xf numFmtId="0" fontId="28" fillId="2" borderId="31" xfId="0" applyFont="1" applyFill="1" applyBorder="1" applyAlignment="1">
      <alignment horizontal="center"/>
    </xf>
    <xf numFmtId="0" fontId="26" fillId="6" borderId="82" xfId="0" applyFont="1" applyFill="1" applyBorder="1" applyAlignment="1">
      <alignment horizontal="center" vertical="center"/>
    </xf>
    <xf numFmtId="0" fontId="26" fillId="6" borderId="83" xfId="0" applyFont="1" applyFill="1" applyBorder="1" applyAlignment="1">
      <alignment horizontal="left" vertical="center"/>
    </xf>
    <xf numFmtId="0" fontId="26" fillId="6" borderId="77" xfId="0" applyFont="1" applyFill="1" applyBorder="1" applyAlignment="1">
      <alignment horizontal="center" vertical="center"/>
    </xf>
    <xf numFmtId="0" fontId="26" fillId="6" borderId="73" xfId="0" applyFont="1" applyFill="1" applyBorder="1" applyAlignment="1">
      <alignment horizontal="left" vertical="center"/>
    </xf>
    <xf numFmtId="0" fontId="39" fillId="6" borderId="73" xfId="1" applyNumberFormat="1" applyFont="1" applyFill="1" applyBorder="1" applyAlignment="1">
      <alignment horizontal="left" vertical="center"/>
    </xf>
    <xf numFmtId="0" fontId="26" fillId="6" borderId="79" xfId="0" applyFont="1" applyFill="1" applyBorder="1" applyAlignment="1">
      <alignment horizontal="center" vertical="center"/>
    </xf>
    <xf numFmtId="0" fontId="26" fillId="6" borderId="80" xfId="0" applyFont="1" applyFill="1" applyBorder="1" applyAlignment="1">
      <alignment horizontal="left" vertical="center"/>
    </xf>
    <xf numFmtId="164" fontId="26" fillId="23" borderId="83" xfId="1" applyFont="1" applyFill="1" applyBorder="1" applyAlignment="1">
      <alignment vertical="center"/>
    </xf>
    <xf numFmtId="164" fontId="26" fillId="23" borderId="73" xfId="1" applyFont="1" applyFill="1" applyBorder="1" applyAlignment="1">
      <alignment vertical="center"/>
    </xf>
    <xf numFmtId="164" fontId="26" fillId="23" borderId="80" xfId="1" applyFont="1" applyFill="1" applyBorder="1" applyAlignment="1">
      <alignment vertical="center"/>
    </xf>
    <xf numFmtId="0" fontId="32" fillId="12" borderId="0" xfId="0" applyFont="1" applyFill="1"/>
    <xf numFmtId="164" fontId="34" fillId="2" borderId="30" xfId="1" applyFont="1" applyFill="1" applyBorder="1" applyAlignment="1">
      <alignment horizontal="center"/>
    </xf>
    <xf numFmtId="0" fontId="34" fillId="2" borderId="28" xfId="0" applyFont="1" applyFill="1" applyBorder="1" applyAlignment="1">
      <alignment horizontal="center"/>
    </xf>
    <xf numFmtId="0" fontId="26" fillId="6" borderId="74" xfId="0" applyFont="1" applyFill="1" applyBorder="1" applyAlignment="1">
      <alignment horizontal="center"/>
    </xf>
    <xf numFmtId="0" fontId="26" fillId="6" borderId="75" xfId="0" applyFont="1" applyFill="1" applyBorder="1" applyAlignment="1">
      <alignment horizontal="left"/>
    </xf>
    <xf numFmtId="0" fontId="26" fillId="6" borderId="73" xfId="0" applyFont="1" applyFill="1" applyBorder="1" applyAlignment="1">
      <alignment horizontal="left"/>
    </xf>
    <xf numFmtId="0" fontId="39" fillId="6" borderId="73" xfId="1" applyNumberFormat="1" applyFont="1" applyFill="1" applyBorder="1" applyAlignment="1">
      <alignment horizontal="left"/>
    </xf>
    <xf numFmtId="164" fontId="26" fillId="23" borderId="75" xfId="1" applyFont="1" applyFill="1" applyBorder="1" applyAlignment="1">
      <alignment vertical="center"/>
    </xf>
    <xf numFmtId="0" fontId="26" fillId="6" borderId="75" xfId="0" applyFont="1" applyFill="1" applyBorder="1" applyAlignment="1">
      <alignment horizontal="left" vertical="center"/>
    </xf>
    <xf numFmtId="0" fontId="26" fillId="6" borderId="71" xfId="0" applyFont="1" applyFill="1" applyBorder="1" applyAlignment="1">
      <alignment horizontal="center"/>
    </xf>
    <xf numFmtId="0" fontId="26" fillId="6" borderId="72" xfId="0" applyFont="1" applyFill="1" applyBorder="1" applyAlignment="1">
      <alignment horizontal="left" vertical="center"/>
    </xf>
    <xf numFmtId="164" fontId="25" fillId="5" borderId="72" xfId="1" applyFont="1" applyFill="1" applyBorder="1" applyAlignment="1">
      <alignment vertical="center"/>
    </xf>
    <xf numFmtId="164" fontId="26" fillId="4" borderId="72" xfId="1" applyFont="1" applyFill="1" applyBorder="1" applyAlignment="1">
      <alignment vertical="center"/>
    </xf>
    <xf numFmtId="0" fontId="26" fillId="6" borderId="41" xfId="0" applyFont="1" applyFill="1" applyBorder="1" applyAlignment="1">
      <alignment horizontal="left" vertical="center"/>
    </xf>
    <xf numFmtId="164" fontId="25" fillId="5" borderId="41" xfId="1" applyFont="1" applyFill="1" applyBorder="1" applyAlignment="1">
      <alignment vertical="center"/>
    </xf>
    <xf numFmtId="0" fontId="39" fillId="6" borderId="41" xfId="1" applyNumberFormat="1" applyFont="1" applyFill="1" applyBorder="1" applyAlignment="1">
      <alignment horizontal="left" vertical="center"/>
    </xf>
    <xf numFmtId="0" fontId="26" fillId="5" borderId="74" xfId="0" applyFont="1" applyFill="1" applyBorder="1" applyAlignment="1">
      <alignment horizontal="center"/>
    </xf>
    <xf numFmtId="0" fontId="26" fillId="5" borderId="75" xfId="0" applyFont="1" applyFill="1" applyBorder="1" applyAlignment="1">
      <alignment horizontal="left"/>
    </xf>
    <xf numFmtId="164" fontId="25" fillId="5" borderId="75" xfId="1" applyFont="1" applyFill="1" applyBorder="1"/>
    <xf numFmtId="0" fontId="26" fillId="5" borderId="77" xfId="0" applyFont="1" applyFill="1" applyBorder="1" applyAlignment="1">
      <alignment horizontal="center"/>
    </xf>
    <xf numFmtId="0" fontId="26" fillId="5" borderId="73" xfId="0" applyFont="1" applyFill="1" applyBorder="1" applyAlignment="1">
      <alignment horizontal="left"/>
    </xf>
    <xf numFmtId="164" fontId="25" fillId="5" borderId="73" xfId="1" applyFont="1" applyFill="1" applyBorder="1"/>
    <xf numFmtId="0" fontId="39" fillId="5" borderId="73" xfId="1" applyNumberFormat="1" applyFont="1" applyFill="1" applyBorder="1" applyAlignment="1">
      <alignment horizontal="left"/>
    </xf>
    <xf numFmtId="0" fontId="26" fillId="5" borderId="79" xfId="0" applyFont="1" applyFill="1" applyBorder="1" applyAlignment="1">
      <alignment horizontal="center"/>
    </xf>
    <xf numFmtId="0" fontId="26" fillId="5" borderId="80" xfId="0" applyFont="1" applyFill="1" applyBorder="1" applyAlignment="1">
      <alignment horizontal="left"/>
    </xf>
    <xf numFmtId="0" fontId="26" fillId="5" borderId="77" xfId="0" applyFont="1" applyFill="1" applyBorder="1" applyAlignment="1">
      <alignment horizontal="center" vertical="center"/>
    </xf>
    <xf numFmtId="0" fontId="26" fillId="5" borderId="73" xfId="0" applyFont="1" applyFill="1" applyBorder="1" applyAlignment="1">
      <alignment horizontal="left" vertical="center"/>
    </xf>
    <xf numFmtId="0" fontId="26" fillId="5" borderId="74" xfId="0" applyFont="1" applyFill="1" applyBorder="1" applyAlignment="1">
      <alignment horizontal="center" vertical="center"/>
    </xf>
    <xf numFmtId="0" fontId="26" fillId="5" borderId="75" xfId="0" applyFont="1" applyFill="1" applyBorder="1" applyAlignment="1">
      <alignment horizontal="left" vertical="center"/>
    </xf>
    <xf numFmtId="0" fontId="39" fillId="5" borderId="73" xfId="1" applyNumberFormat="1" applyFont="1" applyFill="1" applyBorder="1" applyAlignment="1">
      <alignment horizontal="left" vertical="center"/>
    </xf>
    <xf numFmtId="0" fontId="21" fillId="10" borderId="1" xfId="0" applyFont="1" applyFill="1" applyBorder="1" applyAlignment="1">
      <alignment horizontal="center"/>
    </xf>
    <xf numFmtId="0" fontId="10" fillId="6" borderId="98" xfId="0" applyFont="1" applyFill="1" applyBorder="1" applyAlignment="1">
      <alignment horizontal="center"/>
    </xf>
    <xf numFmtId="0" fontId="10" fillId="6" borderId="99" xfId="0" applyFont="1" applyFill="1" applyBorder="1" applyAlignment="1">
      <alignment horizontal="left"/>
    </xf>
    <xf numFmtId="0" fontId="16" fillId="6" borderId="99" xfId="0" applyFont="1" applyFill="1" applyBorder="1" applyAlignment="1">
      <alignment horizontal="left"/>
    </xf>
    <xf numFmtId="0" fontId="16" fillId="4" borderId="99" xfId="0" applyFont="1" applyFill="1" applyBorder="1" applyAlignment="1">
      <alignment horizontal="left"/>
    </xf>
    <xf numFmtId="49" fontId="17" fillId="4" borderId="99" xfId="0" applyNumberFormat="1" applyFont="1" applyFill="1" applyBorder="1" applyAlignment="1">
      <alignment horizontal="left"/>
    </xf>
    <xf numFmtId="49" fontId="22" fillId="4" borderId="99" xfId="0" applyNumberFormat="1" applyFont="1" applyFill="1" applyBorder="1" applyAlignment="1">
      <alignment horizontal="left"/>
    </xf>
    <xf numFmtId="0" fontId="16" fillId="4" borderId="100" xfId="1" applyNumberFormat="1" applyFont="1" applyFill="1" applyBorder="1" applyAlignment="1">
      <alignment horizontal="left"/>
    </xf>
    <xf numFmtId="0" fontId="21" fillId="10" borderId="3" xfId="0" applyFont="1" applyFill="1" applyBorder="1" applyAlignment="1">
      <alignment horizontal="center"/>
    </xf>
    <xf numFmtId="0" fontId="26" fillId="6" borderId="82" xfId="0" applyFont="1" applyFill="1" applyBorder="1" applyAlignment="1">
      <alignment horizontal="center"/>
    </xf>
    <xf numFmtId="0" fontId="26" fillId="6" borderId="83" xfId="0" applyFont="1" applyFill="1" applyBorder="1" applyAlignment="1">
      <alignment horizontal="left"/>
    </xf>
    <xf numFmtId="164" fontId="26" fillId="10" borderId="83" xfId="1" applyFont="1" applyFill="1" applyBorder="1" applyAlignment="1">
      <alignment vertical="center"/>
    </xf>
    <xf numFmtId="164" fontId="26" fillId="10" borderId="83" xfId="1" applyFont="1" applyFill="1" applyBorder="1"/>
    <xf numFmtId="164" fontId="26" fillId="10" borderId="84" xfId="1" applyFont="1" applyFill="1" applyBorder="1"/>
    <xf numFmtId="0" fontId="26" fillId="6" borderId="101" xfId="0" applyFont="1" applyFill="1" applyBorder="1" applyAlignment="1">
      <alignment horizontal="center"/>
    </xf>
    <xf numFmtId="0" fontId="26" fillId="6" borderId="42" xfId="0" applyFont="1" applyFill="1" applyBorder="1" applyAlignment="1">
      <alignment horizontal="left" vertical="center"/>
    </xf>
    <xf numFmtId="0" fontId="26" fillId="5" borderId="82" xfId="0" applyFont="1" applyFill="1" applyBorder="1" applyAlignment="1">
      <alignment horizontal="center"/>
    </xf>
    <xf numFmtId="0" fontId="26" fillId="5" borderId="83" xfId="0" applyFont="1" applyFill="1" applyBorder="1" applyAlignment="1">
      <alignment horizontal="left"/>
    </xf>
    <xf numFmtId="164" fontId="26" fillId="22" borderId="83" xfId="1" applyFont="1" applyFill="1" applyBorder="1"/>
    <xf numFmtId="164" fontId="26" fillId="22" borderId="84" xfId="1" applyFont="1" applyFill="1" applyBorder="1"/>
    <xf numFmtId="0" fontId="18" fillId="21" borderId="102" xfId="0" applyFont="1" applyFill="1" applyBorder="1" applyAlignment="1">
      <alignment horizontal="left"/>
    </xf>
    <xf numFmtId="168" fontId="39" fillId="21" borderId="102" xfId="0" applyNumberFormat="1" applyFont="1" applyFill="1" applyBorder="1" applyAlignment="1">
      <alignment horizontal="center" vertical="center"/>
    </xf>
    <xf numFmtId="164" fontId="20" fillId="4" borderId="102" xfId="1" applyFont="1" applyFill="1" applyBorder="1"/>
    <xf numFmtId="164" fontId="44" fillId="4" borderId="102" xfId="1" applyFont="1" applyFill="1" applyBorder="1"/>
    <xf numFmtId="164" fontId="28" fillId="4" borderId="102" xfId="1" applyFont="1" applyFill="1" applyBorder="1"/>
    <xf numFmtId="164" fontId="17" fillId="10" borderId="102" xfId="1" applyFont="1" applyFill="1" applyBorder="1"/>
    <xf numFmtId="0" fontId="22" fillId="21" borderId="102" xfId="1" applyNumberFormat="1" applyFont="1" applyFill="1" applyBorder="1" applyAlignment="1">
      <alignment horizontal="left"/>
    </xf>
    <xf numFmtId="0" fontId="18" fillId="21" borderId="103" xfId="0" applyFont="1" applyFill="1" applyBorder="1" applyAlignment="1">
      <alignment horizontal="center"/>
    </xf>
    <xf numFmtId="168" fontId="39" fillId="21" borderId="104" xfId="0" applyNumberFormat="1" applyFont="1" applyFill="1" applyBorder="1" applyAlignment="1">
      <alignment horizontal="center" vertical="center"/>
    </xf>
    <xf numFmtId="0" fontId="45" fillId="21" borderId="104" xfId="0" applyFont="1" applyFill="1" applyBorder="1" applyAlignment="1">
      <alignment horizontal="left" vertical="center"/>
    </xf>
    <xf numFmtId="164" fontId="20" fillId="4" borderId="104" xfId="1" applyFont="1" applyFill="1" applyBorder="1"/>
    <xf numFmtId="164" fontId="44" fillId="4" borderId="104" xfId="1" applyFont="1" applyFill="1" applyBorder="1"/>
    <xf numFmtId="164" fontId="28" fillId="4" borderId="104" xfId="1" applyFont="1" applyFill="1" applyBorder="1"/>
    <xf numFmtId="164" fontId="17" fillId="10" borderId="104" xfId="1" applyFont="1" applyFill="1" applyBorder="1"/>
    <xf numFmtId="164" fontId="17" fillId="10" borderId="105" xfId="1" applyFont="1" applyFill="1" applyBorder="1"/>
    <xf numFmtId="0" fontId="18" fillId="21" borderId="106" xfId="0" applyFont="1" applyFill="1" applyBorder="1" applyAlignment="1">
      <alignment horizontal="center"/>
    </xf>
    <xf numFmtId="164" fontId="17" fillId="10" borderId="107" xfId="1" applyFont="1" applyFill="1" applyBorder="1"/>
    <xf numFmtId="0" fontId="18" fillId="21" borderId="108" xfId="0" applyFont="1" applyFill="1" applyBorder="1" applyAlignment="1">
      <alignment horizontal="center"/>
    </xf>
    <xf numFmtId="0" fontId="18" fillId="21" borderId="109" xfId="0" applyFont="1" applyFill="1" applyBorder="1" applyAlignment="1">
      <alignment horizontal="left"/>
    </xf>
    <xf numFmtId="168" fontId="39" fillId="21" borderId="109" xfId="0" applyNumberFormat="1" applyFont="1" applyFill="1" applyBorder="1" applyAlignment="1">
      <alignment horizontal="center" vertical="center"/>
    </xf>
    <xf numFmtId="168" fontId="39" fillId="21" borderId="109" xfId="0" applyNumberFormat="1" applyFont="1" applyFill="1" applyBorder="1" applyAlignment="1">
      <alignment horizontal="left" vertical="center"/>
    </xf>
    <xf numFmtId="164" fontId="20" fillId="4" borderId="109" xfId="1" applyFont="1" applyFill="1" applyBorder="1"/>
    <xf numFmtId="164" fontId="44" fillId="4" borderId="109" xfId="1" applyFont="1" applyFill="1" applyBorder="1"/>
    <xf numFmtId="164" fontId="28" fillId="4" borderId="109" xfId="1" applyFont="1" applyFill="1" applyBorder="1"/>
    <xf numFmtId="164" fontId="17" fillId="10" borderId="109" xfId="1" applyFont="1" applyFill="1" applyBorder="1"/>
    <xf numFmtId="164" fontId="17" fillId="10" borderId="110" xfId="1" applyFont="1" applyFill="1" applyBorder="1"/>
    <xf numFmtId="0" fontId="18" fillId="21" borderId="104" xfId="0" applyFont="1" applyFill="1" applyBorder="1" applyAlignment="1">
      <alignment horizontal="left"/>
    </xf>
    <xf numFmtId="0" fontId="37" fillId="12" borderId="55" xfId="0" applyFont="1" applyFill="1" applyBorder="1" applyAlignment="1">
      <alignment vertical="center"/>
    </xf>
    <xf numFmtId="164" fontId="26" fillId="23" borderId="76" xfId="1" applyFont="1" applyFill="1" applyBorder="1" applyAlignment="1">
      <alignment vertical="center"/>
    </xf>
    <xf numFmtId="164" fontId="26" fillId="23" borderId="84" xfId="1" applyFont="1" applyFill="1" applyBorder="1" applyAlignment="1">
      <alignment vertical="center"/>
    </xf>
    <xf numFmtId="164" fontId="26" fillId="23" borderId="78" xfId="1" applyFont="1" applyFill="1" applyBorder="1" applyAlignment="1">
      <alignment vertical="center"/>
    </xf>
    <xf numFmtId="164" fontId="26" fillId="23" borderId="81" xfId="1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8" fillId="6" borderId="113" xfId="0" applyFont="1" applyFill="1" applyBorder="1" applyAlignment="1">
      <alignment horizontal="left" vertical="center" wrapText="1"/>
    </xf>
    <xf numFmtId="0" fontId="18" fillId="6" borderId="113" xfId="0" applyFont="1" applyFill="1" applyBorder="1" applyAlignment="1">
      <alignment vertical="center" wrapText="1"/>
    </xf>
    <xf numFmtId="164" fontId="20" fillId="22" borderId="113" xfId="1" applyFont="1" applyFill="1" applyBorder="1" applyAlignment="1">
      <alignment vertical="center" wrapText="1"/>
    </xf>
    <xf numFmtId="164" fontId="20" fillId="22" borderId="114" xfId="1" applyFont="1" applyFill="1" applyBorder="1" applyAlignment="1">
      <alignment vertical="center" wrapText="1"/>
    </xf>
    <xf numFmtId="0" fontId="26" fillId="22" borderId="114" xfId="0" applyFont="1" applyFill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164" fontId="12" fillId="0" borderId="0" xfId="1" applyFont="1" applyBorder="1" applyAlignment="1">
      <alignment vertical="center" wrapText="1"/>
    </xf>
    <xf numFmtId="167" fontId="18" fillId="6" borderId="111" xfId="0" applyNumberFormat="1" applyFont="1" applyFill="1" applyBorder="1" applyAlignment="1">
      <alignment horizontal="center" vertical="center" wrapText="1"/>
    </xf>
    <xf numFmtId="167" fontId="18" fillId="6" borderId="112" xfId="0" applyNumberFormat="1" applyFont="1" applyFill="1" applyBorder="1" applyAlignment="1">
      <alignment horizontal="center" vertical="center" wrapText="1"/>
    </xf>
    <xf numFmtId="43" fontId="20" fillId="0" borderId="0" xfId="0" applyNumberFormat="1" applyFont="1"/>
    <xf numFmtId="0" fontId="37" fillId="12" borderId="0" xfId="0" applyFont="1" applyFill="1" applyAlignment="1">
      <alignment horizontal="center"/>
    </xf>
    <xf numFmtId="0" fontId="18" fillId="6" borderId="41" xfId="0" applyFont="1" applyFill="1" applyBorder="1" applyAlignment="1">
      <alignment vertical="center" wrapText="1"/>
    </xf>
    <xf numFmtId="164" fontId="45" fillId="10" borderId="72" xfId="1" applyFont="1" applyFill="1" applyBorder="1"/>
    <xf numFmtId="168" fontId="47" fillId="6" borderId="45" xfId="0" applyNumberFormat="1" applyFont="1" applyFill="1" applyBorder="1" applyAlignment="1">
      <alignment horizontal="center"/>
    </xf>
    <xf numFmtId="168" fontId="47" fillId="6" borderId="45" xfId="0" applyNumberFormat="1" applyFont="1" applyFill="1" applyBorder="1" applyAlignment="1">
      <alignment horizontal="center" vertical="center"/>
    </xf>
    <xf numFmtId="168" fontId="18" fillId="6" borderId="46" xfId="0" applyNumberFormat="1" applyFont="1" applyFill="1" applyBorder="1" applyAlignment="1">
      <alignment horizontal="center" vertical="center"/>
    </xf>
    <xf numFmtId="0" fontId="18" fillId="6" borderId="47" xfId="0" applyFont="1" applyFill="1" applyBorder="1" applyAlignment="1">
      <alignment horizontal="left" vertical="center" wrapText="1"/>
    </xf>
    <xf numFmtId="164" fontId="21" fillId="4" borderId="47" xfId="1" applyFont="1" applyFill="1" applyBorder="1"/>
    <xf numFmtId="164" fontId="45" fillId="10" borderId="47" xfId="1" applyFont="1" applyFill="1" applyBorder="1"/>
    <xf numFmtId="164" fontId="26" fillId="22" borderId="114" xfId="1" applyFont="1" applyFill="1" applyBorder="1" applyAlignment="1">
      <alignment vertical="center" wrapText="1"/>
    </xf>
    <xf numFmtId="0" fontId="18" fillId="0" borderId="0" xfId="0" applyFont="1" applyAlignment="1">
      <alignment horizontal="center"/>
    </xf>
    <xf numFmtId="0" fontId="18" fillId="19" borderId="53" xfId="0" applyFont="1" applyFill="1" applyBorder="1"/>
    <xf numFmtId="0" fontId="18" fillId="19" borderId="50" xfId="0" applyFont="1" applyFill="1" applyBorder="1"/>
    <xf numFmtId="0" fontId="18" fillId="0" borderId="0" xfId="0" applyFont="1" applyAlignment="1">
      <alignment horizontal="center" vertical="center" wrapText="1"/>
    </xf>
    <xf numFmtId="0" fontId="18" fillId="19" borderId="86" xfId="0" applyFont="1" applyFill="1" applyBorder="1" applyAlignment="1">
      <alignment horizontal="center" vertical="center" wrapText="1"/>
    </xf>
    <xf numFmtId="0" fontId="26" fillId="19" borderId="86" xfId="0" applyFont="1" applyFill="1" applyBorder="1"/>
    <xf numFmtId="0" fontId="18" fillId="19" borderId="59" xfId="0" applyFont="1" applyFill="1" applyBorder="1"/>
    <xf numFmtId="3" fontId="18" fillId="19" borderId="117" xfId="1" applyNumberFormat="1" applyFont="1" applyFill="1" applyBorder="1" applyAlignment="1">
      <alignment horizontal="center"/>
    </xf>
    <xf numFmtId="3" fontId="18" fillId="19" borderId="0" xfId="1" applyNumberFormat="1" applyFont="1" applyFill="1" applyBorder="1" applyAlignment="1">
      <alignment horizontal="center"/>
    </xf>
    <xf numFmtId="0" fontId="18" fillId="19" borderId="118" xfId="0" applyFont="1" applyFill="1" applyBorder="1" applyAlignment="1">
      <alignment horizontal="center"/>
    </xf>
    <xf numFmtId="164" fontId="18" fillId="19" borderId="119" xfId="1" applyFont="1" applyFill="1" applyBorder="1"/>
    <xf numFmtId="10" fontId="18" fillId="19" borderId="27" xfId="1" applyNumberFormat="1" applyFont="1" applyFill="1" applyBorder="1" applyAlignment="1">
      <alignment horizontal="center"/>
    </xf>
    <xf numFmtId="164" fontId="18" fillId="19" borderId="59" xfId="1" applyFont="1" applyFill="1" applyBorder="1"/>
    <xf numFmtId="0" fontId="18" fillId="19" borderId="32" xfId="0" applyFont="1" applyFill="1" applyBorder="1"/>
    <xf numFmtId="0" fontId="18" fillId="19" borderId="86" xfId="0" applyFont="1" applyFill="1" applyBorder="1"/>
    <xf numFmtId="0" fontId="18" fillId="19" borderId="121" xfId="0" applyFont="1" applyFill="1" applyBorder="1" applyAlignment="1">
      <alignment horizontal="center"/>
    </xf>
    <xf numFmtId="0" fontId="18" fillId="19" borderId="54" xfId="0" applyFont="1" applyFill="1" applyBorder="1" applyAlignment="1">
      <alignment horizontal="center"/>
    </xf>
    <xf numFmtId="0" fontId="18" fillId="19" borderId="54" xfId="0" applyFont="1" applyFill="1" applyBorder="1"/>
    <xf numFmtId="0" fontId="60" fillId="0" borderId="0" xfId="0" applyFont="1"/>
    <xf numFmtId="0" fontId="1" fillId="0" borderId="0" xfId="0" applyFont="1" applyAlignment="1">
      <alignment horizontal="center"/>
    </xf>
    <xf numFmtId="0" fontId="34" fillId="7" borderId="10" xfId="0" applyFont="1" applyFill="1" applyBorder="1" applyAlignment="1">
      <alignment horizontal="center"/>
    </xf>
    <xf numFmtId="0" fontId="26" fillId="5" borderId="57" xfId="0" applyFont="1" applyFill="1" applyBorder="1" applyAlignment="1">
      <alignment horizontal="center" vertical="center"/>
    </xf>
    <xf numFmtId="0" fontId="26" fillId="5" borderId="57" xfId="0" applyFont="1" applyFill="1" applyBorder="1" applyAlignment="1">
      <alignment vertical="center"/>
    </xf>
    <xf numFmtId="0" fontId="26" fillId="5" borderId="122" xfId="0" applyFont="1" applyFill="1" applyBorder="1" applyAlignment="1">
      <alignment vertical="center"/>
    </xf>
    <xf numFmtId="0" fontId="28" fillId="10" borderId="3" xfId="0" applyFont="1" applyFill="1" applyBorder="1" applyAlignment="1">
      <alignment horizontal="center"/>
    </xf>
    <xf numFmtId="0" fontId="28" fillId="5" borderId="57" xfId="0" applyFont="1" applyFill="1" applyBorder="1" applyAlignment="1">
      <alignment horizontal="center" vertical="center"/>
    </xf>
    <xf numFmtId="0" fontId="64" fillId="12" borderId="0" xfId="0" applyFont="1" applyFill="1"/>
    <xf numFmtId="0" fontId="60" fillId="0" borderId="0" xfId="0" applyFont="1" applyAlignment="1">
      <alignment wrapText="1"/>
    </xf>
    <xf numFmtId="164" fontId="26" fillId="4" borderId="73" xfId="1" applyFont="1" applyFill="1" applyBorder="1" applyAlignment="1">
      <alignment vertical="center"/>
    </xf>
    <xf numFmtId="164" fontId="18" fillId="4" borderId="83" xfId="1" applyFont="1" applyFill="1" applyBorder="1" applyAlignment="1">
      <alignment vertical="center"/>
    </xf>
    <xf numFmtId="0" fontId="1" fillId="0" borderId="0" xfId="0" quotePrefix="1" applyFont="1"/>
    <xf numFmtId="0" fontId="26" fillId="0" borderId="0" xfId="0" applyFont="1" applyAlignment="1">
      <alignment horizontal="center" vertical="center" wrapText="1"/>
    </xf>
    <xf numFmtId="0" fontId="26" fillId="19" borderId="86" xfId="0" applyFont="1" applyFill="1" applyBorder="1" applyAlignment="1">
      <alignment horizontal="center" vertical="center" wrapText="1"/>
    </xf>
    <xf numFmtId="0" fontId="58" fillId="19" borderId="32" xfId="1" applyNumberFormat="1" applyFont="1" applyFill="1" applyBorder="1" applyAlignment="1">
      <alignment horizontal="center" vertical="center" wrapText="1"/>
    </xf>
    <xf numFmtId="3" fontId="39" fillId="22" borderId="57" xfId="1" applyNumberFormat="1" applyFont="1" applyFill="1" applyBorder="1" applyAlignment="1">
      <alignment horizontal="center" vertical="center"/>
    </xf>
    <xf numFmtId="1" fontId="37" fillId="12" borderId="0" xfId="0" applyNumberFormat="1" applyFont="1" applyFill="1" applyAlignment="1">
      <alignment horizontal="center"/>
    </xf>
    <xf numFmtId="1" fontId="25" fillId="6" borderId="29" xfId="0" applyNumberFormat="1" applyFont="1" applyFill="1" applyBorder="1" applyAlignment="1">
      <alignment horizontal="center"/>
    </xf>
    <xf numFmtId="1" fontId="28" fillId="2" borderId="30" xfId="1" applyNumberFormat="1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1" fontId="34" fillId="5" borderId="75" xfId="1" applyNumberFormat="1" applyFont="1" applyFill="1" applyBorder="1" applyAlignment="1">
      <alignment horizontal="center" vertical="center"/>
    </xf>
    <xf numFmtId="1" fontId="34" fillId="5" borderId="73" xfId="1" applyNumberFormat="1" applyFont="1" applyFill="1" applyBorder="1" applyAlignment="1">
      <alignment horizontal="center" vertical="center"/>
    </xf>
    <xf numFmtId="1" fontId="34" fillId="5" borderId="89" xfId="1" applyNumberFormat="1" applyFont="1" applyFill="1" applyBorder="1" applyAlignment="1">
      <alignment horizontal="center" vertical="center"/>
    </xf>
    <xf numFmtId="1" fontId="34" fillId="5" borderId="80" xfId="1" applyNumberFormat="1" applyFont="1" applyFill="1" applyBorder="1" applyAlignment="1">
      <alignment horizontal="center" vertical="center"/>
    </xf>
    <xf numFmtId="1" fontId="25" fillId="5" borderId="75" xfId="1" applyNumberFormat="1" applyFont="1" applyFill="1" applyBorder="1" applyAlignment="1">
      <alignment horizontal="center"/>
    </xf>
    <xf numFmtId="1" fontId="25" fillId="5" borderId="73" xfId="1" applyNumberFormat="1" applyFont="1" applyFill="1" applyBorder="1" applyAlignment="1">
      <alignment horizontal="center"/>
    </xf>
    <xf numFmtId="1" fontId="25" fillId="5" borderId="80" xfId="1" applyNumberFormat="1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37" fontId="28" fillId="2" borderId="30" xfId="1" applyNumberFormat="1" applyFont="1" applyFill="1" applyBorder="1" applyAlignment="1">
      <alignment horizontal="center" vertical="center"/>
    </xf>
    <xf numFmtId="0" fontId="25" fillId="21" borderId="28" xfId="0" applyFont="1" applyFill="1" applyBorder="1" applyAlignment="1">
      <alignment horizontal="center" vertical="center" wrapText="1"/>
    </xf>
    <xf numFmtId="0" fontId="25" fillId="21" borderId="29" xfId="0" applyFont="1" applyFill="1" applyBorder="1" applyAlignment="1">
      <alignment horizontal="center"/>
    </xf>
    <xf numFmtId="164" fontId="39" fillId="6" borderId="65" xfId="1" applyFont="1" applyFill="1" applyBorder="1" applyAlignment="1">
      <alignment horizontal="left" vertical="center"/>
    </xf>
    <xf numFmtId="164" fontId="39" fillId="6" borderId="65" xfId="1" applyFont="1" applyFill="1" applyBorder="1" applyAlignment="1">
      <alignment horizontal="center" vertical="center"/>
    </xf>
    <xf numFmtId="0" fontId="22" fillId="5" borderId="67" xfId="0" applyFont="1" applyFill="1" applyBorder="1" applyAlignment="1">
      <alignment horizontal="center"/>
    </xf>
    <xf numFmtId="3" fontId="41" fillId="22" borderId="124" xfId="1" applyNumberFormat="1" applyFont="1" applyFill="1" applyBorder="1" applyAlignment="1">
      <alignment horizontal="center" vertical="center"/>
    </xf>
    <xf numFmtId="3" fontId="26" fillId="22" borderId="124" xfId="1" applyNumberFormat="1" applyFont="1" applyFill="1" applyBorder="1" applyAlignment="1">
      <alignment horizontal="center" vertical="center"/>
    </xf>
    <xf numFmtId="3" fontId="39" fillId="22" borderId="124" xfId="1" applyNumberFormat="1" applyFont="1" applyFill="1" applyBorder="1" applyAlignment="1">
      <alignment horizontal="center" vertical="center"/>
    </xf>
    <xf numFmtId="0" fontId="18" fillId="5" borderId="125" xfId="0" applyFont="1" applyFill="1" applyBorder="1" applyAlignment="1">
      <alignment horizontal="center"/>
    </xf>
    <xf numFmtId="3" fontId="39" fillId="22" borderId="126" xfId="1" applyNumberFormat="1" applyFont="1" applyFill="1" applyBorder="1" applyAlignment="1">
      <alignment horizontal="center" vertical="center"/>
    </xf>
    <xf numFmtId="3" fontId="26" fillId="22" borderId="127" xfId="1" applyNumberFormat="1" applyFont="1" applyFill="1" applyBorder="1" applyAlignment="1">
      <alignment horizontal="center" vertical="center"/>
    </xf>
    <xf numFmtId="3" fontId="45" fillId="22" borderId="129" xfId="0" applyNumberFormat="1" applyFont="1" applyFill="1" applyBorder="1" applyAlignment="1">
      <alignment horizontal="center" vertical="center"/>
    </xf>
    <xf numFmtId="3" fontId="45" fillId="22" borderId="130" xfId="0" applyNumberFormat="1" applyFont="1" applyFill="1" applyBorder="1" applyAlignment="1">
      <alignment horizontal="center" vertical="center"/>
    </xf>
    <xf numFmtId="164" fontId="39" fillId="6" borderId="66" xfId="1" applyFont="1" applyFill="1" applyBorder="1" applyAlignment="1">
      <alignment horizontal="center" vertical="center"/>
    </xf>
    <xf numFmtId="0" fontId="25" fillId="21" borderId="30" xfId="0" applyFont="1" applyFill="1" applyBorder="1" applyAlignment="1">
      <alignment horizontal="center" vertical="center" wrapText="1"/>
    </xf>
    <xf numFmtId="0" fontId="26" fillId="0" borderId="0" xfId="0" quotePrefix="1" applyFont="1"/>
    <xf numFmtId="0" fontId="28" fillId="0" borderId="0" xfId="0" applyFont="1"/>
    <xf numFmtId="0" fontId="68" fillId="0" borderId="0" xfId="0" applyFont="1" applyAlignment="1">
      <alignment horizontal="center"/>
    </xf>
    <xf numFmtId="164" fontId="25" fillId="6" borderId="29" xfId="1" applyFont="1" applyFill="1" applyBorder="1" applyAlignment="1">
      <alignment horizontal="center"/>
    </xf>
    <xf numFmtId="0" fontId="18" fillId="19" borderId="49" xfId="0" applyFont="1" applyFill="1" applyBorder="1" applyAlignment="1">
      <alignment horizontal="center"/>
    </xf>
    <xf numFmtId="0" fontId="18" fillId="19" borderId="91" xfId="0" applyFont="1" applyFill="1" applyBorder="1" applyAlignment="1">
      <alignment horizontal="center"/>
    </xf>
    <xf numFmtId="164" fontId="13" fillId="22" borderId="113" xfId="1" applyFont="1" applyFill="1" applyBorder="1" applyAlignment="1">
      <alignment vertical="center" wrapText="1"/>
    </xf>
    <xf numFmtId="164" fontId="13" fillId="22" borderId="114" xfId="1" applyFont="1" applyFill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22" borderId="114" xfId="0" applyFont="1" applyFill="1" applyBorder="1" applyAlignment="1">
      <alignment vertical="center" wrapText="1"/>
    </xf>
    <xf numFmtId="167" fontId="18" fillId="6" borderId="133" xfId="0" applyNumberFormat="1" applyFont="1" applyFill="1" applyBorder="1" applyAlignment="1">
      <alignment horizontal="center" vertical="center" wrapText="1"/>
    </xf>
    <xf numFmtId="0" fontId="18" fillId="6" borderId="134" xfId="0" applyFont="1" applyFill="1" applyBorder="1" applyAlignment="1">
      <alignment horizontal="left" vertical="center" wrapText="1"/>
    </xf>
    <xf numFmtId="0" fontId="18" fillId="6" borderId="134" xfId="0" applyFont="1" applyFill="1" applyBorder="1" applyAlignment="1">
      <alignment vertical="center" wrapText="1"/>
    </xf>
    <xf numFmtId="164" fontId="20" fillId="22" borderId="134" xfId="1" applyFont="1" applyFill="1" applyBorder="1" applyAlignment="1">
      <alignment vertical="center" wrapText="1"/>
    </xf>
    <xf numFmtId="0" fontId="26" fillId="22" borderId="135" xfId="0" applyFont="1" applyFill="1" applyBorder="1" applyAlignment="1">
      <alignment vertical="center" wrapText="1"/>
    </xf>
    <xf numFmtId="164" fontId="23" fillId="2" borderId="28" xfId="1" applyFont="1" applyFill="1" applyBorder="1" applyAlignment="1">
      <alignment vertical="center" wrapText="1"/>
    </xf>
    <xf numFmtId="167" fontId="18" fillId="6" borderId="136" xfId="0" applyNumberFormat="1" applyFont="1" applyFill="1" applyBorder="1" applyAlignment="1">
      <alignment horizontal="center" vertical="center" wrapText="1"/>
    </xf>
    <xf numFmtId="0" fontId="18" fillId="6" borderId="137" xfId="0" applyFont="1" applyFill="1" applyBorder="1" applyAlignment="1">
      <alignment horizontal="left" vertical="center" wrapText="1"/>
    </xf>
    <xf numFmtId="0" fontId="18" fillId="6" borderId="137" xfId="0" applyFont="1" applyFill="1" applyBorder="1" applyAlignment="1">
      <alignment vertical="center" wrapText="1"/>
    </xf>
    <xf numFmtId="164" fontId="20" fillId="22" borderId="137" xfId="1" applyFont="1" applyFill="1" applyBorder="1" applyAlignment="1">
      <alignment vertical="center" wrapText="1"/>
    </xf>
    <xf numFmtId="164" fontId="20" fillId="22" borderId="138" xfId="1" applyFont="1" applyFill="1" applyBorder="1" applyAlignment="1">
      <alignment vertical="center" wrapText="1"/>
    </xf>
    <xf numFmtId="0" fontId="24" fillId="2" borderId="28" xfId="0" applyFont="1" applyFill="1" applyBorder="1" applyAlignment="1">
      <alignment horizontal="center" vertical="center" wrapText="1"/>
    </xf>
    <xf numFmtId="0" fontId="18" fillId="6" borderId="42" xfId="0" applyFont="1" applyFill="1" applyBorder="1" applyAlignment="1">
      <alignment horizontal="left" vertical="center" wrapText="1"/>
    </xf>
    <xf numFmtId="164" fontId="20" fillId="2" borderId="28" xfId="1" applyFont="1" applyFill="1" applyBorder="1" applyAlignment="1">
      <alignment vertical="center" wrapText="1"/>
    </xf>
    <xf numFmtId="164" fontId="39" fillId="6" borderId="66" xfId="1" applyFont="1" applyFill="1" applyBorder="1" applyAlignment="1">
      <alignment horizontal="left" vertical="center"/>
    </xf>
    <xf numFmtId="164" fontId="57" fillId="19" borderId="132" xfId="1" applyFont="1" applyFill="1" applyBorder="1" applyAlignment="1">
      <alignment horizontal="center" vertical="center" wrapText="1"/>
    </xf>
    <xf numFmtId="164" fontId="58" fillId="19" borderId="132" xfId="1" applyFont="1" applyFill="1" applyBorder="1"/>
    <xf numFmtId="0" fontId="25" fillId="19" borderId="131" xfId="1" applyNumberFormat="1" applyFont="1" applyFill="1" applyBorder="1" applyAlignment="1">
      <alignment horizontal="center" vertical="center" wrapText="1"/>
    </xf>
    <xf numFmtId="164" fontId="35" fillId="19" borderId="36" xfId="1" applyFont="1" applyFill="1" applyBorder="1" applyAlignment="1">
      <alignment horizontal="center" vertical="center"/>
    </xf>
    <xf numFmtId="10" fontId="35" fillId="19" borderId="28" xfId="2" applyNumberFormat="1" applyFont="1" applyFill="1" applyBorder="1" applyAlignment="1">
      <alignment horizontal="center" vertical="center"/>
    </xf>
    <xf numFmtId="164" fontId="35" fillId="19" borderId="28" xfId="1" applyFont="1" applyFill="1" applyBorder="1" applyAlignment="1">
      <alignment horizontal="center" vertical="center"/>
    </xf>
    <xf numFmtId="164" fontId="18" fillId="19" borderId="132" xfId="1" applyFont="1" applyFill="1" applyBorder="1"/>
    <xf numFmtId="164" fontId="18" fillId="19" borderId="58" xfId="1" applyFont="1" applyFill="1" applyBorder="1"/>
    <xf numFmtId="0" fontId="65" fillId="19" borderId="86" xfId="1" applyNumberFormat="1" applyFont="1" applyFill="1" applyBorder="1" applyAlignment="1">
      <alignment horizontal="center" vertical="center" wrapText="1"/>
    </xf>
    <xf numFmtId="0" fontId="65" fillId="19" borderId="0" xfId="1" applyNumberFormat="1" applyFont="1" applyFill="1" applyBorder="1" applyAlignment="1">
      <alignment horizontal="center" vertical="center" wrapText="1"/>
    </xf>
    <xf numFmtId="0" fontId="18" fillId="19" borderId="49" xfId="0" applyFont="1" applyFill="1" applyBorder="1"/>
    <xf numFmtId="0" fontId="26" fillId="21" borderId="57" xfId="0" applyFont="1" applyFill="1" applyBorder="1" applyAlignment="1">
      <alignment horizontal="center"/>
    </xf>
    <xf numFmtId="167" fontId="18" fillId="21" borderId="64" xfId="1" applyNumberFormat="1" applyFont="1" applyFill="1" applyBorder="1" applyAlignment="1">
      <alignment horizontal="center"/>
    </xf>
    <xf numFmtId="0" fontId="26" fillId="21" borderId="65" xfId="0" applyFont="1" applyFill="1" applyBorder="1" applyAlignment="1">
      <alignment horizontal="center"/>
    </xf>
    <xf numFmtId="164" fontId="26" fillId="21" borderId="65" xfId="1" applyFont="1" applyFill="1" applyBorder="1"/>
    <xf numFmtId="0" fontId="26" fillId="21" borderId="126" xfId="0" applyFont="1" applyFill="1" applyBorder="1" applyAlignment="1">
      <alignment horizontal="center"/>
    </xf>
    <xf numFmtId="164" fontId="57" fillId="25" borderId="33" xfId="1" applyFont="1" applyFill="1" applyBorder="1" applyAlignment="1">
      <alignment horizontal="center" vertical="center" wrapText="1"/>
    </xf>
    <xf numFmtId="164" fontId="57" fillId="25" borderId="34" xfId="1" applyFont="1" applyFill="1" applyBorder="1" applyAlignment="1">
      <alignment horizontal="center" vertical="center" wrapText="1"/>
    </xf>
    <xf numFmtId="164" fontId="57" fillId="25" borderId="35" xfId="1" applyFont="1" applyFill="1" applyBorder="1" applyAlignment="1">
      <alignment horizontal="center" vertical="center" wrapText="1"/>
    </xf>
    <xf numFmtId="173" fontId="57" fillId="25" borderId="36" xfId="1" applyNumberFormat="1" applyFont="1" applyFill="1" applyBorder="1" applyAlignment="1">
      <alignment horizontal="center" vertical="center" wrapText="1"/>
    </xf>
    <xf numFmtId="0" fontId="18" fillId="19" borderId="86" xfId="0" applyFont="1" applyFill="1" applyBorder="1" applyAlignment="1">
      <alignment wrapText="1"/>
    </xf>
    <xf numFmtId="164" fontId="18" fillId="19" borderId="131" xfId="1" applyFont="1" applyFill="1" applyBorder="1" applyAlignment="1">
      <alignment wrapText="1"/>
    </xf>
    <xf numFmtId="0" fontId="18" fillId="0" borderId="0" xfId="0" applyFont="1" applyAlignment="1">
      <alignment wrapText="1"/>
    </xf>
    <xf numFmtId="0" fontId="18" fillId="19" borderId="121" xfId="0" applyFont="1" applyFill="1" applyBorder="1"/>
    <xf numFmtId="0" fontId="26" fillId="21" borderId="97" xfId="0" applyFont="1" applyFill="1" applyBorder="1" applyAlignment="1">
      <alignment horizontal="center"/>
    </xf>
    <xf numFmtId="0" fontId="25" fillId="10" borderId="39" xfId="0" applyFont="1" applyFill="1" applyBorder="1" applyAlignment="1">
      <alignment horizontal="center"/>
    </xf>
    <xf numFmtId="0" fontId="71" fillId="26" borderId="66" xfId="0" applyFont="1" applyFill="1" applyBorder="1" applyAlignment="1">
      <alignment vertical="center"/>
    </xf>
    <xf numFmtId="0" fontId="71" fillId="26" borderId="142" xfId="0" applyFont="1" applyFill="1" applyBorder="1" applyAlignment="1">
      <alignment vertical="center"/>
    </xf>
    <xf numFmtId="0" fontId="18" fillId="5" borderId="96" xfId="0" applyFont="1" applyFill="1" applyBorder="1" applyAlignment="1">
      <alignment horizontal="left"/>
    </xf>
    <xf numFmtId="0" fontId="28" fillId="6" borderId="37" xfId="0" applyFont="1" applyFill="1" applyBorder="1" applyAlignment="1">
      <alignment horizontal="center"/>
    </xf>
    <xf numFmtId="0" fontId="28" fillId="6" borderId="85" xfId="0" applyFont="1" applyFill="1" applyBorder="1" applyAlignment="1">
      <alignment horizontal="center"/>
    </xf>
    <xf numFmtId="3" fontId="35" fillId="19" borderId="39" xfId="1" applyNumberFormat="1" applyFont="1" applyFill="1" applyBorder="1" applyAlignment="1">
      <alignment horizontal="center" vertical="center"/>
    </xf>
    <xf numFmtId="0" fontId="43" fillId="21" borderId="29" xfId="0" applyFont="1" applyFill="1" applyBorder="1" applyAlignment="1">
      <alignment horizontal="center"/>
    </xf>
    <xf numFmtId="0" fontId="1" fillId="16" borderId="0" xfId="0" applyFont="1" applyFill="1"/>
    <xf numFmtId="0" fontId="25" fillId="10" borderId="149" xfId="0" applyFont="1" applyFill="1" applyBorder="1" applyAlignment="1">
      <alignment horizontal="center"/>
    </xf>
    <xf numFmtId="0" fontId="25" fillId="10" borderId="150" xfId="0" applyFont="1" applyFill="1" applyBorder="1" applyAlignment="1">
      <alignment horizontal="center"/>
    </xf>
    <xf numFmtId="0" fontId="28" fillId="6" borderId="40" xfId="0" applyFont="1" applyFill="1" applyBorder="1" applyAlignment="1">
      <alignment horizontal="center"/>
    </xf>
    <xf numFmtId="0" fontId="28" fillId="6" borderId="151" xfId="0" applyFont="1" applyFill="1" applyBorder="1" applyAlignment="1">
      <alignment horizontal="center"/>
    </xf>
    <xf numFmtId="0" fontId="18" fillId="5" borderId="127" xfId="0" applyFont="1" applyFill="1" applyBorder="1" applyAlignment="1">
      <alignment horizontal="left"/>
    </xf>
    <xf numFmtId="164" fontId="28" fillId="6" borderId="151" xfId="1" applyFont="1" applyFill="1" applyBorder="1" applyAlignment="1">
      <alignment horizontal="center"/>
    </xf>
    <xf numFmtId="164" fontId="26" fillId="5" borderId="76" xfId="1" applyFont="1" applyFill="1" applyBorder="1" applyAlignment="1">
      <alignment horizontal="left"/>
    </xf>
    <xf numFmtId="164" fontId="18" fillId="5" borderId="127" xfId="1" applyFont="1" applyFill="1" applyBorder="1" applyAlignment="1">
      <alignment horizontal="left"/>
    </xf>
    <xf numFmtId="164" fontId="18" fillId="5" borderId="145" xfId="1" applyFont="1" applyFill="1" applyBorder="1" applyAlignment="1">
      <alignment horizontal="center"/>
    </xf>
    <xf numFmtId="164" fontId="18" fillId="5" borderId="146" xfId="1" applyFont="1" applyFill="1" applyBorder="1" applyAlignment="1">
      <alignment horizontal="center"/>
    </xf>
    <xf numFmtId="164" fontId="18" fillId="5" borderId="147" xfId="1" applyFont="1" applyFill="1" applyBorder="1" applyAlignment="1">
      <alignment horizontal="center"/>
    </xf>
    <xf numFmtId="164" fontId="28" fillId="6" borderId="148" xfId="1" applyFont="1" applyFill="1" applyBorder="1" applyAlignment="1">
      <alignment horizontal="center"/>
    </xf>
    <xf numFmtId="164" fontId="28" fillId="6" borderId="148" xfId="0" applyNumberFormat="1" applyFont="1" applyFill="1" applyBorder="1" applyAlignment="1">
      <alignment horizontal="center"/>
    </xf>
    <xf numFmtId="173" fontId="25" fillId="10" borderId="144" xfId="0" applyNumberFormat="1" applyFont="1" applyFill="1" applyBorder="1" applyAlignment="1">
      <alignment horizontal="center"/>
    </xf>
    <xf numFmtId="173" fontId="25" fillId="10" borderId="132" xfId="0" applyNumberFormat="1" applyFont="1" applyFill="1" applyBorder="1" applyAlignment="1">
      <alignment horizontal="center"/>
    </xf>
    <xf numFmtId="164" fontId="39" fillId="6" borderId="97" xfId="1" applyFont="1" applyFill="1" applyBorder="1" applyAlignment="1">
      <alignment horizontal="left" vertical="center"/>
    </xf>
    <xf numFmtId="164" fontId="39" fillId="6" borderId="97" xfId="1" applyFont="1" applyFill="1" applyBorder="1" applyAlignment="1">
      <alignment horizontal="center" vertical="center"/>
    </xf>
    <xf numFmtId="164" fontId="39" fillId="6" borderId="139" xfId="1" applyFont="1" applyFill="1" applyBorder="1" applyAlignment="1">
      <alignment horizontal="left" vertical="center"/>
    </xf>
    <xf numFmtId="0" fontId="28" fillId="2" borderId="28" xfId="0" applyFont="1" applyFill="1" applyBorder="1" applyAlignment="1">
      <alignment horizontal="center"/>
    </xf>
    <xf numFmtId="164" fontId="28" fillId="2" borderId="28" xfId="1" applyFont="1" applyFill="1" applyBorder="1" applyAlignment="1">
      <alignment horizontal="center" vertical="center"/>
    </xf>
    <xf numFmtId="0" fontId="34" fillId="21" borderId="29" xfId="0" applyFont="1" applyFill="1" applyBorder="1" applyAlignment="1">
      <alignment horizontal="center" vertical="center" wrapText="1"/>
    </xf>
    <xf numFmtId="0" fontId="34" fillId="21" borderId="34" xfId="0" applyFont="1" applyFill="1" applyBorder="1" applyAlignment="1">
      <alignment horizontal="center" vertical="center" wrapText="1"/>
    </xf>
    <xf numFmtId="0" fontId="34" fillId="21" borderId="35" xfId="0" applyFont="1" applyFill="1" applyBorder="1" applyAlignment="1">
      <alignment horizontal="center" vertical="center" wrapText="1"/>
    </xf>
    <xf numFmtId="164" fontId="69" fillId="5" borderId="154" xfId="1" applyFont="1" applyFill="1" applyBorder="1" applyAlignment="1">
      <alignment horizontal="left" vertical="center"/>
    </xf>
    <xf numFmtId="164" fontId="69" fillId="5" borderId="155" xfId="1" applyFont="1" applyFill="1" applyBorder="1" applyAlignment="1">
      <alignment horizontal="left" vertical="center"/>
    </xf>
    <xf numFmtId="0" fontId="20" fillId="6" borderId="156" xfId="0" applyFont="1" applyFill="1" applyBorder="1" applyAlignment="1">
      <alignment horizontal="center"/>
    </xf>
    <xf numFmtId="0" fontId="20" fillId="6" borderId="156" xfId="0" applyFont="1" applyFill="1" applyBorder="1" applyAlignment="1">
      <alignment horizontal="center" vertical="center" wrapText="1"/>
    </xf>
    <xf numFmtId="0" fontId="45" fillId="6" borderId="156" xfId="1" applyNumberFormat="1" applyFont="1" applyFill="1" applyBorder="1" applyAlignment="1">
      <alignment horizontal="center"/>
    </xf>
    <xf numFmtId="0" fontId="20" fillId="6" borderId="157" xfId="0" applyFont="1" applyFill="1" applyBorder="1" applyAlignment="1">
      <alignment horizontal="center" vertical="center" wrapText="1"/>
    </xf>
    <xf numFmtId="0" fontId="34" fillId="14" borderId="28" xfId="0" applyFont="1" applyFill="1" applyBorder="1" applyAlignment="1">
      <alignment horizontal="center"/>
    </xf>
    <xf numFmtId="0" fontId="34" fillId="14" borderId="29" xfId="0" applyFont="1" applyFill="1" applyBorder="1" applyAlignment="1">
      <alignment horizontal="center"/>
    </xf>
    <xf numFmtId="164" fontId="28" fillId="7" borderId="93" xfId="1" applyFont="1" applyFill="1" applyBorder="1"/>
    <xf numFmtId="0" fontId="18" fillId="6" borderId="160" xfId="0" applyFont="1" applyFill="1" applyBorder="1"/>
    <xf numFmtId="0" fontId="18" fillId="6" borderId="51" xfId="0" applyFont="1" applyFill="1" applyBorder="1"/>
    <xf numFmtId="0" fontId="18" fillId="6" borderId="52" xfId="0" applyFont="1" applyFill="1" applyBorder="1"/>
    <xf numFmtId="0" fontId="18" fillId="6" borderId="161" xfId="0" applyFont="1" applyFill="1" applyBorder="1"/>
    <xf numFmtId="164" fontId="34" fillId="7" borderId="71" xfId="1" applyFont="1" applyFill="1" applyBorder="1"/>
    <xf numFmtId="164" fontId="34" fillId="7" borderId="45" xfId="1" applyFont="1" applyFill="1" applyBorder="1"/>
    <xf numFmtId="0" fontId="34" fillId="3" borderId="162" xfId="0" applyFont="1" applyFill="1" applyBorder="1" applyAlignment="1">
      <alignment horizontal="center"/>
    </xf>
    <xf numFmtId="164" fontId="31" fillId="3" borderId="36" xfId="1" applyFont="1" applyFill="1" applyBorder="1"/>
    <xf numFmtId="0" fontId="18" fillId="6" borderId="163" xfId="0" applyFont="1" applyFill="1" applyBorder="1"/>
    <xf numFmtId="0" fontId="18" fillId="6" borderId="156" xfId="0" applyFont="1" applyFill="1" applyBorder="1"/>
    <xf numFmtId="0" fontId="18" fillId="6" borderId="164" xfId="0" applyFont="1" applyFill="1" applyBorder="1"/>
    <xf numFmtId="164" fontId="17" fillId="13" borderId="165" xfId="1" applyFont="1" applyFill="1" applyBorder="1"/>
    <xf numFmtId="164" fontId="17" fillId="13" borderId="158" xfId="1" applyFont="1" applyFill="1" applyBorder="1"/>
    <xf numFmtId="164" fontId="17" fillId="13" borderId="166" xfId="1" applyFont="1" applyFill="1" applyBorder="1"/>
    <xf numFmtId="164" fontId="15" fillId="5" borderId="29" xfId="1" applyFont="1" applyFill="1" applyBorder="1" applyAlignment="1">
      <alignment horizontal="center"/>
    </xf>
    <xf numFmtId="0" fontId="15" fillId="5" borderId="29" xfId="0" applyFont="1" applyFill="1" applyBorder="1" applyAlignment="1">
      <alignment horizontal="center"/>
    </xf>
    <xf numFmtId="164" fontId="28" fillId="9" borderId="30" xfId="1" applyFont="1" applyFill="1" applyBorder="1" applyAlignment="1">
      <alignment horizontal="center"/>
    </xf>
    <xf numFmtId="164" fontId="20" fillId="11" borderId="71" xfId="1" applyFont="1" applyFill="1" applyBorder="1"/>
    <xf numFmtId="164" fontId="20" fillId="11" borderId="72" xfId="1" applyFont="1" applyFill="1" applyBorder="1"/>
    <xf numFmtId="164" fontId="25" fillId="11" borderId="92" xfId="1" applyFont="1" applyFill="1" applyBorder="1"/>
    <xf numFmtId="164" fontId="20" fillId="11" borderId="45" xfId="1" applyFont="1" applyFill="1" applyBorder="1"/>
    <xf numFmtId="164" fontId="25" fillId="11" borderId="93" xfId="1" applyFont="1" applyFill="1" applyBorder="1"/>
    <xf numFmtId="164" fontId="20" fillId="11" borderId="46" xfId="1" applyFont="1" applyFill="1" applyBorder="1"/>
    <xf numFmtId="164" fontId="21" fillId="11" borderId="47" xfId="1" applyFont="1" applyFill="1" applyBorder="1"/>
    <xf numFmtId="164" fontId="25" fillId="11" borderId="48" xfId="1" applyFont="1" applyFill="1" applyBorder="1"/>
    <xf numFmtId="164" fontId="72" fillId="4" borderId="45" xfId="1" applyFont="1" applyFill="1" applyBorder="1"/>
    <xf numFmtId="164" fontId="72" fillId="4" borderId="46" xfId="1" applyFont="1" applyFill="1" applyBorder="1"/>
    <xf numFmtId="164" fontId="45" fillId="4" borderId="93" xfId="1" applyFont="1" applyFill="1" applyBorder="1"/>
    <xf numFmtId="164" fontId="45" fillId="4" borderId="48" xfId="1" applyFont="1" applyFill="1" applyBorder="1"/>
    <xf numFmtId="0" fontId="25" fillId="10" borderId="121" xfId="0" applyFont="1" applyFill="1" applyBorder="1" applyAlignment="1">
      <alignment horizontal="center"/>
    </xf>
    <xf numFmtId="0" fontId="25" fillId="10" borderId="32" xfId="0" applyFont="1" applyFill="1" applyBorder="1"/>
    <xf numFmtId="164" fontId="35" fillId="19" borderId="44" xfId="1" applyFont="1" applyFill="1" applyBorder="1" applyAlignment="1">
      <alignment horizontal="center" vertical="center"/>
    </xf>
    <xf numFmtId="164" fontId="57" fillId="25" borderId="69" xfId="1" applyFont="1" applyFill="1" applyBorder="1" applyAlignment="1">
      <alignment horizontal="center" vertical="center" wrapText="1"/>
    </xf>
    <xf numFmtId="164" fontId="26" fillId="4" borderId="65" xfId="1" applyFont="1" applyFill="1" applyBorder="1"/>
    <xf numFmtId="164" fontId="26" fillId="4" borderId="66" xfId="1" applyFont="1" applyFill="1" applyBorder="1"/>
    <xf numFmtId="164" fontId="25" fillId="4" borderId="170" xfId="1" applyFont="1" applyFill="1" applyBorder="1"/>
    <xf numFmtId="164" fontId="18" fillId="19" borderId="50" xfId="1" applyFont="1" applyFill="1" applyBorder="1"/>
    <xf numFmtId="0" fontId="25" fillId="7" borderId="30" xfId="1" applyNumberFormat="1" applyFont="1" applyFill="1" applyBorder="1" applyAlignment="1">
      <alignment horizontal="center" vertical="center" wrapText="1"/>
    </xf>
    <xf numFmtId="164" fontId="35" fillId="19" borderId="94" xfId="1" applyFont="1" applyFill="1" applyBorder="1" applyAlignment="1">
      <alignment horizontal="center" vertical="center"/>
    </xf>
    <xf numFmtId="0" fontId="18" fillId="19" borderId="86" xfId="0" applyFont="1" applyFill="1" applyBorder="1" applyAlignment="1">
      <alignment horizontal="center"/>
    </xf>
    <xf numFmtId="0" fontId="18" fillId="19" borderId="0" xfId="0" applyFont="1" applyFill="1" applyAlignment="1">
      <alignment horizontal="center"/>
    </xf>
    <xf numFmtId="0" fontId="18" fillId="19" borderId="0" xfId="0" applyFont="1" applyFill="1"/>
    <xf numFmtId="3" fontId="35" fillId="19" borderId="94" xfId="1" applyNumberFormat="1" applyFont="1" applyFill="1" applyBorder="1" applyAlignment="1">
      <alignment horizontal="center" vertical="center"/>
    </xf>
    <xf numFmtId="164" fontId="57" fillId="25" borderId="44" xfId="1" applyFont="1" applyFill="1" applyBorder="1" applyAlignment="1">
      <alignment horizontal="center" vertical="center" wrapText="1"/>
    </xf>
    <xf numFmtId="1" fontId="35" fillId="19" borderId="169" xfId="1" applyNumberFormat="1" applyFont="1" applyFill="1" applyBorder="1" applyAlignment="1">
      <alignment horizontal="center" vertical="center"/>
    </xf>
    <xf numFmtId="164" fontId="57" fillId="25" borderId="167" xfId="1" applyFont="1" applyFill="1" applyBorder="1" applyAlignment="1">
      <alignment horizontal="center" vertical="center" wrapText="1"/>
    </xf>
    <xf numFmtId="3" fontId="35" fillId="19" borderId="168" xfId="1" applyNumberFormat="1" applyFont="1" applyFill="1" applyBorder="1" applyAlignment="1">
      <alignment horizontal="center" vertical="center"/>
    </xf>
    <xf numFmtId="164" fontId="57" fillId="25" borderId="115" xfId="1" applyFont="1" applyFill="1" applyBorder="1" applyAlignment="1">
      <alignment horizontal="center" vertical="center" wrapText="1"/>
    </xf>
    <xf numFmtId="164" fontId="57" fillId="25" borderId="177" xfId="1" applyFont="1" applyFill="1" applyBorder="1" applyAlignment="1">
      <alignment horizontal="center" vertical="center" wrapText="1"/>
    </xf>
    <xf numFmtId="164" fontId="57" fillId="25" borderId="178" xfId="1" applyFont="1" applyFill="1" applyBorder="1" applyAlignment="1">
      <alignment horizontal="center" vertical="center" wrapText="1"/>
    </xf>
    <xf numFmtId="164" fontId="57" fillId="25" borderId="179" xfId="1" applyFont="1" applyFill="1" applyBorder="1" applyAlignment="1">
      <alignment horizontal="center" vertical="center" wrapText="1"/>
    </xf>
    <xf numFmtId="164" fontId="59" fillId="25" borderId="53" xfId="1" applyFont="1" applyFill="1" applyBorder="1" applyAlignment="1">
      <alignment horizontal="center" vertical="center" wrapText="1"/>
    </xf>
    <xf numFmtId="3" fontId="18" fillId="19" borderId="180" xfId="1" applyNumberFormat="1" applyFont="1" applyFill="1" applyBorder="1" applyAlignment="1">
      <alignment horizontal="center"/>
    </xf>
    <xf numFmtId="3" fontId="18" fillId="19" borderId="49" xfId="1" applyNumberFormat="1" applyFont="1" applyFill="1" applyBorder="1" applyAlignment="1">
      <alignment horizontal="center"/>
    </xf>
    <xf numFmtId="0" fontId="18" fillId="19" borderId="181" xfId="0" applyFont="1" applyFill="1" applyBorder="1" applyAlignment="1">
      <alignment horizontal="center"/>
    </xf>
    <xf numFmtId="164" fontId="18" fillId="19" borderId="182" xfId="1" applyFont="1" applyFill="1" applyBorder="1" applyAlignment="1">
      <alignment horizontal="center"/>
    </xf>
    <xf numFmtId="10" fontId="18" fillId="19" borderId="183" xfId="1" applyNumberFormat="1" applyFont="1" applyFill="1" applyBorder="1" applyAlignment="1">
      <alignment horizontal="center"/>
    </xf>
    <xf numFmtId="164" fontId="18" fillId="19" borderId="58" xfId="1" applyFont="1" applyFill="1" applyBorder="1" applyAlignment="1">
      <alignment horizontal="center"/>
    </xf>
    <xf numFmtId="3" fontId="35" fillId="19" borderId="173" xfId="1" applyNumberFormat="1" applyFont="1" applyFill="1" applyBorder="1" applyAlignment="1">
      <alignment horizontal="center" vertical="center"/>
    </xf>
    <xf numFmtId="164" fontId="59" fillId="19" borderId="173" xfId="1" applyFont="1" applyFill="1" applyBorder="1" applyAlignment="1">
      <alignment horizontal="center" vertical="center"/>
    </xf>
    <xf numFmtId="164" fontId="35" fillId="19" borderId="173" xfId="1" applyFont="1" applyFill="1" applyBorder="1" applyAlignment="1">
      <alignment horizontal="center" vertical="center"/>
    </xf>
    <xf numFmtId="3" fontId="58" fillId="19" borderId="37" xfId="1" applyNumberFormat="1" applyFont="1" applyFill="1" applyBorder="1" applyAlignment="1">
      <alignment horizontal="center" vertical="center"/>
    </xf>
    <xf numFmtId="173" fontId="58" fillId="19" borderId="28" xfId="1" applyNumberFormat="1" applyFont="1" applyFill="1" applyBorder="1" applyAlignment="1">
      <alignment horizontal="center" vertical="center"/>
    </xf>
    <xf numFmtId="0" fontId="26" fillId="19" borderId="86" xfId="0" applyFont="1" applyFill="1" applyBorder="1" applyAlignment="1">
      <alignment wrapText="1"/>
    </xf>
    <xf numFmtId="3" fontId="58" fillId="19" borderId="37" xfId="1" applyNumberFormat="1" applyFont="1" applyFill="1" applyBorder="1" applyAlignment="1">
      <alignment horizontal="center" vertical="center" wrapText="1"/>
    </xf>
    <xf numFmtId="173" fontId="58" fillId="19" borderId="28" xfId="1" applyNumberFormat="1" applyFont="1" applyFill="1" applyBorder="1" applyAlignment="1">
      <alignment horizontal="center" vertical="center" wrapText="1"/>
    </xf>
    <xf numFmtId="3" fontId="35" fillId="19" borderId="39" xfId="1" applyNumberFormat="1" applyFont="1" applyFill="1" applyBorder="1" applyAlignment="1">
      <alignment horizontal="center" vertical="center" wrapText="1"/>
    </xf>
    <xf numFmtId="1" fontId="35" fillId="19" borderId="169" xfId="1" applyNumberFormat="1" applyFont="1" applyFill="1" applyBorder="1" applyAlignment="1">
      <alignment horizontal="center" vertical="center" wrapText="1"/>
    </xf>
    <xf numFmtId="3" fontId="35" fillId="19" borderId="168" xfId="1" applyNumberFormat="1" applyFont="1" applyFill="1" applyBorder="1" applyAlignment="1">
      <alignment horizontal="center" vertical="center" wrapText="1"/>
    </xf>
    <xf numFmtId="164" fontId="58" fillId="19" borderId="132" xfId="1" applyFont="1" applyFill="1" applyBorder="1" applyAlignment="1">
      <alignment wrapText="1"/>
    </xf>
    <xf numFmtId="0" fontId="26" fillId="0" borderId="0" xfId="0" applyFont="1" applyAlignment="1">
      <alignment wrapText="1"/>
    </xf>
    <xf numFmtId="164" fontId="35" fillId="19" borderId="174" xfId="1" applyFont="1" applyFill="1" applyBorder="1" applyAlignment="1">
      <alignment horizontal="center" vertical="center"/>
    </xf>
    <xf numFmtId="164" fontId="57" fillId="25" borderId="173" xfId="1" applyFont="1" applyFill="1" applyBorder="1" applyAlignment="1">
      <alignment horizontal="center" vertical="center" wrapText="1"/>
    </xf>
    <xf numFmtId="1" fontId="35" fillId="19" borderId="173" xfId="1" applyNumberFormat="1" applyFont="1" applyFill="1" applyBorder="1" applyAlignment="1">
      <alignment horizontal="center" vertical="center"/>
    </xf>
    <xf numFmtId="164" fontId="59" fillId="25" borderId="173" xfId="1" applyFont="1" applyFill="1" applyBorder="1" applyAlignment="1">
      <alignment horizontal="center" vertical="center" wrapText="1"/>
    </xf>
    <xf numFmtId="164" fontId="26" fillId="21" borderId="65" xfId="1" applyFont="1" applyFill="1" applyBorder="1" applyAlignment="1">
      <alignment horizontal="left"/>
    </xf>
    <xf numFmtId="164" fontId="73" fillId="4" borderId="170" xfId="1" applyFont="1" applyFill="1" applyBorder="1"/>
    <xf numFmtId="164" fontId="18" fillId="19" borderId="49" xfId="1" applyFont="1" applyFill="1" applyBorder="1" applyAlignment="1">
      <alignment horizontal="center"/>
    </xf>
    <xf numFmtId="0" fontId="25" fillId="7" borderId="63" xfId="1" applyNumberFormat="1" applyFont="1" applyFill="1" applyBorder="1" applyAlignment="1">
      <alignment horizontal="center" vertical="center" wrapText="1"/>
    </xf>
    <xf numFmtId="10" fontId="18" fillId="19" borderId="173" xfId="1" applyNumberFormat="1" applyFont="1" applyFill="1" applyBorder="1" applyAlignment="1">
      <alignment horizontal="center"/>
    </xf>
    <xf numFmtId="164" fontId="18" fillId="19" borderId="173" xfId="1" applyFont="1" applyFill="1" applyBorder="1" applyAlignment="1">
      <alignment horizontal="center"/>
    </xf>
    <xf numFmtId="0" fontId="25" fillId="7" borderId="173" xfId="1" applyNumberFormat="1" applyFont="1" applyFill="1" applyBorder="1" applyAlignment="1">
      <alignment horizontal="center" vertical="center" wrapText="1"/>
    </xf>
    <xf numFmtId="0" fontId="26" fillId="19" borderId="120" xfId="0" applyFont="1" applyFill="1" applyBorder="1" applyAlignment="1">
      <alignment horizontal="center" vertical="center" wrapText="1"/>
    </xf>
    <xf numFmtId="0" fontId="37" fillId="19" borderId="53" xfId="0" applyFont="1" applyFill="1" applyBorder="1"/>
    <xf numFmtId="0" fontId="38" fillId="19" borderId="53" xfId="0" applyFont="1" applyFill="1" applyBorder="1"/>
    <xf numFmtId="0" fontId="38" fillId="19" borderId="32" xfId="0" applyFont="1" applyFill="1" applyBorder="1"/>
    <xf numFmtId="0" fontId="37" fillId="19" borderId="32" xfId="0" applyFont="1" applyFill="1" applyBorder="1"/>
    <xf numFmtId="0" fontId="26" fillId="19" borderId="59" xfId="0" applyFont="1" applyFill="1" applyBorder="1" applyAlignment="1">
      <alignment horizontal="center" vertical="center" wrapText="1"/>
    </xf>
    <xf numFmtId="0" fontId="38" fillId="19" borderId="120" xfId="0" applyFont="1" applyFill="1" applyBorder="1"/>
    <xf numFmtId="0" fontId="26" fillId="19" borderId="53" xfId="0" applyFont="1" applyFill="1" applyBorder="1" applyAlignment="1">
      <alignment horizontal="center" vertical="center" wrapText="1"/>
    </xf>
    <xf numFmtId="0" fontId="37" fillId="19" borderId="120" xfId="0" applyFont="1" applyFill="1" applyBorder="1"/>
    <xf numFmtId="0" fontId="20" fillId="19" borderId="53" xfId="0" applyFont="1" applyFill="1" applyBorder="1" applyAlignment="1">
      <alignment horizontal="center" vertical="center" wrapText="1"/>
    </xf>
    <xf numFmtId="0" fontId="13" fillId="19" borderId="32" xfId="0" applyFont="1" applyFill="1" applyBorder="1"/>
    <xf numFmtId="0" fontId="55" fillId="26" borderId="76" xfId="0" applyFont="1" applyFill="1" applyBorder="1" applyAlignment="1">
      <alignment vertical="center"/>
    </xf>
    <xf numFmtId="0" fontId="55" fillId="26" borderId="84" xfId="0" applyFont="1" applyFill="1" applyBorder="1" applyAlignment="1">
      <alignment vertical="center"/>
    </xf>
    <xf numFmtId="1" fontId="35" fillId="19" borderId="172" xfId="1" applyNumberFormat="1" applyFont="1" applyFill="1" applyBorder="1" applyAlignment="1">
      <alignment horizontal="center" vertical="center"/>
    </xf>
    <xf numFmtId="3" fontId="35" fillId="19" borderId="120" xfId="1" applyNumberFormat="1" applyFont="1" applyFill="1" applyBorder="1" applyAlignment="1">
      <alignment horizontal="center" vertical="center"/>
    </xf>
    <xf numFmtId="3" fontId="28" fillId="2" borderId="28" xfId="1" applyNumberFormat="1" applyFont="1" applyFill="1" applyBorder="1" applyAlignment="1">
      <alignment horizontal="center" vertical="center"/>
    </xf>
    <xf numFmtId="0" fontId="55" fillId="26" borderId="187" xfId="0" applyFont="1" applyFill="1" applyBorder="1" applyAlignment="1">
      <alignment vertical="center"/>
    </xf>
    <xf numFmtId="0" fontId="26" fillId="5" borderId="152" xfId="0" applyFont="1" applyFill="1" applyBorder="1" applyAlignment="1">
      <alignment horizontal="left"/>
    </xf>
    <xf numFmtId="164" fontId="53" fillId="27" borderId="66" xfId="1" applyFont="1" applyFill="1" applyBorder="1" applyAlignment="1">
      <alignment horizontal="center" vertical="center"/>
    </xf>
    <xf numFmtId="164" fontId="53" fillId="27" borderId="127" xfId="1" applyFont="1" applyFill="1" applyBorder="1" applyAlignment="1">
      <alignment horizontal="left" vertical="center"/>
    </xf>
    <xf numFmtId="43" fontId="10" fillId="0" borderId="0" xfId="0" applyNumberFormat="1" applyFont="1"/>
    <xf numFmtId="0" fontId="18" fillId="6" borderId="0" xfId="0" applyFont="1" applyFill="1" applyAlignment="1">
      <alignment horizontal="left" vertical="center" wrapText="1"/>
    </xf>
    <xf numFmtId="0" fontId="71" fillId="24" borderId="0" xfId="0" applyFont="1" applyFill="1" applyAlignment="1">
      <alignment horizontal="left" vertical="center" wrapText="1"/>
    </xf>
    <xf numFmtId="0" fontId="71" fillId="24" borderId="113" xfId="0" applyFont="1" applyFill="1" applyBorder="1" applyAlignment="1">
      <alignment vertical="center" wrapText="1"/>
    </xf>
    <xf numFmtId="164" fontId="34" fillId="7" borderId="41" xfId="1" applyFont="1" applyFill="1" applyBorder="1"/>
    <xf numFmtId="164" fontId="28" fillId="7" borderId="41" xfId="1" applyFont="1" applyFill="1" applyBorder="1"/>
    <xf numFmtId="0" fontId="34" fillId="3" borderId="63" xfId="0" applyFont="1" applyFill="1" applyBorder="1" applyAlignment="1">
      <alignment horizontal="center"/>
    </xf>
    <xf numFmtId="164" fontId="34" fillId="7" borderId="190" xfId="1" applyFont="1" applyFill="1" applyBorder="1"/>
    <xf numFmtId="164" fontId="28" fillId="7" borderId="191" xfId="1" applyFont="1" applyFill="1" applyBorder="1"/>
    <xf numFmtId="164" fontId="31" fillId="3" borderId="192" xfId="1" applyFont="1" applyFill="1" applyBorder="1"/>
    <xf numFmtId="43" fontId="32" fillId="0" borderId="0" xfId="0" applyNumberFormat="1" applyFont="1"/>
    <xf numFmtId="43" fontId="45" fillId="10" borderId="41" xfId="1" applyNumberFormat="1" applyFont="1" applyFill="1" applyBorder="1"/>
    <xf numFmtId="0" fontId="24" fillId="6" borderId="28" xfId="0" applyFont="1" applyFill="1" applyBorder="1" applyAlignment="1">
      <alignment horizontal="center" vertical="center" wrapText="1"/>
    </xf>
    <xf numFmtId="0" fontId="34" fillId="6" borderId="29" xfId="0" applyFont="1" applyFill="1" applyBorder="1" applyAlignment="1">
      <alignment horizontal="center" vertical="center" wrapText="1"/>
    </xf>
    <xf numFmtId="164" fontId="24" fillId="4" borderId="28" xfId="1" applyFont="1" applyFill="1" applyBorder="1" applyAlignment="1">
      <alignment horizontal="center" vertical="center" wrapText="1"/>
    </xf>
    <xf numFmtId="0" fontId="24" fillId="4" borderId="28" xfId="0" applyFont="1" applyFill="1" applyBorder="1" applyAlignment="1">
      <alignment horizontal="center" vertical="center" wrapText="1"/>
    </xf>
    <xf numFmtId="164" fontId="34" fillId="4" borderId="29" xfId="1" applyFont="1" applyFill="1" applyBorder="1" applyAlignment="1">
      <alignment horizontal="center" vertical="center" wrapText="1"/>
    </xf>
    <xf numFmtId="0" fontId="34" fillId="4" borderId="29" xfId="0" applyFont="1" applyFill="1" applyBorder="1" applyAlignment="1">
      <alignment horizontal="center" vertical="center" wrapText="1"/>
    </xf>
    <xf numFmtId="164" fontId="26" fillId="5" borderId="41" xfId="1" applyFont="1" applyFill="1" applyBorder="1"/>
    <xf numFmtId="164" fontId="26" fillId="5" borderId="45" xfId="1" applyFont="1" applyFill="1" applyBorder="1"/>
    <xf numFmtId="164" fontId="26" fillId="5" borderId="156" xfId="1" applyFont="1" applyFill="1" applyBorder="1"/>
    <xf numFmtId="164" fontId="26" fillId="5" borderId="47" xfId="1" applyFont="1" applyFill="1" applyBorder="1"/>
    <xf numFmtId="164" fontId="26" fillId="5" borderId="46" xfId="1" applyFont="1" applyFill="1" applyBorder="1"/>
    <xf numFmtId="164" fontId="26" fillId="5" borderId="157" xfId="1" applyFont="1" applyFill="1" applyBorder="1"/>
    <xf numFmtId="0" fontId="24" fillId="10" borderId="29" xfId="0" applyFont="1" applyFill="1" applyBorder="1" applyAlignment="1">
      <alignment horizontal="center" vertical="center" wrapText="1"/>
    </xf>
    <xf numFmtId="0" fontId="76" fillId="5" borderId="68" xfId="0" applyFont="1" applyFill="1" applyBorder="1" applyAlignment="1">
      <alignment vertical="center" wrapText="1"/>
    </xf>
    <xf numFmtId="164" fontId="26" fillId="5" borderId="61" xfId="1" applyFont="1" applyFill="1" applyBorder="1"/>
    <xf numFmtId="164" fontId="26" fillId="5" borderId="189" xfId="1" applyFont="1" applyFill="1" applyBorder="1"/>
    <xf numFmtId="164" fontId="45" fillId="10" borderId="71" xfId="1" applyFont="1" applyFill="1" applyBorder="1"/>
    <xf numFmtId="164" fontId="45" fillId="10" borderId="92" xfId="1" applyFont="1" applyFill="1" applyBorder="1"/>
    <xf numFmtId="164" fontId="45" fillId="10" borderId="45" xfId="1" applyFont="1" applyFill="1" applyBorder="1"/>
    <xf numFmtId="164" fontId="45" fillId="10" borderId="93" xfId="1" applyFont="1" applyFill="1" applyBorder="1"/>
    <xf numFmtId="164" fontId="45" fillId="10" borderId="46" xfId="1" applyFont="1" applyFill="1" applyBorder="1"/>
    <xf numFmtId="164" fontId="45" fillId="10" borderId="48" xfId="1" applyFont="1" applyFill="1" applyBorder="1"/>
    <xf numFmtId="43" fontId="28" fillId="7" borderId="93" xfId="1" applyNumberFormat="1" applyFont="1" applyFill="1" applyBorder="1"/>
    <xf numFmtId="0" fontId="18" fillId="6" borderId="41" xfId="0" applyFont="1" applyFill="1" applyBorder="1" applyAlignment="1">
      <alignment horizontal="left"/>
    </xf>
    <xf numFmtId="0" fontId="71" fillId="24" borderId="41" xfId="0" applyFont="1" applyFill="1" applyBorder="1" applyAlignment="1">
      <alignment horizontal="left"/>
    </xf>
    <xf numFmtId="0" fontId="22" fillId="6" borderId="41" xfId="1" applyNumberFormat="1" applyFont="1" applyFill="1" applyBorder="1" applyAlignment="1">
      <alignment horizontal="left"/>
    </xf>
    <xf numFmtId="43" fontId="45" fillId="10" borderId="45" xfId="1" applyNumberFormat="1" applyFont="1" applyFill="1" applyBorder="1"/>
    <xf numFmtId="0" fontId="34" fillId="14" borderId="60" xfId="0" applyFont="1" applyFill="1" applyBorder="1" applyAlignment="1">
      <alignment horizontal="center"/>
    </xf>
    <xf numFmtId="164" fontId="31" fillId="3" borderId="193" xfId="1" applyFont="1" applyFill="1" applyBorder="1"/>
    <xf numFmtId="43" fontId="1" fillId="0" borderId="0" xfId="0" applyNumberFormat="1" applyFont="1" applyAlignment="1">
      <alignment vertical="center" wrapText="1"/>
    </xf>
    <xf numFmtId="0" fontId="77" fillId="26" borderId="170" xfId="0" applyFont="1" applyFill="1" applyBorder="1" applyAlignment="1">
      <alignment vertical="center"/>
    </xf>
    <xf numFmtId="0" fontId="77" fillId="26" borderId="187" xfId="0" applyFont="1" applyFill="1" applyBorder="1" applyAlignment="1">
      <alignment vertical="center"/>
    </xf>
    <xf numFmtId="0" fontId="16" fillId="5" borderId="64" xfId="0" applyFont="1" applyFill="1" applyBorder="1" applyAlignment="1">
      <alignment horizontal="center"/>
    </xf>
    <xf numFmtId="0" fontId="16" fillId="5" borderId="67" xfId="0" applyFont="1" applyFill="1" applyBorder="1" applyAlignment="1">
      <alignment horizontal="center"/>
    </xf>
    <xf numFmtId="0" fontId="77" fillId="26" borderId="142" xfId="0" applyFont="1" applyFill="1" applyBorder="1" applyAlignment="1">
      <alignment vertical="center"/>
    </xf>
    <xf numFmtId="0" fontId="1" fillId="5" borderId="95" xfId="0" applyFont="1" applyFill="1" applyBorder="1" applyAlignment="1">
      <alignment horizontal="center"/>
    </xf>
    <xf numFmtId="0" fontId="1" fillId="5" borderId="96" xfId="0" applyFont="1" applyFill="1" applyBorder="1" applyAlignment="1">
      <alignment horizontal="left"/>
    </xf>
    <xf numFmtId="0" fontId="28" fillId="2" borderId="37" xfId="0" applyFont="1" applyFill="1" applyBorder="1" applyAlignment="1">
      <alignment horizontal="center"/>
    </xf>
    <xf numFmtId="0" fontId="28" fillId="2" borderId="85" xfId="0" applyFont="1" applyFill="1" applyBorder="1" applyAlignment="1">
      <alignment horizontal="center"/>
    </xf>
    <xf numFmtId="3" fontId="28" fillId="2" borderId="31" xfId="1" applyNumberFormat="1" applyFont="1" applyFill="1" applyBorder="1" applyAlignment="1">
      <alignment horizontal="center" vertical="center"/>
    </xf>
    <xf numFmtId="0" fontId="1" fillId="5" borderId="152" xfId="0" applyFont="1" applyFill="1" applyBorder="1" applyAlignment="1">
      <alignment horizontal="left"/>
    </xf>
    <xf numFmtId="3" fontId="56" fillId="22" borderId="128" xfId="0" applyNumberFormat="1" applyFont="1" applyFill="1" applyBorder="1" applyAlignment="1">
      <alignment horizontal="center" vertical="center"/>
    </xf>
    <xf numFmtId="3" fontId="78" fillId="22" borderId="65" xfId="1" applyNumberFormat="1" applyFont="1" applyFill="1" applyBorder="1" applyAlignment="1">
      <alignment horizontal="center" vertical="center"/>
    </xf>
    <xf numFmtId="3" fontId="56" fillId="22" borderId="130" xfId="0" applyNumberFormat="1" applyFont="1" applyFill="1" applyBorder="1" applyAlignment="1">
      <alignment horizontal="center" vertical="center"/>
    </xf>
    <xf numFmtId="3" fontId="78" fillId="22" borderId="126" xfId="1" applyNumberFormat="1" applyFont="1" applyFill="1" applyBorder="1" applyAlignment="1">
      <alignment horizontal="center" vertical="center"/>
    </xf>
    <xf numFmtId="164" fontId="34" fillId="10" borderId="66" xfId="1" applyFont="1" applyFill="1" applyBorder="1" applyAlignment="1">
      <alignment horizontal="center" vertical="center"/>
    </xf>
    <xf numFmtId="164" fontId="34" fillId="10" borderId="127" xfId="1" applyFont="1" applyFill="1" applyBorder="1" applyAlignment="1">
      <alignment horizontal="left" vertical="center"/>
    </xf>
    <xf numFmtId="164" fontId="39" fillId="10" borderId="65" xfId="1" applyFont="1" applyFill="1" applyBorder="1" applyAlignment="1">
      <alignment horizontal="center" vertical="center"/>
    </xf>
    <xf numFmtId="164" fontId="39" fillId="10" borderId="65" xfId="1" applyFont="1" applyFill="1" applyBorder="1" applyAlignment="1">
      <alignment horizontal="left" vertical="center"/>
    </xf>
    <xf numFmtId="164" fontId="39" fillId="10" borderId="66" xfId="1" applyFont="1" applyFill="1" applyBorder="1" applyAlignment="1">
      <alignment horizontal="center" vertical="center"/>
    </xf>
    <xf numFmtId="164" fontId="39" fillId="10" borderId="97" xfId="1" applyFont="1" applyFill="1" applyBorder="1" applyAlignment="1">
      <alignment horizontal="left" vertical="center"/>
    </xf>
    <xf numFmtId="164" fontId="39" fillId="10" borderId="97" xfId="1" applyFont="1" applyFill="1" applyBorder="1" applyAlignment="1">
      <alignment horizontal="center" vertical="center"/>
    </xf>
    <xf numFmtId="0" fontId="22" fillId="5" borderId="196" xfId="0" applyFont="1" applyFill="1" applyBorder="1" applyAlignment="1">
      <alignment horizontal="center"/>
    </xf>
    <xf numFmtId="0" fontId="25" fillId="21" borderId="29" xfId="0" applyFont="1" applyFill="1" applyBorder="1" applyAlignment="1">
      <alignment horizontal="center" vertical="center" wrapText="1"/>
    </xf>
    <xf numFmtId="164" fontId="75" fillId="10" borderId="188" xfId="1" applyFont="1" applyFill="1" applyBorder="1" applyAlignment="1">
      <alignment horizontal="center" vertical="center"/>
    </xf>
    <xf numFmtId="164" fontId="34" fillId="10" borderId="198" xfId="1" applyFont="1" applyFill="1" applyBorder="1" applyAlignment="1">
      <alignment horizontal="center" vertical="center"/>
    </xf>
    <xf numFmtId="164" fontId="75" fillId="10" borderId="121" xfId="1" applyFont="1" applyFill="1" applyBorder="1" applyAlignment="1">
      <alignment horizontal="center" vertical="center"/>
    </xf>
    <xf numFmtId="164" fontId="75" fillId="27" borderId="188" xfId="1" applyFont="1" applyFill="1" applyBorder="1" applyAlignment="1">
      <alignment horizontal="center" vertical="center"/>
    </xf>
    <xf numFmtId="164" fontId="34" fillId="27" borderId="199" xfId="1" applyFont="1" applyFill="1" applyBorder="1" applyAlignment="1">
      <alignment horizontal="center" vertical="center"/>
    </xf>
    <xf numFmtId="164" fontId="75" fillId="27" borderId="121" xfId="1" applyFont="1" applyFill="1" applyBorder="1" applyAlignment="1">
      <alignment horizontal="center" vertical="center"/>
    </xf>
    <xf numFmtId="164" fontId="34" fillId="27" borderId="201" xfId="1" applyFont="1" applyFill="1" applyBorder="1" applyAlignment="1">
      <alignment horizontal="left" vertical="center"/>
    </xf>
    <xf numFmtId="0" fontId="67" fillId="19" borderId="115" xfId="0" applyFont="1" applyFill="1" applyBorder="1"/>
    <xf numFmtId="0" fontId="67" fillId="19" borderId="116" xfId="0" applyFont="1" applyFill="1" applyBorder="1"/>
    <xf numFmtId="0" fontId="67" fillId="19" borderId="131" xfId="0" applyFont="1" applyFill="1" applyBorder="1"/>
    <xf numFmtId="0" fontId="25" fillId="21" borderId="194" xfId="0" applyFont="1" applyFill="1" applyBorder="1" applyAlignment="1">
      <alignment horizontal="center" vertical="center" wrapText="1"/>
    </xf>
    <xf numFmtId="0" fontId="25" fillId="21" borderId="178" xfId="0" applyFont="1" applyFill="1" applyBorder="1" applyAlignment="1">
      <alignment horizontal="center" vertical="center" wrapText="1"/>
    </xf>
    <xf numFmtId="0" fontId="25" fillId="21" borderId="195" xfId="0" applyFont="1" applyFill="1" applyBorder="1" applyAlignment="1">
      <alignment horizontal="center" vertical="center" wrapText="1"/>
    </xf>
    <xf numFmtId="164" fontId="75" fillId="27" borderId="197" xfId="1" applyFont="1" applyFill="1" applyBorder="1" applyAlignment="1">
      <alignment horizontal="center" vertical="center"/>
    </xf>
    <xf numFmtId="164" fontId="53" fillId="27" borderId="142" xfId="1" applyFont="1" applyFill="1" applyBorder="1" applyAlignment="1">
      <alignment horizontal="center" vertical="center"/>
    </xf>
    <xf numFmtId="164" fontId="34" fillId="27" borderId="202" xfId="1" applyFont="1" applyFill="1" applyBorder="1" applyAlignment="1">
      <alignment horizontal="center" vertical="center"/>
    </xf>
    <xf numFmtId="3" fontId="45" fillId="22" borderId="203" xfId="0" applyNumberFormat="1" applyFont="1" applyFill="1" applyBorder="1" applyAlignment="1">
      <alignment horizontal="center" vertical="center"/>
    </xf>
    <xf numFmtId="3" fontId="39" fillId="22" borderId="122" xfId="1" applyNumberFormat="1" applyFont="1" applyFill="1" applyBorder="1" applyAlignment="1">
      <alignment horizontal="center" vertical="center"/>
    </xf>
    <xf numFmtId="3" fontId="41" fillId="22" borderId="142" xfId="1" applyNumberFormat="1" applyFont="1" applyFill="1" applyBorder="1" applyAlignment="1">
      <alignment horizontal="center" vertical="center"/>
    </xf>
    <xf numFmtId="164" fontId="39" fillId="6" borderId="122" xfId="1" applyFont="1" applyFill="1" applyBorder="1" applyAlignment="1">
      <alignment horizontal="center" vertical="center"/>
    </xf>
    <xf numFmtId="164" fontId="39" fillId="6" borderId="122" xfId="1" applyFont="1" applyFill="1" applyBorder="1" applyAlignment="1">
      <alignment horizontal="left" vertical="center"/>
    </xf>
    <xf numFmtId="164" fontId="39" fillId="6" borderId="142" xfId="1" applyFont="1" applyFill="1" applyBorder="1" applyAlignment="1">
      <alignment horizontal="center" vertical="center"/>
    </xf>
    <xf numFmtId="164" fontId="39" fillId="6" borderId="142" xfId="1" applyFont="1" applyFill="1" applyBorder="1" applyAlignment="1">
      <alignment horizontal="left" vertical="center"/>
    </xf>
    <xf numFmtId="0" fontId="25" fillId="21" borderId="192" xfId="0" applyFont="1" applyFill="1" applyBorder="1" applyAlignment="1">
      <alignment horizontal="center"/>
    </xf>
    <xf numFmtId="0" fontId="25" fillId="21" borderId="123" xfId="0" applyFont="1" applyFill="1" applyBorder="1" applyAlignment="1">
      <alignment horizontal="center" vertical="center" wrapText="1"/>
    </xf>
    <xf numFmtId="0" fontId="43" fillId="21" borderId="123" xfId="0" applyFont="1" applyFill="1" applyBorder="1" applyAlignment="1">
      <alignment horizontal="center"/>
    </xf>
    <xf numFmtId="0" fontId="43" fillId="21" borderId="204" xfId="0" applyFont="1" applyFill="1" applyBorder="1" applyAlignment="1">
      <alignment horizontal="center"/>
    </xf>
    <xf numFmtId="164" fontId="23" fillId="10" borderId="188" xfId="1" applyFont="1" applyFill="1" applyBorder="1" applyAlignment="1">
      <alignment horizontal="center" vertical="center"/>
    </xf>
    <xf numFmtId="164" fontId="23" fillId="10" borderId="200" xfId="1" applyFont="1" applyFill="1" applyBorder="1" applyAlignment="1">
      <alignment horizontal="center" vertical="center"/>
    </xf>
    <xf numFmtId="164" fontId="45" fillId="8" borderId="41" xfId="1" applyFont="1" applyFill="1" applyBorder="1"/>
    <xf numFmtId="43" fontId="45" fillId="8" borderId="41" xfId="1" applyNumberFormat="1" applyFont="1" applyFill="1" applyBorder="1"/>
    <xf numFmtId="164" fontId="26" fillId="23" borderId="41" xfId="1" applyFont="1" applyFill="1" applyBorder="1"/>
    <xf numFmtId="43" fontId="26" fillId="23" borderId="41" xfId="1" applyNumberFormat="1" applyFont="1" applyFill="1" applyBorder="1"/>
    <xf numFmtId="164" fontId="20" fillId="4" borderId="158" xfId="1" applyFont="1" applyFill="1" applyBorder="1"/>
    <xf numFmtId="43" fontId="20" fillId="4" borderId="158" xfId="1" applyNumberFormat="1" applyFont="1" applyFill="1" applyBorder="1"/>
    <xf numFmtId="1" fontId="20" fillId="6" borderId="45" xfId="0" applyNumberFormat="1" applyFont="1" applyFill="1" applyBorder="1" applyAlignment="1">
      <alignment horizontal="center" vertical="center"/>
    </xf>
    <xf numFmtId="0" fontId="26" fillId="6" borderId="124" xfId="0" applyFont="1" applyFill="1" applyBorder="1" applyAlignment="1">
      <alignment horizontal="left"/>
    </xf>
    <xf numFmtId="0" fontId="39" fillId="6" borderId="124" xfId="1" applyNumberFormat="1" applyFont="1" applyFill="1" applyBorder="1" applyAlignment="1">
      <alignment horizontal="left"/>
    </xf>
    <xf numFmtId="168" fontId="26" fillId="6" borderId="45" xfId="0" applyNumberFormat="1" applyFont="1" applyFill="1" applyBorder="1" applyAlignment="1">
      <alignment horizontal="center" vertical="center"/>
    </xf>
    <xf numFmtId="0" fontId="26" fillId="6" borderId="93" xfId="0" applyFont="1" applyFill="1" applyBorder="1" applyAlignment="1">
      <alignment horizontal="left" vertical="center" wrapText="1"/>
    </xf>
    <xf numFmtId="0" fontId="55" fillId="24" borderId="93" xfId="0" applyFont="1" applyFill="1" applyBorder="1" applyAlignment="1">
      <alignment horizontal="left" vertical="center" wrapText="1"/>
    </xf>
    <xf numFmtId="164" fontId="45" fillId="8" borderId="156" xfId="1" applyFont="1" applyFill="1" applyBorder="1"/>
    <xf numFmtId="43" fontId="45" fillId="8" borderId="156" xfId="1" applyNumberFormat="1" applyFont="1" applyFill="1" applyBorder="1"/>
    <xf numFmtId="164" fontId="45" fillId="10" borderId="158" xfId="1" applyFont="1" applyFill="1" applyBorder="1"/>
    <xf numFmtId="43" fontId="45" fillId="10" borderId="158" xfId="1" applyNumberFormat="1" applyFont="1" applyFill="1" applyBorder="1"/>
    <xf numFmtId="164" fontId="45" fillId="8" borderId="45" xfId="1" applyFont="1" applyFill="1" applyBorder="1"/>
    <xf numFmtId="164" fontId="45" fillId="8" borderId="93" xfId="1" applyFont="1" applyFill="1" applyBorder="1"/>
    <xf numFmtId="43" fontId="45" fillId="8" borderId="45" xfId="1" applyNumberFormat="1" applyFont="1" applyFill="1" applyBorder="1"/>
    <xf numFmtId="43" fontId="45" fillId="8" borderId="93" xfId="1" applyNumberFormat="1" applyFont="1" applyFill="1" applyBorder="1"/>
    <xf numFmtId="164" fontId="45" fillId="10" borderId="156" xfId="1" applyFont="1" applyFill="1" applyBorder="1"/>
    <xf numFmtId="43" fontId="45" fillId="10" borderId="156" xfId="1" applyNumberFormat="1" applyFont="1" applyFill="1" applyBorder="1"/>
    <xf numFmtId="164" fontId="26" fillId="23" borderId="45" xfId="1" applyFont="1" applyFill="1" applyBorder="1"/>
    <xf numFmtId="164" fontId="26" fillId="23" borderId="93" xfId="1" applyFont="1" applyFill="1" applyBorder="1"/>
    <xf numFmtId="43" fontId="26" fillId="23" borderId="45" xfId="1" applyNumberFormat="1" applyFont="1" applyFill="1" applyBorder="1"/>
    <xf numFmtId="43" fontId="26" fillId="23" borderId="93" xfId="1" applyNumberFormat="1" applyFont="1" applyFill="1" applyBorder="1"/>
    <xf numFmtId="0" fontId="18" fillId="6" borderId="191" xfId="0" applyFont="1" applyFill="1" applyBorder="1" applyAlignment="1">
      <alignment horizontal="left" vertical="center" wrapText="1"/>
    </xf>
    <xf numFmtId="43" fontId="20" fillId="4" borderId="166" xfId="1" applyNumberFormat="1" applyFont="1" applyFill="1" applyBorder="1"/>
    <xf numFmtId="43" fontId="21" fillId="4" borderId="43" xfId="1" applyNumberFormat="1" applyFont="1" applyFill="1" applyBorder="1"/>
    <xf numFmtId="43" fontId="25" fillId="4" borderId="43" xfId="1" applyNumberFormat="1" applyFont="1" applyFill="1" applyBorder="1"/>
    <xf numFmtId="43" fontId="17" fillId="10" borderId="43" xfId="1" applyNumberFormat="1" applyFont="1" applyFill="1" applyBorder="1"/>
    <xf numFmtId="43" fontId="17" fillId="8" borderId="43" xfId="1" applyNumberFormat="1" applyFont="1" applyFill="1" applyBorder="1"/>
    <xf numFmtId="43" fontId="17" fillId="8" borderId="164" xfId="1" applyNumberFormat="1" applyFont="1" applyFill="1" applyBorder="1"/>
    <xf numFmtId="43" fontId="17" fillId="8" borderId="190" xfId="1" applyNumberFormat="1" applyFont="1" applyFill="1" applyBorder="1"/>
    <xf numFmtId="43" fontId="17" fillId="8" borderId="191" xfId="1" applyNumberFormat="1" applyFont="1" applyFill="1" applyBorder="1"/>
    <xf numFmtId="43" fontId="17" fillId="10" borderId="166" xfId="1" applyNumberFormat="1" applyFont="1" applyFill="1" applyBorder="1"/>
    <xf numFmtId="43" fontId="45" fillId="10" borderId="43" xfId="1" applyNumberFormat="1" applyFont="1" applyFill="1" applyBorder="1"/>
    <xf numFmtId="43" fontId="17" fillId="10" borderId="164" xfId="1" applyNumberFormat="1" applyFont="1" applyFill="1" applyBorder="1"/>
    <xf numFmtId="43" fontId="18" fillId="23" borderId="190" xfId="1" applyNumberFormat="1" applyFont="1" applyFill="1" applyBorder="1"/>
    <xf numFmtId="43" fontId="18" fillId="23" borderId="43" xfId="1" applyNumberFormat="1" applyFont="1" applyFill="1" applyBorder="1"/>
    <xf numFmtId="43" fontId="18" fillId="23" borderId="191" xfId="1" applyNumberFormat="1" applyFont="1" applyFill="1" applyBorder="1"/>
    <xf numFmtId="174" fontId="21" fillId="9" borderId="28" xfId="0" applyNumberFormat="1" applyFont="1" applyFill="1" applyBorder="1" applyAlignment="1">
      <alignment horizontal="center"/>
    </xf>
    <xf numFmtId="174" fontId="28" fillId="9" borderId="28" xfId="0" applyNumberFormat="1" applyFont="1" applyFill="1" applyBorder="1" applyAlignment="1">
      <alignment horizontal="center"/>
    </xf>
    <xf numFmtId="43" fontId="28" fillId="9" borderId="28" xfId="1" applyNumberFormat="1" applyFont="1" applyFill="1" applyBorder="1" applyAlignment="1">
      <alignment horizontal="center"/>
    </xf>
    <xf numFmtId="1" fontId="20" fillId="6" borderId="101" xfId="0" applyNumberFormat="1" applyFont="1" applyFill="1" applyBorder="1" applyAlignment="1">
      <alignment horizontal="center" vertical="center"/>
    </xf>
    <xf numFmtId="0" fontId="26" fillId="6" borderId="142" xfId="0" applyFont="1" applyFill="1" applyBorder="1" applyAlignment="1">
      <alignment horizontal="left"/>
    </xf>
    <xf numFmtId="164" fontId="20" fillId="4" borderId="165" xfId="1" applyFont="1" applyFill="1" applyBorder="1"/>
    <xf numFmtId="164" fontId="25" fillId="4" borderId="42" xfId="1" applyFont="1" applyFill="1" applyBorder="1"/>
    <xf numFmtId="164" fontId="45" fillId="10" borderId="42" xfId="1" applyFont="1" applyFill="1" applyBorder="1"/>
    <xf numFmtId="164" fontId="45" fillId="8" borderId="42" xfId="1" applyFont="1" applyFill="1" applyBorder="1"/>
    <xf numFmtId="164" fontId="45" fillId="8" borderId="163" xfId="1" applyFont="1" applyFill="1" applyBorder="1"/>
    <xf numFmtId="164" fontId="45" fillId="8" borderId="101" xfId="1" applyFont="1" applyFill="1" applyBorder="1"/>
    <xf numFmtId="164" fontId="45" fillId="10" borderId="165" xfId="1" applyFont="1" applyFill="1" applyBorder="1"/>
    <xf numFmtId="164" fontId="45" fillId="10" borderId="163" xfId="1" applyFont="1" applyFill="1" applyBorder="1"/>
    <xf numFmtId="164" fontId="26" fillId="23" borderId="101" xfId="1" applyFont="1" applyFill="1" applyBorder="1"/>
    <xf numFmtId="164" fontId="26" fillId="23" borderId="42" xfId="1" applyFont="1" applyFill="1" applyBorder="1"/>
    <xf numFmtId="164" fontId="26" fillId="23" borderId="159" xfId="1" applyFont="1" applyFill="1" applyBorder="1"/>
    <xf numFmtId="0" fontId="31" fillId="5" borderId="28" xfId="0" applyFont="1" applyFill="1" applyBorder="1" applyAlignment="1">
      <alignment horizontal="center"/>
    </xf>
    <xf numFmtId="0" fontId="25" fillId="5" borderId="28" xfId="0" quotePrefix="1" applyFont="1" applyFill="1" applyBorder="1" applyAlignment="1">
      <alignment horizontal="center"/>
    </xf>
    <xf numFmtId="164" fontId="34" fillId="5" borderId="28" xfId="1" applyFont="1" applyFill="1" applyBorder="1" applyAlignment="1">
      <alignment horizontal="center"/>
    </xf>
    <xf numFmtId="0" fontId="34" fillId="5" borderId="28" xfId="0" applyFont="1" applyFill="1" applyBorder="1" applyAlignment="1">
      <alignment horizontal="center"/>
    </xf>
    <xf numFmtId="164" fontId="34" fillId="21" borderId="70" xfId="1" applyFont="1" applyFill="1" applyBorder="1" applyAlignment="1">
      <alignment horizontal="center" vertical="center" wrapText="1"/>
    </xf>
    <xf numFmtId="164" fontId="7" fillId="0" borderId="0" xfId="1" applyFont="1"/>
    <xf numFmtId="164" fontId="30" fillId="0" borderId="0" xfId="1" applyFont="1"/>
    <xf numFmtId="164" fontId="43" fillId="21" borderId="29" xfId="1" applyFont="1" applyFill="1" applyBorder="1" applyAlignment="1">
      <alignment horizontal="center"/>
    </xf>
    <xf numFmtId="164" fontId="32" fillId="0" borderId="0" xfId="0" applyNumberFormat="1" applyFont="1"/>
    <xf numFmtId="0" fontId="16" fillId="5" borderId="196" xfId="0" applyFont="1" applyFill="1" applyBorder="1" applyAlignment="1">
      <alignment horizontal="center"/>
    </xf>
    <xf numFmtId="3" fontId="56" fillId="22" borderId="203" xfId="0" applyNumberFormat="1" applyFont="1" applyFill="1" applyBorder="1" applyAlignment="1">
      <alignment horizontal="center" vertical="center"/>
    </xf>
    <xf numFmtId="3" fontId="78" fillId="22" borderId="122" xfId="1" applyNumberFormat="1" applyFont="1" applyFill="1" applyBorder="1" applyAlignment="1">
      <alignment horizontal="center" vertical="center"/>
    </xf>
    <xf numFmtId="0" fontId="34" fillId="21" borderId="28" xfId="0" applyFont="1" applyFill="1" applyBorder="1" applyAlignment="1">
      <alignment horizontal="center" vertical="center" wrapText="1"/>
    </xf>
    <xf numFmtId="0" fontId="24" fillId="21" borderId="28" xfId="0" applyFont="1" applyFill="1" applyBorder="1" applyAlignment="1">
      <alignment horizontal="center" vertical="center" wrapText="1"/>
    </xf>
    <xf numFmtId="43" fontId="28" fillId="2" borderId="85" xfId="0" applyNumberFormat="1" applyFont="1" applyFill="1" applyBorder="1" applyAlignment="1">
      <alignment horizontal="center"/>
    </xf>
    <xf numFmtId="43" fontId="1" fillId="0" borderId="0" xfId="0" applyNumberFormat="1" applyFont="1"/>
    <xf numFmtId="0" fontId="77" fillId="5" borderId="142" xfId="0" applyFont="1" applyFill="1" applyBorder="1" applyAlignment="1">
      <alignment vertical="center"/>
    </xf>
    <xf numFmtId="43" fontId="56" fillId="5" borderId="203" xfId="0" applyNumberFormat="1" applyFont="1" applyFill="1" applyBorder="1" applyAlignment="1">
      <alignment horizontal="center" vertical="center"/>
    </xf>
    <xf numFmtId="164" fontId="80" fillId="21" borderId="28" xfId="1" applyFont="1" applyFill="1" applyBorder="1" applyAlignment="1">
      <alignment horizontal="center" vertical="center" wrapText="1"/>
    </xf>
    <xf numFmtId="0" fontId="34" fillId="21" borderId="94" xfId="0" applyFont="1" applyFill="1" applyBorder="1" applyAlignment="1">
      <alignment horizontal="center" vertical="center" wrapText="1"/>
    </xf>
    <xf numFmtId="0" fontId="34" fillId="21" borderId="69" xfId="0" applyFont="1" applyFill="1" applyBorder="1" applyAlignment="1">
      <alignment horizontal="center" vertical="center" wrapText="1"/>
    </xf>
    <xf numFmtId="164" fontId="69" fillId="5" borderId="91" xfId="1" applyFont="1" applyFill="1" applyBorder="1" applyAlignment="1">
      <alignment horizontal="left" vertical="center"/>
    </xf>
    <xf numFmtId="0" fontId="34" fillId="21" borderId="33" xfId="0" applyFont="1" applyFill="1" applyBorder="1" applyAlignment="1">
      <alignment horizontal="center" vertical="center" wrapText="1"/>
    </xf>
    <xf numFmtId="0" fontId="34" fillId="10" borderId="153" xfId="0" applyFont="1" applyFill="1" applyBorder="1" applyAlignment="1">
      <alignment horizontal="center" vertical="center" wrapText="1"/>
    </xf>
    <xf numFmtId="0" fontId="42" fillId="10" borderId="32" xfId="0" applyFont="1" applyFill="1" applyBorder="1" applyAlignment="1">
      <alignment horizontal="center" vertical="center"/>
    </xf>
    <xf numFmtId="164" fontId="31" fillId="10" borderId="32" xfId="1" applyFont="1" applyFill="1" applyBorder="1" applyAlignment="1">
      <alignment horizontal="center" vertical="center"/>
    </xf>
    <xf numFmtId="0" fontId="34" fillId="3" borderId="205" xfId="0" applyFont="1" applyFill="1" applyBorder="1" applyAlignment="1">
      <alignment horizontal="center"/>
    </xf>
    <xf numFmtId="164" fontId="34" fillId="7" borderId="72" xfId="1" applyFont="1" applyFill="1" applyBorder="1"/>
    <xf numFmtId="164" fontId="28" fillId="7" borderId="72" xfId="1" applyFont="1" applyFill="1" applyBorder="1"/>
    <xf numFmtId="164" fontId="80" fillId="3" borderId="36" xfId="1" applyFont="1" applyFill="1" applyBorder="1"/>
    <xf numFmtId="168" fontId="18" fillId="6" borderId="42" xfId="0" applyNumberFormat="1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vertical="center"/>
    </xf>
    <xf numFmtId="168" fontId="18" fillId="6" borderId="41" xfId="0" applyNumberFormat="1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vertical="center"/>
    </xf>
    <xf numFmtId="168" fontId="47" fillId="6" borderId="190" xfId="0" applyNumberFormat="1" applyFont="1" applyFill="1" applyBorder="1" applyAlignment="1">
      <alignment horizontal="center" vertical="center"/>
    </xf>
    <xf numFmtId="0" fontId="47" fillId="6" borderId="43" xfId="0" applyFont="1" applyFill="1" applyBorder="1" applyAlignment="1">
      <alignment horizontal="left" vertical="center" wrapText="1"/>
    </xf>
    <xf numFmtId="0" fontId="20" fillId="6" borderId="164" xfId="0" applyFont="1" applyFill="1" applyBorder="1" applyAlignment="1">
      <alignment horizontal="center" vertical="center" wrapText="1"/>
    </xf>
    <xf numFmtId="164" fontId="45" fillId="10" borderId="190" xfId="1" applyFont="1" applyFill="1" applyBorder="1"/>
    <xf numFmtId="164" fontId="45" fillId="10" borderId="43" xfId="1" applyFont="1" applyFill="1" applyBorder="1"/>
    <xf numFmtId="164" fontId="45" fillId="10" borderId="191" xfId="1" applyFont="1" applyFill="1" applyBorder="1"/>
    <xf numFmtId="164" fontId="26" fillId="5" borderId="62" xfId="1" applyFont="1" applyFill="1" applyBorder="1"/>
    <xf numFmtId="164" fontId="26" fillId="5" borderId="43" xfId="1" applyFont="1" applyFill="1" applyBorder="1"/>
    <xf numFmtId="164" fontId="26" fillId="5" borderId="190" xfId="1" applyFont="1" applyFill="1" applyBorder="1"/>
    <xf numFmtId="164" fontId="26" fillId="5" borderId="164" xfId="1" applyFont="1" applyFill="1" applyBorder="1"/>
    <xf numFmtId="164" fontId="18" fillId="0" borderId="0" xfId="0" applyNumberFormat="1" applyFont="1" applyAlignment="1">
      <alignment vertical="center" wrapText="1"/>
    </xf>
    <xf numFmtId="164" fontId="37" fillId="12" borderId="0" xfId="0" applyNumberFormat="1" applyFont="1" applyFill="1"/>
    <xf numFmtId="43" fontId="81" fillId="12" borderId="0" xfId="0" applyNumberFormat="1" applyFont="1" applyFill="1"/>
    <xf numFmtId="43" fontId="14" fillId="0" borderId="0" xfId="0" applyNumberFormat="1" applyFont="1"/>
    <xf numFmtId="0" fontId="34" fillId="14" borderId="44" xfId="0" applyFont="1" applyFill="1" applyBorder="1" applyAlignment="1">
      <alignment horizontal="center"/>
    </xf>
    <xf numFmtId="0" fontId="82" fillId="16" borderId="0" xfId="0" applyFont="1" applyFill="1"/>
    <xf numFmtId="0" fontId="84" fillId="12" borderId="0" xfId="0" applyFont="1" applyFill="1"/>
    <xf numFmtId="0" fontId="34" fillId="0" borderId="0" xfId="0" applyFont="1"/>
    <xf numFmtId="43" fontId="34" fillId="0" borderId="0" xfId="0" applyNumberFormat="1" applyFont="1"/>
    <xf numFmtId="167" fontId="1" fillId="0" borderId="0" xfId="0" applyNumberFormat="1" applyFont="1" applyAlignment="1">
      <alignment horizontal="center"/>
    </xf>
    <xf numFmtId="0" fontId="11" fillId="0" borderId="0" xfId="0" applyFont="1"/>
    <xf numFmtId="3" fontId="1" fillId="0" borderId="0" xfId="0" applyNumberFormat="1" applyFont="1" applyAlignment="1">
      <alignment horizontal="center"/>
    </xf>
    <xf numFmtId="0" fontId="1" fillId="12" borderId="0" xfId="0" applyFont="1" applyFill="1"/>
    <xf numFmtId="0" fontId="85" fillId="0" borderId="206" xfId="4" applyFont="1" applyAlignment="1">
      <alignment horizontal="center"/>
    </xf>
    <xf numFmtId="0" fontId="12" fillId="0" borderId="0" xfId="0" applyFont="1" applyAlignment="1">
      <alignment horizontal="center" vertical="center"/>
    </xf>
    <xf numFmtId="167" fontId="11" fillId="10" borderId="30" xfId="0" applyNumberFormat="1" applyFont="1" applyFill="1" applyBorder="1" applyAlignment="1">
      <alignment horizontal="center" vertical="center"/>
    </xf>
    <xf numFmtId="0" fontId="11" fillId="10" borderId="30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3" fontId="1" fillId="0" borderId="0" xfId="0" applyNumberFormat="1" applyFont="1" applyAlignment="1">
      <alignment vertical="center"/>
    </xf>
    <xf numFmtId="167" fontId="18" fillId="6" borderId="28" xfId="0" applyNumberFormat="1" applyFont="1" applyFill="1" applyBorder="1" applyAlignment="1">
      <alignment horizontal="center"/>
    </xf>
    <xf numFmtId="3" fontId="18" fillId="6" borderId="28" xfId="0" applyNumberFormat="1" applyFont="1" applyFill="1" applyBorder="1"/>
    <xf numFmtId="164" fontId="13" fillId="5" borderId="28" xfId="1" applyFont="1" applyFill="1" applyBorder="1"/>
    <xf numFmtId="0" fontId="13" fillId="5" borderId="28" xfId="0" applyFont="1" applyFill="1" applyBorder="1"/>
    <xf numFmtId="164" fontId="24" fillId="5" borderId="28" xfId="0" applyNumberFormat="1" applyFont="1" applyFill="1" applyBorder="1"/>
    <xf numFmtId="0" fontId="18" fillId="6" borderId="28" xfId="0" applyFont="1" applyFill="1" applyBorder="1"/>
    <xf numFmtId="164" fontId="13" fillId="5" borderId="28" xfId="0" applyNumberFormat="1" applyFont="1" applyFill="1" applyBorder="1"/>
    <xf numFmtId="164" fontId="1" fillId="0" borderId="0" xfId="0" applyNumberFormat="1" applyFont="1"/>
    <xf numFmtId="164" fontId="24" fillId="5" borderId="28" xfId="1" applyFont="1" applyFill="1" applyBorder="1"/>
    <xf numFmtId="0" fontId="12" fillId="12" borderId="0" xfId="0" applyFont="1" applyFill="1" applyAlignment="1">
      <alignment horizontal="center"/>
    </xf>
    <xf numFmtId="167" fontId="1" fillId="12" borderId="0" xfId="0" applyNumberFormat="1" applyFont="1" applyFill="1" applyAlignment="1">
      <alignment horizontal="center"/>
    </xf>
    <xf numFmtId="0" fontId="14" fillId="12" borderId="0" xfId="0" applyFont="1" applyFill="1"/>
    <xf numFmtId="164" fontId="86" fillId="12" borderId="0" xfId="1" applyFont="1" applyFill="1" applyBorder="1"/>
    <xf numFmtId="164" fontId="86" fillId="12" borderId="0" xfId="0" applyNumberFormat="1" applyFont="1" applyFill="1"/>
    <xf numFmtId="164" fontId="1" fillId="12" borderId="0" xfId="0" applyNumberFormat="1" applyFont="1" applyFill="1"/>
    <xf numFmtId="0" fontId="87" fillId="12" borderId="0" xfId="0" applyFont="1" applyFill="1"/>
    <xf numFmtId="164" fontId="87" fillId="12" borderId="0" xfId="1" applyFont="1" applyFill="1" applyBorder="1"/>
    <xf numFmtId="164" fontId="24" fillId="5" borderId="123" xfId="1" applyFont="1" applyFill="1" applyBorder="1"/>
    <xf numFmtId="164" fontId="24" fillId="5" borderId="204" xfId="0" applyNumberFormat="1" applyFont="1" applyFill="1" applyBorder="1"/>
    <xf numFmtId="164" fontId="26" fillId="4" borderId="83" xfId="1" applyFont="1" applyFill="1" applyBorder="1" applyAlignment="1">
      <alignment vertical="center"/>
    </xf>
    <xf numFmtId="164" fontId="26" fillId="23" borderId="207" xfId="1" applyFont="1" applyFill="1" applyBorder="1" applyAlignment="1">
      <alignment vertical="center"/>
    </xf>
    <xf numFmtId="164" fontId="26" fillId="23" borderId="208" xfId="1" applyFont="1" applyFill="1" applyBorder="1" applyAlignment="1">
      <alignment vertical="center"/>
    </xf>
    <xf numFmtId="164" fontId="26" fillId="4" borderId="208" xfId="1" applyFont="1" applyFill="1" applyBorder="1" applyAlignment="1">
      <alignment vertical="center"/>
    </xf>
    <xf numFmtId="0" fontId="34" fillId="14" borderId="32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0" fillId="29" borderId="194" xfId="4" applyFont="1" applyFill="1" applyBorder="1" applyAlignment="1">
      <alignment horizontal="center" vertical="center"/>
    </xf>
    <xf numFmtId="0" fontId="90" fillId="29" borderId="194" xfId="4" applyFont="1" applyFill="1" applyBorder="1" applyAlignment="1">
      <alignment horizontal="center" vertical="center" wrapText="1"/>
    </xf>
    <xf numFmtId="164" fontId="18" fillId="5" borderId="73" xfId="1" applyFont="1" applyFill="1" applyBorder="1" applyAlignment="1"/>
    <xf numFmtId="3" fontId="18" fillId="10" borderId="73" xfId="0" applyNumberFormat="1" applyFont="1" applyFill="1" applyBorder="1"/>
    <xf numFmtId="3" fontId="18" fillId="10" borderId="80" xfId="0" applyNumberFormat="1" applyFont="1" applyFill="1" applyBorder="1"/>
    <xf numFmtId="164" fontId="13" fillId="6" borderId="74" xfId="1" applyFont="1" applyFill="1" applyBorder="1" applyAlignment="1"/>
    <xf numFmtId="164" fontId="13" fillId="6" borderId="75" xfId="1" applyFont="1" applyFill="1" applyBorder="1" applyAlignment="1"/>
    <xf numFmtId="164" fontId="13" fillId="6" borderId="77" xfId="1" applyFont="1" applyFill="1" applyBorder="1" applyAlignment="1"/>
    <xf numFmtId="164" fontId="13" fillId="6" borderId="73" xfId="1" applyFont="1" applyFill="1" applyBorder="1" applyAlignment="1"/>
    <xf numFmtId="164" fontId="13" fillId="6" borderId="79" xfId="1" applyFont="1" applyFill="1" applyBorder="1" applyAlignment="1"/>
    <xf numFmtId="164" fontId="13" fillId="6" borderId="80" xfId="1" applyFont="1" applyFill="1" applyBorder="1" applyAlignment="1"/>
    <xf numFmtId="164" fontId="18" fillId="5" borderId="74" xfId="1" applyFont="1" applyFill="1" applyBorder="1" applyAlignment="1"/>
    <xf numFmtId="164" fontId="18" fillId="5" borderId="75" xfId="1" applyFont="1" applyFill="1" applyBorder="1" applyAlignment="1"/>
    <xf numFmtId="164" fontId="13" fillId="5" borderId="76" xfId="1" applyFont="1" applyFill="1" applyBorder="1" applyAlignment="1"/>
    <xf numFmtId="164" fontId="18" fillId="5" borderId="77" xfId="1" applyFont="1" applyFill="1" applyBorder="1" applyAlignment="1"/>
    <xf numFmtId="164" fontId="13" fillId="5" borderId="78" xfId="1" applyFont="1" applyFill="1" applyBorder="1" applyAlignment="1"/>
    <xf numFmtId="164" fontId="18" fillId="5" borderId="79" xfId="1" applyFont="1" applyFill="1" applyBorder="1" applyAlignment="1"/>
    <xf numFmtId="164" fontId="18" fillId="5" borderId="80" xfId="1" applyFont="1" applyFill="1" applyBorder="1" applyAlignment="1"/>
    <xf numFmtId="164" fontId="13" fillId="5" borderId="81" xfId="1" applyFont="1" applyFill="1" applyBorder="1" applyAlignment="1"/>
    <xf numFmtId="164" fontId="18" fillId="6" borderId="76" xfId="1" applyFont="1" applyFill="1" applyBorder="1" applyAlignment="1"/>
    <xf numFmtId="164" fontId="18" fillId="6" borderId="78" xfId="1" applyFont="1" applyFill="1" applyBorder="1" applyAlignment="1"/>
    <xf numFmtId="164" fontId="18" fillId="6" borderId="81" xfId="1" applyFont="1" applyFill="1" applyBorder="1" applyAlignment="1"/>
    <xf numFmtId="164" fontId="20" fillId="6" borderId="30" xfId="1" applyFont="1" applyFill="1" applyBorder="1" applyAlignment="1"/>
    <xf numFmtId="0" fontId="90" fillId="14" borderId="28" xfId="0" applyFont="1" applyFill="1" applyBorder="1" applyAlignment="1">
      <alignment horizontal="center" vertical="center"/>
    </xf>
    <xf numFmtId="0" fontId="90" fillId="14" borderId="44" xfId="0" applyFont="1" applyFill="1" applyBorder="1" applyAlignment="1">
      <alignment horizontal="center" vertical="center"/>
    </xf>
    <xf numFmtId="0" fontId="90" fillId="14" borderId="32" xfId="0" applyFont="1" applyFill="1" applyBorder="1" applyAlignment="1">
      <alignment horizontal="center" vertical="center"/>
    </xf>
    <xf numFmtId="3" fontId="18" fillId="10" borderId="75" xfId="0" applyNumberFormat="1" applyFont="1" applyFill="1" applyBorder="1" applyAlignment="1">
      <alignment horizontal="left"/>
    </xf>
    <xf numFmtId="3" fontId="18" fillId="10" borderId="73" xfId="0" applyNumberFormat="1" applyFont="1" applyFill="1" applyBorder="1" applyAlignment="1">
      <alignment horizontal="left"/>
    </xf>
    <xf numFmtId="0" fontId="89" fillId="29" borderId="29" xfId="4" applyFont="1" applyFill="1" applyBorder="1" applyAlignment="1">
      <alignment horizontal="center" vertical="center"/>
    </xf>
    <xf numFmtId="0" fontId="18" fillId="6" borderId="160" xfId="0" applyFont="1" applyFill="1" applyBorder="1" applyAlignment="1">
      <alignment vertical="center"/>
    </xf>
    <xf numFmtId="0" fontId="18" fillId="6" borderId="51" xfId="0" applyFont="1" applyFill="1" applyBorder="1" applyAlignment="1">
      <alignment vertical="center"/>
    </xf>
    <xf numFmtId="0" fontId="18" fillId="6" borderId="51" xfId="0" applyFont="1" applyFill="1" applyBorder="1" applyAlignment="1">
      <alignment horizontal="left" vertical="center"/>
    </xf>
    <xf numFmtId="0" fontId="18" fillId="6" borderId="161" xfId="0" applyFont="1" applyFill="1" applyBorder="1" applyAlignment="1">
      <alignment vertical="center"/>
    </xf>
    <xf numFmtId="164" fontId="25" fillId="7" borderId="71" xfId="1" applyFont="1" applyFill="1" applyBorder="1" applyAlignment="1">
      <alignment vertical="center"/>
    </xf>
    <xf numFmtId="164" fontId="28" fillId="7" borderId="93" xfId="1" applyFont="1" applyFill="1" applyBorder="1" applyAlignment="1">
      <alignment vertical="center"/>
    </xf>
    <xf numFmtId="164" fontId="25" fillId="7" borderId="45" xfId="1" applyFont="1" applyFill="1" applyBorder="1" applyAlignment="1">
      <alignment vertical="center"/>
    </xf>
    <xf numFmtId="43" fontId="28" fillId="7" borderId="93" xfId="1" applyNumberFormat="1" applyFont="1" applyFill="1" applyBorder="1" applyAlignment="1">
      <alignment vertical="center"/>
    </xf>
    <xf numFmtId="164" fontId="25" fillId="7" borderId="190" xfId="1" applyFont="1" applyFill="1" applyBorder="1" applyAlignment="1">
      <alignment vertical="center"/>
    </xf>
    <xf numFmtId="164" fontId="28" fillId="7" borderId="191" xfId="1" applyFont="1" applyFill="1" applyBorder="1" applyAlignment="1">
      <alignment vertical="center"/>
    </xf>
    <xf numFmtId="164" fontId="31" fillId="3" borderId="192" xfId="1" applyFont="1" applyFill="1" applyBorder="1" applyAlignment="1">
      <alignment vertical="center"/>
    </xf>
    <xf numFmtId="0" fontId="18" fillId="6" borderId="42" xfId="0" applyFont="1" applyFill="1" applyBorder="1" applyAlignment="1">
      <alignment horizontal="left"/>
    </xf>
    <xf numFmtId="0" fontId="20" fillId="6" borderId="163" xfId="0" applyFont="1" applyFill="1" applyBorder="1" applyAlignment="1">
      <alignment horizontal="center"/>
    </xf>
    <xf numFmtId="164" fontId="72" fillId="4" borderId="101" xfId="1" applyFont="1" applyFill="1" applyBorder="1"/>
    <xf numFmtId="164" fontId="21" fillId="4" borderId="42" xfId="1" applyFont="1" applyFill="1" applyBorder="1"/>
    <xf numFmtId="164" fontId="45" fillId="4" borderId="159" xfId="1" applyFont="1" applyFill="1" applyBorder="1"/>
    <xf numFmtId="164" fontId="45" fillId="10" borderId="101" xfId="1" applyFont="1" applyFill="1" applyBorder="1"/>
    <xf numFmtId="0" fontId="24" fillId="10" borderId="30" xfId="0" applyFont="1" applyFill="1" applyBorder="1" applyAlignment="1">
      <alignment horizontal="center" vertical="center" wrapText="1"/>
    </xf>
    <xf numFmtId="164" fontId="45" fillId="10" borderId="157" xfId="1" applyFont="1" applyFill="1" applyBorder="1"/>
    <xf numFmtId="0" fontId="24" fillId="5" borderId="60" xfId="0" applyFont="1" applyFill="1" applyBorder="1" applyAlignment="1">
      <alignment horizontal="center" vertical="center" wrapText="1"/>
    </xf>
    <xf numFmtId="164" fontId="26" fillId="5" borderId="71" xfId="1" applyFont="1" applyFill="1" applyBorder="1"/>
    <xf numFmtId="164" fontId="26" fillId="5" borderId="72" xfId="1" applyFont="1" applyFill="1" applyBorder="1"/>
    <xf numFmtId="164" fontId="26" fillId="5" borderId="92" xfId="1" applyFont="1" applyFill="1" applyBorder="1"/>
    <xf numFmtId="164" fontId="26" fillId="5" borderId="93" xfId="1" applyFont="1" applyFill="1" applyBorder="1"/>
    <xf numFmtId="164" fontId="26" fillId="5" borderId="48" xfId="1" applyFont="1" applyFill="1" applyBorder="1"/>
    <xf numFmtId="168" fontId="18" fillId="6" borderId="101" xfId="0" applyNumberFormat="1" applyFont="1" applyFill="1" applyBorder="1" applyAlignment="1">
      <alignment horizontal="center"/>
    </xf>
    <xf numFmtId="173" fontId="16" fillId="10" borderId="74" xfId="0" applyNumberFormat="1" applyFont="1" applyFill="1" applyBorder="1" applyAlignment="1">
      <alignment horizontal="center"/>
    </xf>
    <xf numFmtId="173" fontId="16" fillId="10" borderId="77" xfId="0" applyNumberFormat="1" applyFont="1" applyFill="1" applyBorder="1" applyAlignment="1">
      <alignment horizontal="center"/>
    </xf>
    <xf numFmtId="173" fontId="16" fillId="10" borderId="79" xfId="0" applyNumberFormat="1" applyFont="1" applyFill="1" applyBorder="1" applyAlignment="1">
      <alignment horizontal="center"/>
    </xf>
    <xf numFmtId="0" fontId="91" fillId="29" borderId="29" xfId="4" applyFont="1" applyFill="1" applyBorder="1" applyAlignment="1">
      <alignment horizontal="center" vertical="center"/>
    </xf>
    <xf numFmtId="43" fontId="21" fillId="4" borderId="41" xfId="1" applyNumberFormat="1" applyFont="1" applyFill="1" applyBorder="1"/>
    <xf numFmtId="14" fontId="14" fillId="0" borderId="0" xfId="0" applyNumberFormat="1" applyFont="1"/>
    <xf numFmtId="0" fontId="18" fillId="6" borderId="87" xfId="0" applyFont="1" applyFill="1" applyBorder="1"/>
    <xf numFmtId="0" fontId="34" fillId="14" borderId="28" xfId="0" applyFont="1" applyFill="1" applyBorder="1" applyAlignment="1">
      <alignment horizontal="center" vertical="center"/>
    </xf>
    <xf numFmtId="0" fontId="34" fillId="14" borderId="29" xfId="0" applyFont="1" applyFill="1" applyBorder="1" applyAlignment="1">
      <alignment horizontal="center" vertical="center"/>
    </xf>
    <xf numFmtId="0" fontId="1" fillId="19" borderId="121" xfId="0" applyFont="1" applyFill="1" applyBorder="1" applyAlignment="1">
      <alignment horizontal="center"/>
    </xf>
    <xf numFmtId="0" fontId="1" fillId="19" borderId="54" xfId="0" applyFont="1" applyFill="1" applyBorder="1"/>
    <xf numFmtId="0" fontId="64" fillId="19" borderId="59" xfId="0" applyFont="1" applyFill="1" applyBorder="1"/>
    <xf numFmtId="0" fontId="18" fillId="19" borderId="209" xfId="0" applyFont="1" applyFill="1" applyBorder="1"/>
    <xf numFmtId="0" fontId="93" fillId="19" borderId="86" xfId="0" applyFont="1" applyFill="1" applyBorder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94" fillId="19" borderId="59" xfId="0" applyFont="1" applyFill="1" applyBorder="1"/>
    <xf numFmtId="0" fontId="58" fillId="19" borderId="123" xfId="0" applyFont="1" applyFill="1" applyBorder="1" applyAlignment="1">
      <alignment horizontal="center" vertical="center" wrapText="1"/>
    </xf>
    <xf numFmtId="0" fontId="58" fillId="19" borderId="32" xfId="0" applyFont="1" applyFill="1" applyBorder="1" applyAlignment="1">
      <alignment horizontal="center" vertical="center" wrapText="1"/>
    </xf>
    <xf numFmtId="0" fontId="94" fillId="0" borderId="0" xfId="0" applyFont="1"/>
    <xf numFmtId="0" fontId="94" fillId="19" borderId="59" xfId="0" applyFont="1" applyFill="1" applyBorder="1" applyAlignment="1">
      <alignment wrapText="1"/>
    </xf>
    <xf numFmtId="0" fontId="94" fillId="0" borderId="0" xfId="0" applyFont="1" applyAlignment="1">
      <alignment wrapText="1"/>
    </xf>
    <xf numFmtId="0" fontId="93" fillId="19" borderId="59" xfId="0" applyFont="1" applyFill="1" applyBorder="1"/>
    <xf numFmtId="0" fontId="93" fillId="0" borderId="0" xfId="0" applyFont="1"/>
    <xf numFmtId="43" fontId="79" fillId="31" borderId="34" xfId="1" applyNumberFormat="1" applyFont="1" applyFill="1" applyBorder="1" applyAlignment="1">
      <alignment horizontal="center" vertical="center" wrapText="1"/>
    </xf>
    <xf numFmtId="0" fontId="93" fillId="19" borderId="59" xfId="0" applyFont="1" applyFill="1" applyBorder="1" applyAlignment="1">
      <alignment wrapText="1"/>
    </xf>
    <xf numFmtId="0" fontId="93" fillId="0" borderId="0" xfId="0" applyFont="1" applyAlignment="1">
      <alignment wrapText="1"/>
    </xf>
    <xf numFmtId="0" fontId="60" fillId="19" borderId="59" xfId="0" applyFont="1" applyFill="1" applyBorder="1"/>
    <xf numFmtId="43" fontId="43" fillId="31" borderId="34" xfId="1" applyNumberFormat="1" applyFont="1" applyFill="1" applyBorder="1" applyAlignment="1">
      <alignment horizontal="center" vertical="center" wrapText="1"/>
    </xf>
    <xf numFmtId="0" fontId="60" fillId="19" borderId="120" xfId="0" applyFont="1" applyFill="1" applyBorder="1"/>
    <xf numFmtId="0" fontId="60" fillId="19" borderId="32" xfId="0" applyFont="1" applyFill="1" applyBorder="1"/>
    <xf numFmtId="0" fontId="93" fillId="19" borderId="59" xfId="0" applyFont="1" applyFill="1" applyBorder="1" applyAlignment="1">
      <alignment horizontal="center" vertical="center" wrapText="1"/>
    </xf>
    <xf numFmtId="0" fontId="93" fillId="0" borderId="0" xfId="0" applyFont="1" applyAlignment="1">
      <alignment horizontal="center" vertical="center" wrapText="1"/>
    </xf>
    <xf numFmtId="0" fontId="60" fillId="19" borderId="59" xfId="0" applyFont="1" applyFill="1" applyBorder="1" applyAlignment="1">
      <alignment wrapText="1"/>
    </xf>
    <xf numFmtId="0" fontId="60" fillId="19" borderId="54" xfId="0" applyFont="1" applyFill="1" applyBorder="1" applyAlignment="1">
      <alignment wrapText="1"/>
    </xf>
    <xf numFmtId="0" fontId="60" fillId="19" borderId="120" xfId="0" applyFont="1" applyFill="1" applyBorder="1" applyAlignment="1">
      <alignment wrapText="1"/>
    </xf>
    <xf numFmtId="0" fontId="60" fillId="19" borderId="121" xfId="0" applyFont="1" applyFill="1" applyBorder="1" applyAlignment="1">
      <alignment wrapText="1"/>
    </xf>
    <xf numFmtId="0" fontId="60" fillId="19" borderId="50" xfId="0" applyFont="1" applyFill="1" applyBorder="1" applyAlignment="1">
      <alignment wrapText="1"/>
    </xf>
    <xf numFmtId="0" fontId="60" fillId="19" borderId="32" xfId="0" applyFont="1" applyFill="1" applyBorder="1" applyAlignment="1">
      <alignment wrapText="1"/>
    </xf>
    <xf numFmtId="0" fontId="94" fillId="0" borderId="0" xfId="0" applyFont="1" applyAlignment="1">
      <alignment vertical="center" wrapText="1"/>
    </xf>
    <xf numFmtId="0" fontId="94" fillId="19" borderId="59" xfId="0" applyFont="1" applyFill="1" applyBorder="1" applyAlignment="1">
      <alignment vertical="center" wrapText="1"/>
    </xf>
    <xf numFmtId="0" fontId="34" fillId="7" borderId="30" xfId="0" applyFont="1" applyFill="1" applyBorder="1" applyAlignment="1">
      <alignment horizontal="center" vertical="center" wrapText="1"/>
    </xf>
    <xf numFmtId="171" fontId="34" fillId="7" borderId="30" xfId="0" applyNumberFormat="1" applyFont="1" applyFill="1" applyBorder="1" applyAlignment="1">
      <alignment horizontal="center" vertical="center" wrapText="1"/>
    </xf>
    <xf numFmtId="43" fontId="34" fillId="7" borderId="30" xfId="1" applyNumberFormat="1" applyFont="1" applyFill="1" applyBorder="1" applyAlignment="1">
      <alignment horizontal="center" vertical="center" wrapText="1"/>
    </xf>
    <xf numFmtId="164" fontId="28" fillId="2" borderId="40" xfId="1" applyFont="1" applyFill="1" applyBorder="1" applyAlignment="1">
      <alignment horizontal="center"/>
    </xf>
    <xf numFmtId="0" fontId="94" fillId="19" borderId="86" xfId="0" applyFont="1" applyFill="1" applyBorder="1"/>
    <xf numFmtId="43" fontId="34" fillId="7" borderId="60" xfId="1" applyNumberFormat="1" applyFont="1" applyFill="1" applyBorder="1" applyAlignment="1">
      <alignment horizontal="center" vertical="center" wrapText="1"/>
    </xf>
    <xf numFmtId="0" fontId="58" fillId="19" borderId="192" xfId="0" applyFont="1" applyFill="1" applyBorder="1" applyAlignment="1">
      <alignment horizontal="center" vertical="center" wrapText="1"/>
    </xf>
    <xf numFmtId="0" fontId="58" fillId="19" borderId="210" xfId="1" applyNumberFormat="1" applyFont="1" applyFill="1" applyBorder="1" applyAlignment="1">
      <alignment horizontal="center" vertical="center" wrapText="1"/>
    </xf>
    <xf numFmtId="0" fontId="94" fillId="19" borderId="50" xfId="0" applyFont="1" applyFill="1" applyBorder="1" applyAlignment="1">
      <alignment wrapText="1"/>
    </xf>
    <xf numFmtId="43" fontId="34" fillId="5" borderId="34" xfId="1" applyNumberFormat="1" applyFont="1" applyFill="1" applyBorder="1" applyAlignment="1">
      <alignment horizontal="center" vertical="center" wrapText="1"/>
    </xf>
    <xf numFmtId="0" fontId="18" fillId="30" borderId="53" xfId="0" applyFont="1" applyFill="1" applyBorder="1"/>
    <xf numFmtId="0" fontId="30" fillId="19" borderId="59" xfId="0" applyFont="1" applyFill="1" applyBorder="1"/>
    <xf numFmtId="0" fontId="18" fillId="28" borderId="32" xfId="0" applyFont="1" applyFill="1" applyBorder="1"/>
    <xf numFmtId="0" fontId="92" fillId="19" borderId="121" xfId="0" applyFont="1" applyFill="1" applyBorder="1" applyAlignment="1">
      <alignment horizontal="center"/>
    </xf>
    <xf numFmtId="0" fontId="92" fillId="19" borderId="54" xfId="0" applyFont="1" applyFill="1" applyBorder="1" applyAlignment="1">
      <alignment horizontal="center"/>
    </xf>
    <xf numFmtId="0" fontId="92" fillId="19" borderId="50" xfId="0" applyFont="1" applyFill="1" applyBorder="1" applyAlignment="1">
      <alignment horizontal="center"/>
    </xf>
    <xf numFmtId="0" fontId="88" fillId="33" borderId="28" xfId="0" applyFont="1" applyFill="1" applyBorder="1" applyAlignment="1">
      <alignment horizontal="center" vertical="center"/>
    </xf>
    <xf numFmtId="0" fontId="60" fillId="10" borderId="28" xfId="0" applyFont="1" applyFill="1" applyBorder="1" applyAlignment="1">
      <alignment horizontal="left" vertical="center"/>
    </xf>
    <xf numFmtId="0" fontId="60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96" fillId="6" borderId="28" xfId="0" applyFont="1" applyFill="1" applyBorder="1" applyAlignment="1">
      <alignment horizontal="center" vertical="center" wrapText="1"/>
    </xf>
    <xf numFmtId="43" fontId="62" fillId="31" borderId="30" xfId="1" applyNumberFormat="1" applyFont="1" applyFill="1" applyBorder="1" applyAlignment="1">
      <alignment horizontal="center" vertical="center" wrapText="1"/>
    </xf>
    <xf numFmtId="43" fontId="43" fillId="31" borderId="30" xfId="1" applyNumberFormat="1" applyFont="1" applyFill="1" applyBorder="1" applyAlignment="1">
      <alignment horizontal="center" vertical="center" wrapText="1"/>
    </xf>
    <xf numFmtId="43" fontId="62" fillId="31" borderId="34" xfId="1" applyNumberFormat="1" applyFont="1" applyFill="1" applyBorder="1" applyAlignment="1">
      <alignment horizontal="center" vertical="center" wrapText="1"/>
    </xf>
    <xf numFmtId="0" fontId="57" fillId="30" borderId="70" xfId="0" applyFont="1" applyFill="1" applyBorder="1" applyAlignment="1">
      <alignment horizontal="center" vertical="center" wrapText="1"/>
    </xf>
    <xf numFmtId="0" fontId="58" fillId="30" borderId="56" xfId="0" applyFont="1" applyFill="1" applyBorder="1" applyAlignment="1">
      <alignment horizontal="center" vertical="center" wrapText="1"/>
    </xf>
    <xf numFmtId="164" fontId="58" fillId="34" borderId="32" xfId="1" applyFont="1" applyFill="1" applyBorder="1" applyAlignment="1">
      <alignment horizontal="center" vertical="center" wrapText="1"/>
    </xf>
    <xf numFmtId="164" fontId="58" fillId="34" borderId="56" xfId="1" applyFont="1" applyFill="1" applyBorder="1" applyAlignment="1">
      <alignment horizontal="center" vertical="center" wrapText="1"/>
    </xf>
    <xf numFmtId="0" fontId="58" fillId="34" borderId="30" xfId="0" applyFont="1" applyFill="1" applyBorder="1" applyAlignment="1">
      <alignment horizontal="center" vertical="center" wrapText="1"/>
    </xf>
    <xf numFmtId="0" fontId="58" fillId="34" borderId="32" xfId="1" applyNumberFormat="1" applyFont="1" applyFill="1" applyBorder="1" applyAlignment="1">
      <alignment horizontal="center" vertical="center" wrapText="1"/>
    </xf>
    <xf numFmtId="0" fontId="58" fillId="34" borderId="32" xfId="0" applyFont="1" applyFill="1" applyBorder="1" applyAlignment="1">
      <alignment horizontal="center" vertical="center" wrapText="1"/>
    </xf>
    <xf numFmtId="0" fontId="58" fillId="34" borderId="123" xfId="0" applyFont="1" applyFill="1" applyBorder="1" applyAlignment="1">
      <alignment horizontal="center" vertical="center" wrapText="1"/>
    </xf>
    <xf numFmtId="0" fontId="57" fillId="34" borderId="123" xfId="0" applyFont="1" applyFill="1" applyBorder="1" applyAlignment="1">
      <alignment horizontal="center" vertical="center" wrapText="1"/>
    </xf>
    <xf numFmtId="0" fontId="58" fillId="35" borderId="28" xfId="0" applyFont="1" applyFill="1" applyBorder="1" applyAlignment="1">
      <alignment horizontal="center" vertical="center" wrapText="1"/>
    </xf>
    <xf numFmtId="0" fontId="97" fillId="25" borderId="32" xfId="0" applyFont="1" applyFill="1" applyBorder="1" applyAlignment="1">
      <alignment horizontal="center" vertical="center"/>
    </xf>
    <xf numFmtId="164" fontId="67" fillId="25" borderId="131" xfId="1" applyFont="1" applyFill="1" applyBorder="1" applyAlignment="1">
      <alignment vertical="center"/>
    </xf>
    <xf numFmtId="175" fontId="34" fillId="7" borderId="30" xfId="1" applyNumberFormat="1" applyFont="1" applyFill="1" applyBorder="1" applyAlignment="1">
      <alignment horizontal="center" vertical="center" wrapText="1"/>
    </xf>
    <xf numFmtId="173" fontId="34" fillId="7" borderId="30" xfId="0" applyNumberFormat="1" applyFont="1" applyFill="1" applyBorder="1" applyAlignment="1">
      <alignment horizontal="center" vertical="center" wrapText="1"/>
    </xf>
    <xf numFmtId="0" fontId="92" fillId="25" borderId="121" xfId="0" applyFont="1" applyFill="1" applyBorder="1"/>
    <xf numFmtId="0" fontId="92" fillId="25" borderId="54" xfId="0" applyFont="1" applyFill="1" applyBorder="1"/>
    <xf numFmtId="164" fontId="70" fillId="25" borderId="32" xfId="1" applyFont="1" applyFill="1" applyBorder="1" applyAlignment="1">
      <alignment vertical="center"/>
    </xf>
    <xf numFmtId="0" fontId="26" fillId="5" borderId="211" xfId="0" applyFont="1" applyFill="1" applyBorder="1" applyAlignment="1">
      <alignment horizontal="center"/>
    </xf>
    <xf numFmtId="0" fontId="26" fillId="5" borderId="89" xfId="0" applyFont="1" applyFill="1" applyBorder="1" applyAlignment="1">
      <alignment horizontal="left"/>
    </xf>
    <xf numFmtId="164" fontId="25" fillId="5" borderId="89" xfId="1" applyFont="1" applyFill="1" applyBorder="1"/>
    <xf numFmtId="1" fontId="25" fillId="5" borderId="212" xfId="1" applyNumberFormat="1" applyFont="1" applyFill="1" applyBorder="1" applyAlignment="1">
      <alignment horizontal="center"/>
    </xf>
    <xf numFmtId="164" fontId="26" fillId="22" borderId="89" xfId="1" applyFont="1" applyFill="1" applyBorder="1"/>
    <xf numFmtId="164" fontId="26" fillId="22" borderId="90" xfId="1" applyFont="1" applyFill="1" applyBorder="1"/>
    <xf numFmtId="0" fontId="16" fillId="22" borderId="57" xfId="0" applyFont="1" applyFill="1" applyBorder="1" applyAlignment="1">
      <alignment horizontal="center"/>
    </xf>
    <xf numFmtId="0" fontId="16" fillId="22" borderId="57" xfId="0" applyFont="1" applyFill="1" applyBorder="1" applyAlignment="1">
      <alignment horizontal="left"/>
    </xf>
    <xf numFmtId="0" fontId="77" fillId="32" borderId="57" xfId="0" applyFont="1" applyFill="1" applyBorder="1" applyAlignment="1">
      <alignment vertical="center"/>
    </xf>
    <xf numFmtId="0" fontId="16" fillId="22" borderId="57" xfId="0" applyFont="1" applyFill="1" applyBorder="1" applyAlignment="1">
      <alignment horizontal="center" vertical="center"/>
    </xf>
    <xf numFmtId="0" fontId="16" fillId="22" borderId="57" xfId="0" applyFont="1" applyFill="1" applyBorder="1" applyAlignment="1">
      <alignment horizontal="left" vertical="center"/>
    </xf>
    <xf numFmtId="168" fontId="16" fillId="22" borderId="57" xfId="0" applyNumberFormat="1" applyFont="1" applyFill="1" applyBorder="1" applyAlignment="1">
      <alignment horizontal="center" vertical="center"/>
    </xf>
    <xf numFmtId="171" fontId="16" fillId="22" borderId="57" xfId="0" applyNumberFormat="1" applyFont="1" applyFill="1" applyBorder="1" applyAlignment="1">
      <alignment horizontal="center" vertical="center"/>
    </xf>
    <xf numFmtId="43" fontId="16" fillId="22" borderId="57" xfId="1" applyNumberFormat="1" applyFont="1" applyFill="1" applyBorder="1" applyAlignment="1">
      <alignment vertical="center"/>
    </xf>
    <xf numFmtId="174" fontId="16" fillId="22" borderId="57" xfId="1" applyNumberFormat="1" applyFont="1" applyFill="1" applyBorder="1" applyAlignment="1">
      <alignment horizontal="center" vertical="center"/>
    </xf>
    <xf numFmtId="164" fontId="98" fillId="22" borderId="57" xfId="1" applyFont="1" applyFill="1" applyBorder="1" applyAlignment="1">
      <alignment vertical="center"/>
    </xf>
    <xf numFmtId="0" fontId="77" fillId="32" borderId="122" xfId="0" applyFont="1" applyFill="1" applyBorder="1" applyAlignment="1">
      <alignment vertical="center"/>
    </xf>
    <xf numFmtId="164" fontId="99" fillId="22" borderId="57" xfId="1" applyFont="1" applyFill="1" applyBorder="1" applyAlignment="1">
      <alignment vertical="center"/>
    </xf>
    <xf numFmtId="168" fontId="16" fillId="22" borderId="57" xfId="0" applyNumberFormat="1" applyFont="1" applyFill="1" applyBorder="1" applyAlignment="1">
      <alignment horizontal="left" vertical="center"/>
    </xf>
    <xf numFmtId="0" fontId="16" fillId="22" borderId="57" xfId="1" applyNumberFormat="1" applyFont="1" applyFill="1" applyBorder="1" applyAlignment="1">
      <alignment horizontal="left"/>
    </xf>
    <xf numFmtId="0" fontId="100" fillId="22" borderId="57" xfId="3" applyFont="1" applyFill="1" applyBorder="1" applyAlignment="1">
      <alignment horizontal="left" vertical="center"/>
    </xf>
    <xf numFmtId="0" fontId="1" fillId="22" borderId="57" xfId="0" applyFont="1" applyFill="1" applyBorder="1" applyAlignment="1">
      <alignment horizontal="center"/>
    </xf>
    <xf numFmtId="0" fontId="1" fillId="22" borderId="57" xfId="0" applyFont="1" applyFill="1" applyBorder="1" applyAlignment="1">
      <alignment horizontal="left"/>
    </xf>
    <xf numFmtId="43" fontId="1" fillId="22" borderId="57" xfId="1" applyNumberFormat="1" applyFont="1" applyFill="1" applyBorder="1" applyAlignment="1">
      <alignment vertical="center"/>
    </xf>
    <xf numFmtId="174" fontId="1" fillId="22" borderId="57" xfId="1" applyNumberFormat="1" applyFont="1" applyFill="1" applyBorder="1" applyAlignment="1">
      <alignment horizontal="center" vertical="center"/>
    </xf>
    <xf numFmtId="164" fontId="12" fillId="22" borderId="57" xfId="1" applyFont="1" applyFill="1" applyBorder="1" applyAlignment="1">
      <alignment vertical="center"/>
    </xf>
    <xf numFmtId="0" fontId="24" fillId="6" borderId="33" xfId="0" applyFont="1" applyFill="1" applyBorder="1" applyAlignment="1">
      <alignment horizontal="center" vertical="center" wrapText="1"/>
    </xf>
    <xf numFmtId="0" fontId="24" fillId="6" borderId="29" xfId="0" applyFont="1" applyFill="1" applyBorder="1" applyAlignment="1">
      <alignment horizontal="center" vertical="center" wrapText="1"/>
    </xf>
    <xf numFmtId="0" fontId="24" fillId="6" borderId="34" xfId="0" applyFont="1" applyFill="1" applyBorder="1" applyAlignment="1">
      <alignment horizontal="center" vertical="center" wrapText="1"/>
    </xf>
    <xf numFmtId="0" fontId="24" fillId="6" borderId="69" xfId="0" applyFont="1" applyFill="1" applyBorder="1" applyAlignment="1">
      <alignment horizontal="center" vertical="center" wrapText="1"/>
    </xf>
    <xf numFmtId="0" fontId="24" fillId="6" borderId="35" xfId="0" applyFont="1" applyFill="1" applyBorder="1" applyAlignment="1">
      <alignment horizontal="center" vertical="center" wrapText="1"/>
    </xf>
    <xf numFmtId="0" fontId="61" fillId="0" borderId="19" xfId="0" applyFont="1" applyBorder="1" applyAlignment="1">
      <alignment horizontal="left" vertical="center"/>
    </xf>
    <xf numFmtId="0" fontId="62" fillId="0" borderId="19" xfId="0" applyFont="1" applyBorder="1" applyAlignment="1">
      <alignment horizontal="left" vertical="center"/>
    </xf>
    <xf numFmtId="170" fontId="62" fillId="0" borderId="19" xfId="0" applyNumberFormat="1" applyFont="1" applyBorder="1" applyAlignment="1">
      <alignment horizontal="left" vertical="center"/>
    </xf>
    <xf numFmtId="0" fontId="56" fillId="0" borderId="19" xfId="0" applyFont="1" applyBorder="1" applyAlignment="1">
      <alignment horizontal="left" vertical="center"/>
    </xf>
    <xf numFmtId="169" fontId="62" fillId="0" borderId="19" xfId="0" applyNumberFormat="1" applyFont="1" applyBorder="1" applyAlignment="1">
      <alignment horizontal="left" vertical="center"/>
    </xf>
    <xf numFmtId="0" fontId="62" fillId="0" borderId="19" xfId="0" quotePrefix="1" applyFont="1" applyBorder="1" applyAlignment="1">
      <alignment horizontal="left" vertical="center"/>
    </xf>
    <xf numFmtId="166" fontId="62" fillId="0" borderId="19" xfId="0" applyNumberFormat="1" applyFont="1" applyBorder="1" applyAlignment="1">
      <alignment horizontal="left" vertical="center"/>
    </xf>
    <xf numFmtId="0" fontId="102" fillId="12" borderId="55" xfId="0" applyFont="1" applyFill="1" applyBorder="1" applyAlignment="1">
      <alignment horizontal="center"/>
    </xf>
    <xf numFmtId="0" fontId="101" fillId="0" borderId="19" xfId="0" applyFont="1" applyBorder="1" applyAlignment="1">
      <alignment vertical="center"/>
    </xf>
    <xf numFmtId="0" fontId="103" fillId="0" borderId="19" xfId="0" applyFont="1" applyBorder="1" applyAlignment="1">
      <alignment vertical="center"/>
    </xf>
    <xf numFmtId="0" fontId="60" fillId="0" borderId="0" xfId="0" applyFont="1" applyAlignment="1">
      <alignment vertical="center"/>
    </xf>
    <xf numFmtId="0" fontId="1" fillId="19" borderId="49" xfId="0" applyFont="1" applyFill="1" applyBorder="1"/>
    <xf numFmtId="0" fontId="1" fillId="19" borderId="58" xfId="0" applyFont="1" applyFill="1" applyBorder="1"/>
    <xf numFmtId="3" fontId="39" fillId="22" borderId="187" xfId="1" applyNumberFormat="1" applyFont="1" applyFill="1" applyBorder="1" applyAlignment="1">
      <alignment horizontal="center" vertical="center"/>
    </xf>
    <xf numFmtId="164" fontId="20" fillId="22" borderId="135" xfId="1" applyFont="1" applyFill="1" applyBorder="1" applyAlignment="1">
      <alignment vertical="center" wrapText="1"/>
    </xf>
    <xf numFmtId="3" fontId="20" fillId="23" borderId="75" xfId="1" applyNumberFormat="1" applyFont="1" applyFill="1" applyBorder="1" applyAlignment="1">
      <alignment horizontal="center" vertical="center"/>
    </xf>
    <xf numFmtId="1" fontId="10" fillId="23" borderId="80" xfId="1" applyNumberFormat="1" applyFont="1" applyFill="1" applyBorder="1" applyAlignment="1">
      <alignment horizontal="center" vertical="center"/>
    </xf>
    <xf numFmtId="1" fontId="34" fillId="2" borderId="30" xfId="1" applyNumberFormat="1" applyFont="1" applyFill="1" applyBorder="1" applyAlignment="1">
      <alignment horizontal="center"/>
    </xf>
    <xf numFmtId="1" fontId="34" fillId="2" borderId="28" xfId="0" applyNumberFormat="1" applyFont="1" applyFill="1" applyBorder="1" applyAlignment="1">
      <alignment horizontal="center"/>
    </xf>
    <xf numFmtId="0" fontId="24" fillId="0" borderId="0" xfId="0" applyFont="1" applyAlignment="1">
      <alignment horizontal="right"/>
    </xf>
    <xf numFmtId="164" fontId="34" fillId="0" borderId="213" xfId="0" applyNumberFormat="1" applyFont="1" applyBorder="1"/>
    <xf numFmtId="43" fontId="34" fillId="0" borderId="213" xfId="0" applyNumberFormat="1" applyFont="1" applyBorder="1"/>
    <xf numFmtId="164" fontId="80" fillId="21" borderId="123" xfId="1" applyFont="1" applyFill="1" applyBorder="1" applyAlignment="1">
      <alignment horizontal="center"/>
    </xf>
    <xf numFmtId="43" fontId="80" fillId="21" borderId="123" xfId="0" applyNumberFormat="1" applyFont="1" applyFill="1" applyBorder="1" applyAlignment="1">
      <alignment horizontal="center"/>
    </xf>
    <xf numFmtId="168" fontId="26" fillId="6" borderId="190" xfId="0" applyNumberFormat="1" applyFont="1" applyFill="1" applyBorder="1" applyAlignment="1">
      <alignment horizontal="center" vertical="center"/>
    </xf>
    <xf numFmtId="0" fontId="71" fillId="24" borderId="43" xfId="0" applyFont="1" applyFill="1" applyBorder="1" applyAlignment="1">
      <alignment horizontal="left"/>
    </xf>
    <xf numFmtId="0" fontId="25" fillId="7" borderId="30" xfId="0" applyFont="1" applyFill="1" applyBorder="1" applyAlignment="1">
      <alignment horizontal="center" vertical="center" wrapText="1"/>
    </xf>
    <xf numFmtId="0" fontId="37" fillId="12" borderId="55" xfId="0" applyFont="1" applyFill="1" applyBorder="1" applyAlignment="1">
      <alignment horizontal="center"/>
    </xf>
    <xf numFmtId="0" fontId="28" fillId="2" borderId="69" xfId="0" applyFont="1" applyFill="1" applyBorder="1" applyAlignment="1">
      <alignment horizontal="center"/>
    </xf>
    <xf numFmtId="0" fontId="28" fillId="2" borderId="70" xfId="0" applyFont="1" applyFill="1" applyBorder="1" applyAlignment="1">
      <alignment horizontal="center"/>
    </xf>
    <xf numFmtId="0" fontId="28" fillId="2" borderId="44" xfId="0" applyFont="1" applyFill="1" applyBorder="1" applyAlignment="1">
      <alignment horizontal="center"/>
    </xf>
    <xf numFmtId="0" fontId="28" fillId="2" borderId="31" xfId="0" applyFont="1" applyFill="1" applyBorder="1" applyAlignment="1">
      <alignment horizontal="center"/>
    </xf>
    <xf numFmtId="0" fontId="28" fillId="2" borderId="63" xfId="0" applyFont="1" applyFill="1" applyBorder="1" applyAlignment="1">
      <alignment horizontal="center"/>
    </xf>
    <xf numFmtId="0" fontId="28" fillId="2" borderId="56" xfId="0" applyFont="1" applyFill="1" applyBorder="1" applyAlignment="1">
      <alignment horizontal="center"/>
    </xf>
    <xf numFmtId="0" fontId="37" fillId="12" borderId="0" xfId="0" applyFont="1" applyFill="1" applyAlignment="1">
      <alignment horizontal="center"/>
    </xf>
    <xf numFmtId="0" fontId="34" fillId="2" borderId="44" xfId="0" applyFont="1" applyFill="1" applyBorder="1" applyAlignment="1">
      <alignment horizontal="center"/>
    </xf>
    <xf numFmtId="0" fontId="34" fillId="2" borderId="31" xfId="0" applyFont="1" applyFill="1" applyBorder="1" applyAlignment="1">
      <alignment horizontal="center"/>
    </xf>
    <xf numFmtId="0" fontId="34" fillId="2" borderId="69" xfId="0" applyFont="1" applyFill="1" applyBorder="1" applyAlignment="1">
      <alignment horizontal="center"/>
    </xf>
    <xf numFmtId="0" fontId="34" fillId="2" borderId="70" xfId="0" applyFont="1" applyFill="1" applyBorder="1" applyAlignment="1">
      <alignment horizontal="center"/>
    </xf>
    <xf numFmtId="0" fontId="66" fillId="12" borderId="0" xfId="0" applyFont="1" applyFill="1" applyAlignment="1">
      <alignment horizontal="center"/>
    </xf>
    <xf numFmtId="0" fontId="88" fillId="29" borderId="121" xfId="4" applyFont="1" applyFill="1" applyBorder="1" applyAlignment="1">
      <alignment horizontal="center" vertical="center"/>
    </xf>
    <xf numFmtId="0" fontId="88" fillId="29" borderId="54" xfId="4" applyFont="1" applyFill="1" applyBorder="1" applyAlignment="1">
      <alignment horizontal="center" vertical="center"/>
    </xf>
    <xf numFmtId="0" fontId="88" fillId="29" borderId="50" xfId="4" applyFont="1" applyFill="1" applyBorder="1" applyAlignment="1">
      <alignment horizontal="center" vertical="center"/>
    </xf>
    <xf numFmtId="0" fontId="24" fillId="6" borderId="192" xfId="0" applyFont="1" applyFill="1" applyBorder="1" applyAlignment="1">
      <alignment horizontal="center"/>
    </xf>
    <xf numFmtId="0" fontId="24" fillId="6" borderId="123" xfId="0" applyFont="1" applyFill="1" applyBorder="1" applyAlignment="1">
      <alignment horizontal="center"/>
    </xf>
    <xf numFmtId="0" fontId="24" fillId="6" borderId="28" xfId="0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3" fontId="23" fillId="6" borderId="91" xfId="0" applyNumberFormat="1" applyFont="1" applyFill="1" applyBorder="1" applyAlignment="1">
      <alignment horizontal="center"/>
    </xf>
    <xf numFmtId="3" fontId="23" fillId="6" borderId="49" xfId="0" applyNumberFormat="1" applyFont="1" applyFill="1" applyBorder="1" applyAlignment="1">
      <alignment horizontal="center"/>
    </xf>
    <xf numFmtId="0" fontId="66" fillId="12" borderId="55" xfId="0" applyFont="1" applyFill="1" applyBorder="1" applyAlignment="1">
      <alignment horizontal="center"/>
    </xf>
    <xf numFmtId="0" fontId="54" fillId="0" borderId="0" xfId="0" applyFont="1" applyAlignment="1">
      <alignment horizontal="center" vertical="center" wrapText="1"/>
    </xf>
    <xf numFmtId="0" fontId="23" fillId="2" borderId="28" xfId="0" applyFont="1" applyFill="1" applyBorder="1" applyAlignment="1">
      <alignment horizontal="center" vertical="center" wrapText="1"/>
    </xf>
    <xf numFmtId="0" fontId="76" fillId="5" borderId="44" xfId="0" applyFont="1" applyFill="1" applyBorder="1" applyAlignment="1">
      <alignment horizontal="center" vertical="center" wrapText="1"/>
    </xf>
    <xf numFmtId="0" fontId="76" fillId="5" borderId="68" xfId="0" applyFont="1" applyFill="1" applyBorder="1" applyAlignment="1">
      <alignment horizontal="center" vertical="center" wrapText="1"/>
    </xf>
    <xf numFmtId="0" fontId="76" fillId="5" borderId="31" xfId="0" applyFont="1" applyFill="1" applyBorder="1" applyAlignment="1">
      <alignment horizontal="center" vertical="center" wrapText="1"/>
    </xf>
    <xf numFmtId="0" fontId="76" fillId="10" borderId="44" xfId="0" applyFont="1" applyFill="1" applyBorder="1" applyAlignment="1">
      <alignment horizontal="center" vertical="center" wrapText="1"/>
    </xf>
    <xf numFmtId="0" fontId="76" fillId="10" borderId="68" xfId="0" applyFont="1" applyFill="1" applyBorder="1" applyAlignment="1">
      <alignment horizontal="center" vertical="center" wrapText="1"/>
    </xf>
    <xf numFmtId="0" fontId="76" fillId="10" borderId="31" xfId="0" applyFont="1" applyFill="1" applyBorder="1" applyAlignment="1">
      <alignment horizontal="center" vertical="center" wrapText="1"/>
    </xf>
    <xf numFmtId="0" fontId="37" fillId="12" borderId="0" xfId="0" applyFont="1" applyFill="1" applyAlignment="1">
      <alignment horizontal="left"/>
    </xf>
    <xf numFmtId="164" fontId="25" fillId="22" borderId="91" xfId="1" applyFont="1" applyFill="1" applyBorder="1" applyAlignment="1">
      <alignment horizontal="center"/>
    </xf>
    <xf numFmtId="164" fontId="25" fillId="22" borderId="58" xfId="1" applyFont="1" applyFill="1" applyBorder="1" applyAlignment="1">
      <alignment horizontal="center"/>
    </xf>
    <xf numFmtId="0" fontId="37" fillId="12" borderId="55" xfId="0" applyFont="1" applyFill="1" applyBorder="1" applyAlignment="1">
      <alignment horizontal="center" vertical="center"/>
    </xf>
    <xf numFmtId="0" fontId="34" fillId="14" borderId="44" xfId="0" applyFont="1" applyFill="1" applyBorder="1" applyAlignment="1">
      <alignment horizontal="center" vertical="center"/>
    </xf>
    <xf numFmtId="0" fontId="34" fillId="14" borderId="31" xfId="0" applyFont="1" applyFill="1" applyBorder="1" applyAlignment="1">
      <alignment horizontal="center" vertical="center"/>
    </xf>
    <xf numFmtId="0" fontId="34" fillId="14" borderId="28" xfId="0" applyFont="1" applyFill="1" applyBorder="1" applyAlignment="1">
      <alignment horizontal="center"/>
    </xf>
    <xf numFmtId="0" fontId="68" fillId="19" borderId="115" xfId="0" applyFont="1" applyFill="1" applyBorder="1" applyAlignment="1">
      <alignment horizontal="center"/>
    </xf>
    <xf numFmtId="0" fontId="68" fillId="19" borderId="116" xfId="0" applyFont="1" applyFill="1" applyBorder="1" applyAlignment="1">
      <alignment horizontal="center"/>
    </xf>
    <xf numFmtId="0" fontId="68" fillId="19" borderId="131" xfId="0" applyFont="1" applyFill="1" applyBorder="1" applyAlignment="1">
      <alignment horizontal="center"/>
    </xf>
    <xf numFmtId="0" fontId="37" fillId="12" borderId="121" xfId="0" applyFont="1" applyFill="1" applyBorder="1" applyAlignment="1">
      <alignment horizontal="center"/>
    </xf>
    <xf numFmtId="0" fontId="37" fillId="12" borderId="54" xfId="0" applyFont="1" applyFill="1" applyBorder="1" applyAlignment="1">
      <alignment horizontal="center"/>
    </xf>
    <xf numFmtId="0" fontId="37" fillId="12" borderId="50" xfId="0" applyFont="1" applyFill="1" applyBorder="1" applyAlignment="1">
      <alignment horizontal="center"/>
    </xf>
    <xf numFmtId="0" fontId="43" fillId="10" borderId="121" xfId="0" applyFont="1" applyFill="1" applyBorder="1" applyAlignment="1">
      <alignment horizontal="center" vertical="center" wrapText="1"/>
    </xf>
    <xf numFmtId="0" fontId="43" fillId="10" borderId="54" xfId="0" applyFont="1" applyFill="1" applyBorder="1" applyAlignment="1">
      <alignment horizontal="center" vertical="center" wrapText="1"/>
    </xf>
    <xf numFmtId="0" fontId="43" fillId="10" borderId="50" xfId="0" applyFont="1" applyFill="1" applyBorder="1" applyAlignment="1">
      <alignment horizontal="center" vertical="center" wrapText="1"/>
    </xf>
    <xf numFmtId="172" fontId="34" fillId="10" borderId="121" xfId="0" applyNumberFormat="1" applyFont="1" applyFill="1" applyBorder="1" applyAlignment="1">
      <alignment horizontal="center"/>
    </xf>
    <xf numFmtId="172" fontId="34" fillId="10" borderId="54" xfId="0" applyNumberFormat="1" applyFont="1" applyFill="1" applyBorder="1" applyAlignment="1">
      <alignment horizontal="center"/>
    </xf>
    <xf numFmtId="172" fontId="34" fillId="10" borderId="50" xfId="0" applyNumberFormat="1" applyFont="1" applyFill="1" applyBorder="1" applyAlignment="1">
      <alignment horizontal="center"/>
    </xf>
    <xf numFmtId="172" fontId="34" fillId="10" borderId="140" xfId="0" applyNumberFormat="1" applyFont="1" applyFill="1" applyBorder="1" applyAlignment="1">
      <alignment horizontal="center"/>
    </xf>
    <xf numFmtId="172" fontId="34" fillId="10" borderId="143" xfId="0" applyNumberFormat="1" applyFont="1" applyFill="1" applyBorder="1" applyAlignment="1">
      <alignment horizontal="center"/>
    </xf>
    <xf numFmtId="172" fontId="34" fillId="10" borderId="141" xfId="0" applyNumberFormat="1" applyFont="1" applyFill="1" applyBorder="1" applyAlignment="1">
      <alignment horizontal="center"/>
    </xf>
    <xf numFmtId="0" fontId="37" fillId="12" borderId="0" xfId="0" applyFont="1" applyFill="1" applyAlignment="1">
      <alignment horizontal="center" vertical="center"/>
    </xf>
    <xf numFmtId="0" fontId="34" fillId="21" borderId="121" xfId="0" applyFont="1" applyFill="1" applyBorder="1" applyAlignment="1">
      <alignment horizontal="center" vertical="center" wrapText="1"/>
    </xf>
    <xf numFmtId="0" fontId="34" fillId="21" borderId="54" xfId="0" applyFont="1" applyFill="1" applyBorder="1" applyAlignment="1">
      <alignment horizontal="center" vertical="center" wrapText="1"/>
    </xf>
    <xf numFmtId="0" fontId="34" fillId="21" borderId="50" xfId="0" applyFont="1" applyFill="1" applyBorder="1" applyAlignment="1">
      <alignment horizontal="center" vertical="center" wrapText="1"/>
    </xf>
    <xf numFmtId="173" fontId="36" fillId="25" borderId="173" xfId="1" applyNumberFormat="1" applyFont="1" applyFill="1" applyBorder="1" applyAlignment="1">
      <alignment horizontal="center" vertical="center" wrapText="1"/>
    </xf>
    <xf numFmtId="3" fontId="35" fillId="19" borderId="173" xfId="1" applyNumberFormat="1" applyFont="1" applyFill="1" applyBorder="1" applyAlignment="1">
      <alignment horizontal="center" vertical="center"/>
    </xf>
    <xf numFmtId="0" fontId="74" fillId="7" borderId="91" xfId="1" applyNumberFormat="1" applyFont="1" applyFill="1" applyBorder="1" applyAlignment="1">
      <alignment horizontal="center" vertical="center" wrapText="1"/>
    </xf>
    <xf numFmtId="0" fontId="74" fillId="7" borderId="49" xfId="1" applyNumberFormat="1" applyFont="1" applyFill="1" applyBorder="1" applyAlignment="1">
      <alignment horizontal="center" vertical="center" wrapText="1"/>
    </xf>
    <xf numFmtId="0" fontId="74" fillId="7" borderId="58" xfId="1" applyNumberFormat="1" applyFont="1" applyFill="1" applyBorder="1" applyAlignment="1">
      <alignment horizontal="center" vertical="center" wrapText="1"/>
    </xf>
    <xf numFmtId="0" fontId="38" fillId="21" borderId="185" xfId="0" applyFont="1" applyFill="1" applyBorder="1" applyAlignment="1">
      <alignment horizontal="center"/>
    </xf>
    <xf numFmtId="0" fontId="38" fillId="21" borderId="175" xfId="0" applyFont="1" applyFill="1" applyBorder="1" applyAlignment="1">
      <alignment horizontal="center"/>
    </xf>
    <xf numFmtId="0" fontId="74" fillId="7" borderId="171" xfId="1" applyNumberFormat="1" applyFont="1" applyFill="1" applyBorder="1" applyAlignment="1">
      <alignment horizontal="center" vertical="center" wrapText="1"/>
    </xf>
    <xf numFmtId="0" fontId="74" fillId="7" borderId="0" xfId="1" applyNumberFormat="1" applyFont="1" applyFill="1" applyBorder="1" applyAlignment="1">
      <alignment horizontal="center" vertical="center" wrapText="1"/>
    </xf>
    <xf numFmtId="0" fontId="38" fillId="21" borderId="174" xfId="0" applyFont="1" applyFill="1" applyBorder="1" applyAlignment="1">
      <alignment horizontal="center"/>
    </xf>
    <xf numFmtId="0" fontId="38" fillId="21" borderId="176" xfId="0" applyFont="1" applyFill="1" applyBorder="1" applyAlignment="1">
      <alignment horizontal="center"/>
    </xf>
    <xf numFmtId="173" fontId="36" fillId="25" borderId="171" xfId="1" applyNumberFormat="1" applyFont="1" applyFill="1" applyBorder="1" applyAlignment="1">
      <alignment horizontal="center" vertical="center" wrapText="1"/>
    </xf>
    <xf numFmtId="173" fontId="36" fillId="25" borderId="132" xfId="1" applyNumberFormat="1" applyFont="1" applyFill="1" applyBorder="1" applyAlignment="1">
      <alignment horizontal="center" vertical="center" wrapText="1"/>
    </xf>
    <xf numFmtId="3" fontId="35" fillId="19" borderId="63" xfId="1" applyNumberFormat="1" applyFont="1" applyFill="1" applyBorder="1" applyAlignment="1">
      <alignment horizontal="center" vertical="center"/>
    </xf>
    <xf numFmtId="3" fontId="35" fillId="19" borderId="184" xfId="1" applyNumberFormat="1" applyFont="1" applyFill="1" applyBorder="1" applyAlignment="1">
      <alignment horizontal="center" vertical="center"/>
    </xf>
    <xf numFmtId="0" fontId="74" fillId="7" borderId="116" xfId="1" applyNumberFormat="1" applyFont="1" applyFill="1" applyBorder="1" applyAlignment="1">
      <alignment horizontal="center" vertical="center" wrapText="1"/>
    </xf>
    <xf numFmtId="0" fontId="38" fillId="21" borderId="186" xfId="0" applyFont="1" applyFill="1" applyBorder="1" applyAlignment="1">
      <alignment horizontal="center"/>
    </xf>
    <xf numFmtId="0" fontId="74" fillId="7" borderId="177" xfId="1" applyNumberFormat="1" applyFont="1" applyFill="1" applyBorder="1" applyAlignment="1">
      <alignment horizontal="center" vertical="center" wrapText="1"/>
    </xf>
    <xf numFmtId="0" fontId="76" fillId="5" borderId="121" xfId="0" applyFont="1" applyFill="1" applyBorder="1" applyAlignment="1">
      <alignment horizontal="center" vertical="center" wrapText="1"/>
    </xf>
    <xf numFmtId="0" fontId="76" fillId="5" borderId="54" xfId="0" applyFont="1" applyFill="1" applyBorder="1" applyAlignment="1">
      <alignment horizontal="center" vertical="center" wrapText="1"/>
    </xf>
    <xf numFmtId="0" fontId="76" fillId="5" borderId="50" xfId="0" applyFont="1" applyFill="1" applyBorder="1" applyAlignment="1">
      <alignment horizontal="center" vertical="center" wrapText="1"/>
    </xf>
    <xf numFmtId="0" fontId="66" fillId="12" borderId="184" xfId="0" applyFont="1" applyFill="1" applyBorder="1" applyAlignment="1">
      <alignment horizontal="center"/>
    </xf>
    <xf numFmtId="0" fontId="18" fillId="7" borderId="53" xfId="0" applyFont="1" applyFill="1" applyBorder="1" applyAlignment="1">
      <alignment horizontal="center" vertical="center"/>
    </xf>
    <xf numFmtId="0" fontId="18" fillId="7" borderId="59" xfId="0" applyFont="1" applyFill="1" applyBorder="1" applyAlignment="1">
      <alignment horizontal="center" vertical="center"/>
    </xf>
    <xf numFmtId="0" fontId="18" fillId="7" borderId="120" xfId="0" applyFont="1" applyFill="1" applyBorder="1" applyAlignment="1">
      <alignment horizontal="center" vertical="center"/>
    </xf>
    <xf numFmtId="0" fontId="95" fillId="25" borderId="91" xfId="0" applyFont="1" applyFill="1" applyBorder="1" applyAlignment="1">
      <alignment horizontal="center" vertical="center"/>
    </xf>
    <xf numFmtId="0" fontId="95" fillId="25" borderId="49" xfId="0" applyFont="1" applyFill="1" applyBorder="1" applyAlignment="1">
      <alignment horizontal="center" vertical="center"/>
    </xf>
    <xf numFmtId="0" fontId="95" fillId="25" borderId="58" xfId="0" applyFont="1" applyFill="1" applyBorder="1" applyAlignment="1">
      <alignment horizontal="center" vertical="center"/>
    </xf>
    <xf numFmtId="0" fontId="92" fillId="25" borderId="121" xfId="0" applyFont="1" applyFill="1" applyBorder="1" applyAlignment="1">
      <alignment horizontal="center"/>
    </xf>
    <xf numFmtId="0" fontId="92" fillId="25" borderId="54" xfId="0" applyFont="1" applyFill="1" applyBorder="1" applyAlignment="1">
      <alignment horizontal="center"/>
    </xf>
    <xf numFmtId="0" fontId="92" fillId="25" borderId="50" xfId="0" applyFont="1" applyFill="1" applyBorder="1" applyAlignment="1">
      <alignment horizontal="center"/>
    </xf>
    <xf numFmtId="0" fontId="104" fillId="12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34" fillId="0" borderId="0" xfId="0" applyFont="1" applyAlignment="1">
      <alignment horizontal="center"/>
    </xf>
  </cellXfs>
  <cellStyles count="5">
    <cellStyle name="Comma" xfId="1" builtinId="3"/>
    <cellStyle name="Heading 1" xfId="4" builtinId="16"/>
    <cellStyle name="Hyperlink" xfId="3" builtinId="8"/>
    <cellStyle name="Normal" xfId="0" builtinId="0"/>
    <cellStyle name="Percent" xfId="2" builtinId="5"/>
  </cellStyles>
  <dxfs count="89">
    <dxf>
      <font>
        <color rgb="FF0000FF"/>
      </font>
    </dxf>
    <dxf>
      <font>
        <color rgb="FF0070C0"/>
      </font>
    </dxf>
    <dxf>
      <font>
        <color rgb="FF00B050"/>
      </font>
    </dxf>
    <dxf>
      <font>
        <color rgb="FFC00000"/>
      </font>
    </dxf>
    <dxf>
      <font>
        <color rgb="FF7030A0"/>
      </font>
    </dxf>
    <dxf>
      <font>
        <color rgb="FFC00000"/>
      </font>
    </dxf>
    <dxf>
      <font>
        <color theme="9" tint="0.59996337778862885"/>
      </font>
    </dxf>
    <dxf>
      <font>
        <color theme="7" tint="0.59996337778862885"/>
      </font>
    </dxf>
    <dxf>
      <font>
        <color theme="9" tint="0.59996337778862885"/>
      </font>
    </dxf>
    <dxf>
      <font>
        <color theme="7" tint="0.59996337778862885"/>
      </font>
    </dxf>
    <dxf>
      <font>
        <color rgb="FFFFFF00"/>
      </font>
    </dxf>
    <dxf>
      <font>
        <color theme="0" tint="-0.24994659260841701"/>
      </font>
    </dxf>
    <dxf>
      <font>
        <color theme="6" tint="0.59996337778862885"/>
      </font>
    </dxf>
    <dxf>
      <font>
        <color theme="9" tint="0.59996337778862885"/>
      </font>
    </dxf>
    <dxf>
      <font>
        <color theme="7" tint="0.79998168889431442"/>
      </font>
    </dxf>
    <dxf>
      <font>
        <color theme="5" tint="0.59996337778862885"/>
      </font>
    </dxf>
    <dxf>
      <font>
        <color theme="9" tint="0.39994506668294322"/>
      </font>
    </dxf>
    <dxf>
      <font>
        <color theme="9" tint="0.59996337778862885"/>
      </font>
    </dxf>
    <dxf>
      <font>
        <color theme="7" tint="0.79998168889431442"/>
      </font>
    </dxf>
    <dxf>
      <font>
        <color theme="9" tint="0.39994506668294322"/>
      </font>
    </dxf>
    <dxf>
      <font>
        <color theme="7" tint="0.79998168889431442"/>
      </font>
    </dxf>
    <dxf>
      <font>
        <color theme="9" tint="0.59996337778862885"/>
      </font>
    </dxf>
    <dxf>
      <font>
        <color theme="7" tint="0.59996337778862885"/>
      </font>
    </dxf>
    <dxf>
      <font>
        <color theme="7" tint="0.79998168889431442"/>
      </font>
    </dxf>
    <dxf>
      <font>
        <color theme="6" tint="0.59996337778862885"/>
      </font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rgb="FF2E00F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</dxf>
    <dxf>
      <font>
        <color theme="7" tint="0.59996337778862885"/>
      </font>
    </dxf>
    <dxf>
      <font>
        <color theme="7" tint="0.79998168889431442"/>
      </font>
    </dxf>
    <dxf>
      <font>
        <color theme="7" tint="0.59996337778862885"/>
      </font>
    </dxf>
    <dxf>
      <font>
        <color rgb="FFFFFF00"/>
      </font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rgb="FF2E00F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7" tint="0.79998168889431442"/>
      </font>
    </dxf>
    <dxf>
      <font>
        <color theme="6" tint="0.59996337778862885"/>
      </font>
    </dxf>
    <dxf>
      <font>
        <color theme="6" tint="0.79998168889431442"/>
      </font>
    </dxf>
    <dxf>
      <font>
        <color theme="3" tint="0.59996337778862885"/>
      </font>
    </dxf>
    <dxf>
      <font>
        <color theme="6" tint="0.79998168889431442"/>
      </font>
    </dxf>
    <dxf>
      <font>
        <color theme="3" tint="0.59996337778862885"/>
      </font>
    </dxf>
    <dxf>
      <font>
        <color rgb="FFFFFF00"/>
      </font>
    </dxf>
    <dxf>
      <font>
        <color theme="7" tint="0.79998168889431442"/>
      </font>
    </dxf>
    <dxf>
      <font>
        <color theme="7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theme="8" tint="0.59996337778862885"/>
      </font>
    </dxf>
    <dxf>
      <font>
        <color theme="7" tint="0.79998168889431442"/>
      </font>
    </dxf>
    <dxf>
      <font>
        <color theme="0" tint="-0.24994659260841701"/>
      </font>
    </dxf>
    <dxf>
      <font>
        <color theme="2" tint="-9.9948118533890809E-2"/>
      </font>
    </dxf>
    <dxf>
      <font>
        <color theme="6" tint="0.79998168889431442"/>
      </font>
    </dxf>
    <dxf>
      <font>
        <color theme="0" tint="-0.14996795556505021"/>
      </font>
    </dxf>
    <dxf>
      <font>
        <color rgb="FFFFFF00"/>
      </font>
    </dxf>
    <dxf>
      <font>
        <color theme="5" tint="0.59996337778862885"/>
      </font>
    </dxf>
    <dxf>
      <font>
        <color theme="0" tint="-0.24994659260841701"/>
      </font>
    </dxf>
    <dxf>
      <font>
        <color theme="6" tint="0.59996337778862885"/>
      </font>
    </dxf>
    <dxf>
      <font>
        <color theme="0" tint="-0.24994659260841701"/>
      </font>
    </dxf>
    <dxf>
      <font>
        <color theme="6" tint="0.59996337778862885"/>
      </font>
    </dxf>
    <dxf>
      <font>
        <color theme="0" tint="-0.14996795556505021"/>
      </font>
    </dxf>
    <dxf>
      <font>
        <color rgb="FFFFFF00"/>
      </font>
    </dxf>
    <dxf>
      <font>
        <color theme="5" tint="0.59996337778862885"/>
      </font>
    </dxf>
    <dxf>
      <font>
        <color theme="6" tint="0.59996337778862885"/>
      </font>
    </dxf>
  </dxfs>
  <tableStyles count="0" defaultTableStyle="TableStyleMedium2" defaultPivotStyle="PivotStyleLight16"/>
  <colors>
    <mruColors>
      <color rgb="FF0000FF"/>
      <color rgb="FFFFFF00"/>
      <color rgb="FF0000CC"/>
      <color rgb="FF2E00F0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diagrams/_rels/data1.xml.rels><?xml version="1.0" encoding="UTF-8" standalone="yes"?>
<Relationships xmlns="http://schemas.openxmlformats.org/package/2006/relationships"><Relationship Id="rId3" Type="http://schemas.openxmlformats.org/officeDocument/2006/relationships/hyperlink" Target="#'PERSONAL PROFILE'!A1"/><Relationship Id="rId7" Type="http://schemas.openxmlformats.org/officeDocument/2006/relationships/hyperlink" Target="#'TRADING ACCOUNT'!A1"/><Relationship Id="rId2" Type="http://schemas.openxmlformats.org/officeDocument/2006/relationships/hyperlink" Target="#RECORDS!A1"/><Relationship Id="rId1" Type="http://schemas.openxmlformats.org/officeDocument/2006/relationships/hyperlink" Target="#ACCOUNTS!A1"/><Relationship Id="rId6" Type="http://schemas.openxmlformats.org/officeDocument/2006/relationships/hyperlink" Target="#'TREASURER BILL'!A1"/><Relationship Id="rId5" Type="http://schemas.openxmlformats.org/officeDocument/2006/relationships/hyperlink" Target="#'DUES CONTRIBUTIONS'!A1"/><Relationship Id="rId4" Type="http://schemas.openxmlformats.org/officeDocument/2006/relationships/hyperlink" Target="#'LEVY CONTRIBUTIONS'!A1"/></Relationships>
</file>

<file path=xl/diagrams/_rels/data2.xml.rels><?xml version="1.0" encoding="UTF-8" standalone="yes"?>
<Relationships xmlns="http://schemas.openxmlformats.org/package/2006/relationships"><Relationship Id="rId8" Type="http://schemas.openxmlformats.org/officeDocument/2006/relationships/hyperlink" Target="#'MONTHLY DUES 2028'!A1"/><Relationship Id="rId3" Type="http://schemas.openxmlformats.org/officeDocument/2006/relationships/hyperlink" Target="#'MONTHLY DUES 2023'!A1"/><Relationship Id="rId7" Type="http://schemas.openxmlformats.org/officeDocument/2006/relationships/hyperlink" Target="#'MONTHLY DUES 2027'!A1"/><Relationship Id="rId12" Type="http://schemas.openxmlformats.org/officeDocument/2006/relationships/hyperlink" Target="#'MONTHLY DUES 2032'!A1"/><Relationship Id="rId2" Type="http://schemas.openxmlformats.org/officeDocument/2006/relationships/hyperlink" Target="#'YEARLY DUES'!A1"/><Relationship Id="rId1" Type="http://schemas.openxmlformats.org/officeDocument/2006/relationships/hyperlink" Target="#'YEARLY DUES FEES'!A1"/><Relationship Id="rId6" Type="http://schemas.openxmlformats.org/officeDocument/2006/relationships/hyperlink" Target="#'MONTHLY DUES 2026'!A1"/><Relationship Id="rId11" Type="http://schemas.openxmlformats.org/officeDocument/2006/relationships/hyperlink" Target="#'MONTHLY DUES 2031'!A1"/><Relationship Id="rId5" Type="http://schemas.openxmlformats.org/officeDocument/2006/relationships/hyperlink" Target="#'MONTHLY DUES 2025'!A1"/><Relationship Id="rId10" Type="http://schemas.openxmlformats.org/officeDocument/2006/relationships/hyperlink" Target="#'MONTHLY DUES 2030'!A1"/><Relationship Id="rId4" Type="http://schemas.openxmlformats.org/officeDocument/2006/relationships/hyperlink" Target="#'MONTHLY DUES 2024'!A1"/><Relationship Id="rId9" Type="http://schemas.openxmlformats.org/officeDocument/2006/relationships/hyperlink" Target="#'MONTHLY DUES 2029'!A1"/></Relationships>
</file>

<file path=xl/diagrams/_rels/data3.xml.rels><?xml version="1.0" encoding="UTF-8" standalone="yes"?>
<Relationships xmlns="http://schemas.openxmlformats.org/package/2006/relationships"><Relationship Id="rId3" Type="http://schemas.openxmlformats.org/officeDocument/2006/relationships/hyperlink" Target="#'LEVY DISBURSMENT'!A1"/><Relationship Id="rId2" Type="http://schemas.openxmlformats.org/officeDocument/2006/relationships/hyperlink" Target="#' SPECIAL LEVY FEES'!A1"/><Relationship Id="rId1" Type="http://schemas.openxmlformats.org/officeDocument/2006/relationships/hyperlink" Target="#'SPECIAL LEVY'!A1"/><Relationship Id="rId5" Type="http://schemas.openxmlformats.org/officeDocument/2006/relationships/hyperlink" Target="#'LEVY TRAIL BALANCE'!A1"/><Relationship Id="rId4" Type="http://schemas.openxmlformats.org/officeDocument/2006/relationships/hyperlink" Target="#'LEVY ACCOUNT'!A1"/></Relationships>
</file>

<file path=xl/diagrams/_rels/data4.xml.rels><?xml version="1.0" encoding="UTF-8" standalone="yes"?>
<Relationships xmlns="http://schemas.openxmlformats.org/package/2006/relationships"><Relationship Id="rId8" Type="http://schemas.openxmlformats.org/officeDocument/2006/relationships/hyperlink" Target="#'CHRCK YOUR DUES BALANCE'!A1"/><Relationship Id="rId3" Type="http://schemas.openxmlformats.org/officeDocument/2006/relationships/hyperlink" Target="#'MTN MOMO ACCOUNT'!A1"/><Relationship Id="rId7" Type="http://schemas.openxmlformats.org/officeDocument/2006/relationships/hyperlink" Target="#'CHRCK YOUR LEVY BALANCE'!A1"/><Relationship Id="rId2" Type="http://schemas.openxmlformats.org/officeDocument/2006/relationships/hyperlink" Target="#'PETTY CASH ACCOUNT'!A1"/><Relationship Id="rId1" Type="http://schemas.openxmlformats.org/officeDocument/2006/relationships/hyperlink" Target="#'PAYMENT VOUCHERS'!A1"/><Relationship Id="rId6" Type="http://schemas.openxmlformats.org/officeDocument/2006/relationships/hyperlink" Target="#'BANK ACCOUNT TEMA'!A1"/><Relationship Id="rId5" Type="http://schemas.openxmlformats.org/officeDocument/2006/relationships/hyperlink" Target="#'TRAIL BALANCE'!A1"/><Relationship Id="rId4" Type="http://schemas.openxmlformats.org/officeDocument/2006/relationships/hyperlink" Target="#'FIDELITY BANK'!A1"/><Relationship Id="rId9" Type="http://schemas.openxmlformats.org/officeDocument/2006/relationships/hyperlink" Target="#'MEMBERS SHARES DEVIDENT'!A1"/></Relationships>
</file>

<file path=xl/diagrams/_rels/data5.xml.rels><?xml version="1.0" encoding="UTF-8" standalone="yes"?>
<Relationships xmlns="http://schemas.openxmlformats.org/package/2006/relationships"><Relationship Id="rId8" Type="http://schemas.openxmlformats.org/officeDocument/2006/relationships/hyperlink" Target="#'SHARES HOLDINGS'!A1"/><Relationship Id="rId3" Type="http://schemas.openxmlformats.org/officeDocument/2006/relationships/hyperlink" Target="#'TREASURER BILL NO 3'!A1"/><Relationship Id="rId7" Type="http://schemas.openxmlformats.org/officeDocument/2006/relationships/hyperlink" Target="#'TREASURE BILL FOR MEMBERS'!A1"/><Relationship Id="rId2" Type="http://schemas.openxmlformats.org/officeDocument/2006/relationships/hyperlink" Target="#'TREASURER BILL NO 2'!A1"/><Relationship Id="rId1" Type="http://schemas.openxmlformats.org/officeDocument/2006/relationships/hyperlink" Target="#'TREASURER BILL NO 1'!A1"/><Relationship Id="rId6" Type="http://schemas.openxmlformats.org/officeDocument/2006/relationships/hyperlink" Target="#'CASH FLOW'!A1"/><Relationship Id="rId5" Type="http://schemas.openxmlformats.org/officeDocument/2006/relationships/hyperlink" Target="#'CHECK YOUR SHARES HOLDING'!A1"/><Relationship Id="rId10" Type="http://schemas.openxmlformats.org/officeDocument/2006/relationships/hyperlink" Target="#'B O G SHARES DEVIDENT '!A1"/><Relationship Id="rId4" Type="http://schemas.openxmlformats.org/officeDocument/2006/relationships/hyperlink" Target="#'TREASURER BILL NO 4'!A1"/><Relationship Id="rId9" Type="http://schemas.openxmlformats.org/officeDocument/2006/relationships/hyperlink" Target="#'MEMBERS SHARES HOLDING'!A1"/></Relationships>
</file>

<file path=xl/diagrams/_rels/data6.xml.rels><?xml version="1.0" encoding="UTF-8" standalone="yes"?>
<Relationships xmlns="http://schemas.openxmlformats.org/package/2006/relationships"><Relationship Id="rId2" Type="http://schemas.openxmlformats.org/officeDocument/2006/relationships/hyperlink" Target="#'VEHICLE SHARES HOLDING'!A1"/><Relationship Id="rId1" Type="http://schemas.openxmlformats.org/officeDocument/2006/relationships/hyperlink" Target="#'PETTY CASH VEHICLE'!A1"/></Relationships>
</file>

<file path=xl/diagrams/_rels/data7.xml.rels><?xml version="1.0" encoding="UTF-8" standalone="yes"?>
<Relationships xmlns="http://schemas.openxmlformats.org/package/2006/relationships"><Relationship Id="rId3" Type="http://schemas.openxmlformats.org/officeDocument/2006/relationships/hyperlink" Target="#'PERSONAL RECORD'!A1"/><Relationship Id="rId2" Type="http://schemas.openxmlformats.org/officeDocument/2006/relationships/hyperlink" Target="#'MEMBERS LIST'!A1"/><Relationship Id="rId1" Type="http://schemas.openxmlformats.org/officeDocument/2006/relationships/hyperlink" Target="#'PICTURES FOR MEMBERS'!A1"/><Relationship Id="rId4" Type="http://schemas.openxmlformats.org/officeDocument/2006/relationships/hyperlink" Target="#'REGISTRATION FORMS'!A1"/></Relationships>
</file>

<file path=xl/diagrams/_rels/data8.xml.rels><?xml version="1.0" encoding="UTF-8" standalone="yes"?>
<Relationships xmlns="http://schemas.openxmlformats.org/package/2006/relationships"><Relationship Id="rId3" Type="http://schemas.openxmlformats.org/officeDocument/2006/relationships/hyperlink" Target="#ELDERS!A1"/><Relationship Id="rId2" Type="http://schemas.openxmlformats.org/officeDocument/2006/relationships/hyperlink" Target="#'BRANCHES PASTORS'!A1"/><Relationship Id="rId1" Type="http://schemas.openxmlformats.org/officeDocument/2006/relationships/hyperlink" Target="#'MEMBERS LIST UPPER CACE'!A1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#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#1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#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1_2#3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5.xml><?xml version="1.0" encoding="utf-8"?>
<dgm:colorsDef xmlns:dgm="http://schemas.openxmlformats.org/drawingml/2006/diagram" xmlns:a="http://schemas.openxmlformats.org/drawingml/2006/main" uniqueId="urn:microsoft.com/office/officeart/2005/8/colors/accent1_2#4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6.xml><?xml version="1.0" encoding="utf-8"?>
<dgm:colorsDef xmlns:dgm="http://schemas.openxmlformats.org/drawingml/2006/diagram" xmlns:a="http://schemas.openxmlformats.org/drawingml/2006/main" uniqueId="urn:microsoft.com/office/officeart/2005/8/colors/colorful2#1">
  <dgm:title val=""/>
  <dgm:desc val=""/>
  <dgm:catLst>
    <dgm:cat type="colorful" pri="10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2"/>
      <a:schemeClr val="accent3"/>
    </dgm:fillClrLst>
    <dgm:linClrLst>
      <a:schemeClr val="accent2"/>
      <a:schemeClr val="accent3"/>
    </dgm:linClrLst>
    <dgm:effectClrLst/>
    <dgm:txLinClrLst/>
    <dgm:txFillClrLst/>
    <dgm:txEffectClrLst/>
  </dgm:styleLbl>
  <dgm:styleLbl name="lnNode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2">
        <a:alpha val="50000"/>
      </a:schemeClr>
      <a:schemeClr val="accent3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2">
        <a:tint val="50000"/>
      </a:schemeClr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2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2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2"/>
      <a:schemeClr val="accent3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>
        <a:tint val="5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7.xml><?xml version="1.0" encoding="utf-8"?>
<dgm:colorsDef xmlns:dgm="http://schemas.openxmlformats.org/drawingml/2006/diagram" xmlns:a="http://schemas.openxmlformats.org/drawingml/2006/main" uniqueId="urn:microsoft.com/office/officeart/2005/8/colors/accent1_2#5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8.xml><?xml version="1.0" encoding="utf-8"?>
<dgm:colorsDef xmlns:dgm="http://schemas.openxmlformats.org/drawingml/2006/diagram" xmlns:a="http://schemas.openxmlformats.org/drawingml/2006/main" uniqueId="urn:microsoft.com/office/officeart/2005/8/colors/accent1_2#6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902F349-FB6C-4C0D-BF35-A6D9F5AEEB50}" type="doc">
      <dgm:prSet loTypeId="urn:microsoft.com/office/officeart/2005/8/layout/hList6" loCatId="list" qsTypeId="urn:microsoft.com/office/officeart/2005/8/quickstyle/3d3#1" qsCatId="3D" csTypeId="urn:microsoft.com/office/officeart/2005/8/colors/colorful1#1" csCatId="colorful" phldr="1"/>
      <dgm:spPr/>
      <dgm:t>
        <a:bodyPr/>
        <a:lstStyle/>
        <a:p>
          <a:endParaRPr lang="en-GB"/>
        </a:p>
      </dgm:t>
    </dgm:pt>
    <dgm:pt modelId="{822EC408-0975-4BF2-9530-BC268A890EF8}">
      <dgm:prSet phldrT="[Text]" custT="1"/>
      <dgm:spPr>
        <a:solidFill>
          <a:srgbClr val="00B050"/>
        </a:solidFill>
      </dgm:spPr>
      <dgm:t>
        <a:bodyPr/>
        <a:lstStyle/>
        <a:p>
          <a:r>
            <a:rPr lang="en-GB" sz="20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ACCOUNTS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 tooltip="ACCOUNTS"/>
          </dgm14:cNvPr>
        </a:ext>
      </dgm:extLst>
    </dgm:pt>
    <dgm:pt modelId="{828A90C5-18C5-411A-85CA-30E8473D515E}" type="parTrans" cxnId="{D4608190-F62C-4894-98E9-F1F5FDEAFFF2}">
      <dgm:prSet/>
      <dgm:spPr/>
      <dgm:t>
        <a:bodyPr/>
        <a:lstStyle/>
        <a:p>
          <a:endParaRPr lang="en-GB" sz="20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2806D46A-B37D-4D6C-ABC6-77BE136040D6}" type="sibTrans" cxnId="{D4608190-F62C-4894-98E9-F1F5FDEAFFF2}">
      <dgm:prSet/>
      <dgm:spPr/>
      <dgm:t>
        <a:bodyPr/>
        <a:lstStyle/>
        <a:p>
          <a:endParaRPr lang="en-GB" sz="20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B1304ADC-4027-4F07-81E5-8CF811414101}">
      <dgm:prSet phldrT="[Text]" custT="1"/>
      <dgm:spPr/>
      <dgm:t>
        <a:bodyPr/>
        <a:lstStyle/>
        <a:p>
          <a:r>
            <a:rPr lang="en-GB" sz="20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RECORDS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 tooltip="RECORD"/>
          </dgm14:cNvPr>
        </a:ext>
      </dgm:extLst>
    </dgm:pt>
    <dgm:pt modelId="{4FE30631-5EB6-45A0-ABB1-96A235E78AB0}" type="parTrans" cxnId="{09409CC9-81BC-4644-900C-E425162D5393}">
      <dgm:prSet/>
      <dgm:spPr/>
      <dgm:t>
        <a:bodyPr/>
        <a:lstStyle/>
        <a:p>
          <a:endParaRPr lang="en-GB" sz="2000">
            <a:solidFill>
              <a:schemeClr val="bg1"/>
            </a:solidFill>
          </a:endParaRPr>
        </a:p>
      </dgm:t>
    </dgm:pt>
    <dgm:pt modelId="{C7552031-0995-4563-94F0-912E64DE0539}" type="sibTrans" cxnId="{09409CC9-81BC-4644-900C-E425162D5393}">
      <dgm:prSet/>
      <dgm:spPr/>
      <dgm:t>
        <a:bodyPr/>
        <a:lstStyle/>
        <a:p>
          <a:endParaRPr lang="en-GB" sz="2000">
            <a:solidFill>
              <a:schemeClr val="bg1"/>
            </a:solidFill>
          </a:endParaRPr>
        </a:p>
      </dgm:t>
    </dgm:pt>
    <dgm:pt modelId="{4614B2D6-0ACF-4142-85B9-95624E352F9B}">
      <dgm:prSet phldrT="[Text]" custT="1"/>
      <dgm:spPr>
        <a:solidFill>
          <a:srgbClr val="7030A0"/>
        </a:solidFill>
      </dgm:spPr>
      <dgm:t>
        <a:bodyPr/>
        <a:lstStyle/>
        <a:p>
          <a:r>
            <a:rPr lang="en-GB" sz="20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PERSONAL PROFILE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 tooltip="PERSONAL PROFILE"/>
          </dgm14:cNvPr>
        </a:ext>
      </dgm:extLst>
    </dgm:pt>
    <dgm:pt modelId="{F90D76EC-D417-48B2-A3FF-BD85CC4AE292}" type="parTrans" cxnId="{E583F60D-4C05-4635-9A2F-0D2578B0785D}">
      <dgm:prSet/>
      <dgm:spPr/>
      <dgm:t>
        <a:bodyPr/>
        <a:lstStyle/>
        <a:p>
          <a:endParaRPr lang="en-GB" sz="2000">
            <a:solidFill>
              <a:schemeClr val="bg1"/>
            </a:solidFill>
          </a:endParaRPr>
        </a:p>
      </dgm:t>
    </dgm:pt>
    <dgm:pt modelId="{66330575-99C5-4027-8B49-871AFE17B402}" type="sibTrans" cxnId="{E583F60D-4C05-4635-9A2F-0D2578B0785D}">
      <dgm:prSet/>
      <dgm:spPr/>
      <dgm:t>
        <a:bodyPr/>
        <a:lstStyle/>
        <a:p>
          <a:endParaRPr lang="en-GB" sz="2000">
            <a:solidFill>
              <a:schemeClr val="bg1"/>
            </a:solidFill>
          </a:endParaRPr>
        </a:p>
      </dgm:t>
    </dgm:pt>
    <dgm:pt modelId="{8C6CE772-E49A-4E14-9C82-0539832E8859}">
      <dgm:prSet phldrT="[Text]" custT="1"/>
      <dgm:spPr>
        <a:solidFill>
          <a:srgbClr val="00B0F0"/>
        </a:solidFill>
      </dgm:spPr>
      <dgm:t>
        <a:bodyPr/>
        <a:lstStyle/>
        <a:p>
          <a:r>
            <a:rPr lang="en-GB" sz="20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LEVY CONTRIBUTIONS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 tooltip="LEVY CONTRIBUTIONS"/>
          </dgm14:cNvPr>
        </a:ext>
      </dgm:extLst>
    </dgm:pt>
    <dgm:pt modelId="{8824C1C7-06F7-499F-8069-E665EA262417}" type="parTrans" cxnId="{C22B1C37-1D8A-4D72-82EA-90959C0665D1}">
      <dgm:prSet/>
      <dgm:spPr/>
      <dgm:t>
        <a:bodyPr/>
        <a:lstStyle/>
        <a:p>
          <a:endParaRPr lang="en-US"/>
        </a:p>
      </dgm:t>
    </dgm:pt>
    <dgm:pt modelId="{FB0A2655-D3A9-4C40-95DA-D799D6864306}" type="sibTrans" cxnId="{C22B1C37-1D8A-4D72-82EA-90959C0665D1}">
      <dgm:prSet/>
      <dgm:spPr/>
      <dgm:t>
        <a:bodyPr/>
        <a:lstStyle/>
        <a:p>
          <a:endParaRPr lang="en-US"/>
        </a:p>
      </dgm:t>
    </dgm:pt>
    <dgm:pt modelId="{782C3498-A218-44E4-94E0-3E55107B12DF}">
      <dgm:prSet phldrT="[Text]" custT="1"/>
      <dgm:spPr>
        <a:solidFill>
          <a:srgbClr val="C00000"/>
        </a:solidFill>
      </dgm:spPr>
      <dgm:t>
        <a:bodyPr/>
        <a:lstStyle/>
        <a:p>
          <a:r>
            <a:rPr lang="en-GB" sz="20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DUES CONTRIBUTIONS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 tooltip="DUES CONTRIBUTIONS"/>
          </dgm14:cNvPr>
        </a:ext>
      </dgm:extLst>
    </dgm:pt>
    <dgm:pt modelId="{41520D76-525F-4663-9D57-DE2015E5D365}" type="parTrans" cxnId="{253B27ED-8F1A-434E-BEEB-1734ADEF7ACE}">
      <dgm:prSet/>
      <dgm:spPr/>
      <dgm:t>
        <a:bodyPr/>
        <a:lstStyle/>
        <a:p>
          <a:endParaRPr lang="en-US"/>
        </a:p>
      </dgm:t>
    </dgm:pt>
    <dgm:pt modelId="{463C10D7-24DA-459A-B6A4-8338A8EC3147}" type="sibTrans" cxnId="{253B27ED-8F1A-434E-BEEB-1734ADEF7ACE}">
      <dgm:prSet/>
      <dgm:spPr/>
      <dgm:t>
        <a:bodyPr/>
        <a:lstStyle/>
        <a:p>
          <a:endParaRPr lang="en-US"/>
        </a:p>
      </dgm:t>
    </dgm:pt>
    <dgm:pt modelId="{B7230C2B-FF0B-44AA-A8A6-33E3C9B86179}">
      <dgm:prSet phldrT="[Text]" custT="1"/>
      <dgm:spPr>
        <a:solidFill>
          <a:schemeClr val="tx1"/>
        </a:solidFill>
      </dgm:spPr>
      <dgm:t>
        <a:bodyPr/>
        <a:lstStyle/>
        <a:p>
          <a:r>
            <a:rPr lang="en-GB" sz="20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TREASURER BILL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6" tooltip="TREASURER BILL"/>
          </dgm14:cNvPr>
        </a:ext>
      </dgm:extLst>
    </dgm:pt>
    <dgm:pt modelId="{E3D2DF97-FBFF-4FCA-9CDA-A8520EEBFA78}" type="parTrans" cxnId="{EC414E95-8520-4F9A-8215-667AAA4C0DD8}">
      <dgm:prSet/>
      <dgm:spPr/>
      <dgm:t>
        <a:bodyPr/>
        <a:lstStyle/>
        <a:p>
          <a:endParaRPr lang="en-US"/>
        </a:p>
      </dgm:t>
    </dgm:pt>
    <dgm:pt modelId="{55E41ED2-6108-4121-A468-C0151BE8F5BD}" type="sibTrans" cxnId="{EC414E95-8520-4F9A-8215-667AAA4C0DD8}">
      <dgm:prSet/>
      <dgm:spPr/>
      <dgm:t>
        <a:bodyPr/>
        <a:lstStyle/>
        <a:p>
          <a:endParaRPr lang="en-US"/>
        </a:p>
      </dgm:t>
    </dgm:pt>
    <dgm:pt modelId="{4F040021-F546-4B87-BB97-E5E9E1127E69}">
      <dgm:prSet phldrT="[Text]" custT="1"/>
      <dgm:spPr>
        <a:solidFill>
          <a:schemeClr val="accent4">
            <a:lumMod val="50000"/>
          </a:schemeClr>
        </a:solidFill>
      </dgm:spPr>
      <dgm:t>
        <a:bodyPr/>
        <a:lstStyle/>
        <a:p>
          <a:r>
            <a:rPr lang="en-GB" sz="20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TRADING ACCOUNTS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7" tooltip="TRADING"/>
          </dgm14:cNvPr>
        </a:ext>
      </dgm:extLst>
    </dgm:pt>
    <dgm:pt modelId="{3E274DFE-9B95-41C0-B3A8-C085BB892AD7}" type="parTrans" cxnId="{D1708812-046C-4C0D-B29B-1C1F2F1E7FE7}">
      <dgm:prSet/>
      <dgm:spPr/>
      <dgm:t>
        <a:bodyPr/>
        <a:lstStyle/>
        <a:p>
          <a:endParaRPr lang="en-US"/>
        </a:p>
      </dgm:t>
    </dgm:pt>
    <dgm:pt modelId="{6268E1FA-50D4-4A7C-B7BB-25AE7AE8A118}" type="sibTrans" cxnId="{D1708812-046C-4C0D-B29B-1C1F2F1E7FE7}">
      <dgm:prSet/>
      <dgm:spPr/>
      <dgm:t>
        <a:bodyPr/>
        <a:lstStyle/>
        <a:p>
          <a:endParaRPr lang="en-US"/>
        </a:p>
      </dgm:t>
    </dgm:pt>
    <dgm:pt modelId="{8F2D91F6-0890-45B0-B324-D32143939E44}" type="pres">
      <dgm:prSet presAssocID="{A902F349-FB6C-4C0D-BF35-A6D9F5AEEB50}" presName="Name0" presStyleCnt="0">
        <dgm:presLayoutVars>
          <dgm:dir/>
          <dgm:resizeHandles val="exact"/>
        </dgm:presLayoutVars>
      </dgm:prSet>
      <dgm:spPr/>
    </dgm:pt>
    <dgm:pt modelId="{362D5C46-FFB2-4073-81AB-8AA5FD50C936}" type="pres">
      <dgm:prSet presAssocID="{782C3498-A218-44E4-94E0-3E55107B12DF}" presName="node" presStyleLbl="node1" presStyleIdx="0" presStyleCnt="7" custScaleX="133296" custLinFactNeighborX="7536" custLinFactNeighborY="-266">
        <dgm:presLayoutVars>
          <dgm:bulletEnabled val="1"/>
        </dgm:presLayoutVars>
      </dgm:prSet>
      <dgm:spPr/>
    </dgm:pt>
    <dgm:pt modelId="{451CC19A-5E2C-4260-802B-52BF1BE88CA3}" type="pres">
      <dgm:prSet presAssocID="{463C10D7-24DA-459A-B6A4-8338A8EC3147}" presName="sibTrans" presStyleCnt="0"/>
      <dgm:spPr/>
    </dgm:pt>
    <dgm:pt modelId="{56DA5730-0E9D-4F06-AA87-04E3A15D1C2D}" type="pres">
      <dgm:prSet presAssocID="{8C6CE772-E49A-4E14-9C82-0539832E8859}" presName="node" presStyleLbl="node1" presStyleIdx="1" presStyleCnt="7" custScaleX="145701" custLinFactNeighborX="-6627" custLinFactNeighborY="-1330">
        <dgm:presLayoutVars>
          <dgm:bulletEnabled val="1"/>
        </dgm:presLayoutVars>
      </dgm:prSet>
      <dgm:spPr/>
    </dgm:pt>
    <dgm:pt modelId="{92AA80C9-DD2A-4F92-B0A5-E6F5E794048D}" type="pres">
      <dgm:prSet presAssocID="{FB0A2655-D3A9-4C40-95DA-D799D6864306}" presName="sibTrans" presStyleCnt="0"/>
      <dgm:spPr/>
    </dgm:pt>
    <dgm:pt modelId="{86DA4029-F3D7-4E99-B6FB-688452AA48AC}" type="pres">
      <dgm:prSet presAssocID="{822EC408-0975-4BF2-9530-BC268A890EF8}" presName="node" presStyleLbl="node1" presStyleIdx="2" presStyleCnt="7" custScaleX="111636" custLinFactNeighborX="17136" custLinFactNeighborY="-266">
        <dgm:presLayoutVars>
          <dgm:bulletEnabled val="1"/>
        </dgm:presLayoutVars>
      </dgm:prSet>
      <dgm:spPr/>
    </dgm:pt>
    <dgm:pt modelId="{F1696B76-8733-4695-A3DA-A396A9F22693}" type="pres">
      <dgm:prSet presAssocID="{2806D46A-B37D-4D6C-ABC6-77BE136040D6}" presName="sibTrans" presStyleCnt="0"/>
      <dgm:spPr/>
    </dgm:pt>
    <dgm:pt modelId="{4501A571-B9C8-4A0A-9A03-F4E51583D4D1}" type="pres">
      <dgm:prSet presAssocID="{B7230C2B-FF0B-44AA-A8A6-33E3C9B86179}" presName="node" presStyleLbl="node1" presStyleIdx="3" presStyleCnt="7">
        <dgm:presLayoutVars>
          <dgm:bulletEnabled val="1"/>
        </dgm:presLayoutVars>
      </dgm:prSet>
      <dgm:spPr/>
    </dgm:pt>
    <dgm:pt modelId="{2B71746C-4B1B-47EF-96BA-90144CB300C5}" type="pres">
      <dgm:prSet presAssocID="{55E41ED2-6108-4121-A468-C0151BE8F5BD}" presName="sibTrans" presStyleCnt="0"/>
      <dgm:spPr/>
    </dgm:pt>
    <dgm:pt modelId="{FFACA09F-BF5F-40A2-B439-BD11B1D0FA9B}" type="pres">
      <dgm:prSet presAssocID="{4F040021-F546-4B87-BB97-E5E9E1127E69}" presName="node" presStyleLbl="node1" presStyleIdx="4" presStyleCnt="7">
        <dgm:presLayoutVars>
          <dgm:bulletEnabled val="1"/>
        </dgm:presLayoutVars>
      </dgm:prSet>
      <dgm:spPr/>
    </dgm:pt>
    <dgm:pt modelId="{86D5570F-5009-4802-83D6-BAD67AB2FAC9}" type="pres">
      <dgm:prSet presAssocID="{6268E1FA-50D4-4A7C-B7BB-25AE7AE8A118}" presName="sibTrans" presStyleCnt="0"/>
      <dgm:spPr/>
    </dgm:pt>
    <dgm:pt modelId="{8ACB7890-32DC-4CE4-AB8A-C9D308E87BED}" type="pres">
      <dgm:prSet presAssocID="{4614B2D6-0ACF-4142-85B9-95624E352F9B}" presName="node" presStyleLbl="node1" presStyleIdx="5" presStyleCnt="7" custScaleX="102835" custLinFactNeighborX="-8943">
        <dgm:presLayoutVars>
          <dgm:bulletEnabled val="1"/>
        </dgm:presLayoutVars>
      </dgm:prSet>
      <dgm:spPr/>
    </dgm:pt>
    <dgm:pt modelId="{C774CF32-95F8-4169-AF6C-A56D1B852E48}" type="pres">
      <dgm:prSet presAssocID="{66330575-99C5-4027-8B49-871AFE17B402}" presName="sibTrans" presStyleCnt="0"/>
      <dgm:spPr/>
    </dgm:pt>
    <dgm:pt modelId="{0C1128AD-7884-4369-A507-ED0C5448D4D7}" type="pres">
      <dgm:prSet presAssocID="{B1304ADC-4027-4F07-81E5-8CF811414101}" presName="node" presStyleLbl="node1" presStyleIdx="6" presStyleCnt="7" custScaleX="118121" custLinFactX="21955" custLinFactNeighborX="100000" custLinFactNeighborY="1862">
        <dgm:presLayoutVars>
          <dgm:bulletEnabled val="1"/>
        </dgm:presLayoutVars>
      </dgm:prSet>
      <dgm:spPr/>
    </dgm:pt>
  </dgm:ptLst>
  <dgm:cxnLst>
    <dgm:cxn modelId="{E583F60D-4C05-4635-9A2F-0D2578B0785D}" srcId="{A902F349-FB6C-4C0D-BF35-A6D9F5AEEB50}" destId="{4614B2D6-0ACF-4142-85B9-95624E352F9B}" srcOrd="5" destOrd="0" parTransId="{F90D76EC-D417-48B2-A3FF-BD85CC4AE292}" sibTransId="{66330575-99C5-4027-8B49-871AFE17B402}"/>
    <dgm:cxn modelId="{D1708812-046C-4C0D-B29B-1C1F2F1E7FE7}" srcId="{A902F349-FB6C-4C0D-BF35-A6D9F5AEEB50}" destId="{4F040021-F546-4B87-BB97-E5E9E1127E69}" srcOrd="4" destOrd="0" parTransId="{3E274DFE-9B95-41C0-B3A8-C085BB892AD7}" sibTransId="{6268E1FA-50D4-4A7C-B7BB-25AE7AE8A118}"/>
    <dgm:cxn modelId="{2F485218-6220-4DB3-AEEF-2CE249125FEB}" type="presOf" srcId="{822EC408-0975-4BF2-9530-BC268A890EF8}" destId="{86DA4029-F3D7-4E99-B6FB-688452AA48AC}" srcOrd="0" destOrd="0" presId="urn:microsoft.com/office/officeart/2005/8/layout/hList6"/>
    <dgm:cxn modelId="{C22B1C37-1D8A-4D72-82EA-90959C0665D1}" srcId="{A902F349-FB6C-4C0D-BF35-A6D9F5AEEB50}" destId="{8C6CE772-E49A-4E14-9C82-0539832E8859}" srcOrd="1" destOrd="0" parTransId="{8824C1C7-06F7-499F-8069-E665EA262417}" sibTransId="{FB0A2655-D3A9-4C40-95DA-D799D6864306}"/>
    <dgm:cxn modelId="{64B81B8C-6D09-491E-901E-1B1C25512C2F}" type="presOf" srcId="{782C3498-A218-44E4-94E0-3E55107B12DF}" destId="{362D5C46-FFB2-4073-81AB-8AA5FD50C936}" srcOrd="0" destOrd="0" presId="urn:microsoft.com/office/officeart/2005/8/layout/hList6"/>
    <dgm:cxn modelId="{D4608190-F62C-4894-98E9-F1F5FDEAFFF2}" srcId="{A902F349-FB6C-4C0D-BF35-A6D9F5AEEB50}" destId="{822EC408-0975-4BF2-9530-BC268A890EF8}" srcOrd="2" destOrd="0" parTransId="{828A90C5-18C5-411A-85CA-30E8473D515E}" sibTransId="{2806D46A-B37D-4D6C-ABC6-77BE136040D6}"/>
    <dgm:cxn modelId="{EC414E95-8520-4F9A-8215-667AAA4C0DD8}" srcId="{A902F349-FB6C-4C0D-BF35-A6D9F5AEEB50}" destId="{B7230C2B-FF0B-44AA-A8A6-33E3C9B86179}" srcOrd="3" destOrd="0" parTransId="{E3D2DF97-FBFF-4FCA-9CDA-A8520EEBFA78}" sibTransId="{55E41ED2-6108-4121-A468-C0151BE8F5BD}"/>
    <dgm:cxn modelId="{0D24209B-7470-4AE2-A87C-DC992922CBC7}" type="presOf" srcId="{4F040021-F546-4B87-BB97-E5E9E1127E69}" destId="{FFACA09F-BF5F-40A2-B439-BD11B1D0FA9B}" srcOrd="0" destOrd="0" presId="urn:microsoft.com/office/officeart/2005/8/layout/hList6"/>
    <dgm:cxn modelId="{CFFDBBB2-4B15-4BFB-9B8D-D2D758125625}" type="presOf" srcId="{A902F349-FB6C-4C0D-BF35-A6D9F5AEEB50}" destId="{8F2D91F6-0890-45B0-B324-D32143939E44}" srcOrd="0" destOrd="0" presId="urn:microsoft.com/office/officeart/2005/8/layout/hList6"/>
    <dgm:cxn modelId="{F29955BF-4606-4125-AD19-6B2DBA35D7EA}" type="presOf" srcId="{B1304ADC-4027-4F07-81E5-8CF811414101}" destId="{0C1128AD-7884-4369-A507-ED0C5448D4D7}" srcOrd="0" destOrd="0" presId="urn:microsoft.com/office/officeart/2005/8/layout/hList6"/>
    <dgm:cxn modelId="{27D225C4-CBF6-4CB0-975B-13D82487C9F7}" type="presOf" srcId="{8C6CE772-E49A-4E14-9C82-0539832E8859}" destId="{56DA5730-0E9D-4F06-AA87-04E3A15D1C2D}" srcOrd="0" destOrd="0" presId="urn:microsoft.com/office/officeart/2005/8/layout/hList6"/>
    <dgm:cxn modelId="{09409CC9-81BC-4644-900C-E425162D5393}" srcId="{A902F349-FB6C-4C0D-BF35-A6D9F5AEEB50}" destId="{B1304ADC-4027-4F07-81E5-8CF811414101}" srcOrd="6" destOrd="0" parTransId="{4FE30631-5EB6-45A0-ABB1-96A235E78AB0}" sibTransId="{C7552031-0995-4563-94F0-912E64DE0539}"/>
    <dgm:cxn modelId="{F15DB4E0-D268-4A17-B5B5-034F7808AAEF}" type="presOf" srcId="{4614B2D6-0ACF-4142-85B9-95624E352F9B}" destId="{8ACB7890-32DC-4CE4-AB8A-C9D308E87BED}" srcOrd="0" destOrd="0" presId="urn:microsoft.com/office/officeart/2005/8/layout/hList6"/>
    <dgm:cxn modelId="{253B27ED-8F1A-434E-BEEB-1734ADEF7ACE}" srcId="{A902F349-FB6C-4C0D-BF35-A6D9F5AEEB50}" destId="{782C3498-A218-44E4-94E0-3E55107B12DF}" srcOrd="0" destOrd="0" parTransId="{41520D76-525F-4663-9D57-DE2015E5D365}" sibTransId="{463C10D7-24DA-459A-B6A4-8338A8EC3147}"/>
    <dgm:cxn modelId="{84CC36ED-E5A2-4E85-85CE-3813571AB4F0}" type="presOf" srcId="{B7230C2B-FF0B-44AA-A8A6-33E3C9B86179}" destId="{4501A571-B9C8-4A0A-9A03-F4E51583D4D1}" srcOrd="0" destOrd="0" presId="urn:microsoft.com/office/officeart/2005/8/layout/hList6"/>
    <dgm:cxn modelId="{4E52FAC7-9F5D-4EAC-8F50-0615E11B9FF3}" type="presParOf" srcId="{8F2D91F6-0890-45B0-B324-D32143939E44}" destId="{362D5C46-FFB2-4073-81AB-8AA5FD50C936}" srcOrd="0" destOrd="0" presId="urn:microsoft.com/office/officeart/2005/8/layout/hList6"/>
    <dgm:cxn modelId="{D1B7A479-BFCE-4F71-B801-468419F75B08}" type="presParOf" srcId="{8F2D91F6-0890-45B0-B324-D32143939E44}" destId="{451CC19A-5E2C-4260-802B-52BF1BE88CA3}" srcOrd="1" destOrd="0" presId="urn:microsoft.com/office/officeart/2005/8/layout/hList6"/>
    <dgm:cxn modelId="{BC3A5F65-1B55-43EA-92EC-88A0B29008C6}" type="presParOf" srcId="{8F2D91F6-0890-45B0-B324-D32143939E44}" destId="{56DA5730-0E9D-4F06-AA87-04E3A15D1C2D}" srcOrd="2" destOrd="0" presId="urn:microsoft.com/office/officeart/2005/8/layout/hList6"/>
    <dgm:cxn modelId="{61A3EADF-31A1-4B6C-93C2-A72C6D1D679E}" type="presParOf" srcId="{8F2D91F6-0890-45B0-B324-D32143939E44}" destId="{92AA80C9-DD2A-4F92-B0A5-E6F5E794048D}" srcOrd="3" destOrd="0" presId="urn:microsoft.com/office/officeart/2005/8/layout/hList6"/>
    <dgm:cxn modelId="{C67BE6C7-F9C5-4A8A-8E4D-EB32B868D783}" type="presParOf" srcId="{8F2D91F6-0890-45B0-B324-D32143939E44}" destId="{86DA4029-F3D7-4E99-B6FB-688452AA48AC}" srcOrd="4" destOrd="0" presId="urn:microsoft.com/office/officeart/2005/8/layout/hList6"/>
    <dgm:cxn modelId="{BBE7E882-EA60-4249-BD57-BEDF0AC421F1}" type="presParOf" srcId="{8F2D91F6-0890-45B0-B324-D32143939E44}" destId="{F1696B76-8733-4695-A3DA-A396A9F22693}" srcOrd="5" destOrd="0" presId="urn:microsoft.com/office/officeart/2005/8/layout/hList6"/>
    <dgm:cxn modelId="{A81BD3B7-CE54-41A9-ABED-18C84329454E}" type="presParOf" srcId="{8F2D91F6-0890-45B0-B324-D32143939E44}" destId="{4501A571-B9C8-4A0A-9A03-F4E51583D4D1}" srcOrd="6" destOrd="0" presId="urn:microsoft.com/office/officeart/2005/8/layout/hList6"/>
    <dgm:cxn modelId="{FCDC0F64-300A-4EB4-99F9-8AC948436109}" type="presParOf" srcId="{8F2D91F6-0890-45B0-B324-D32143939E44}" destId="{2B71746C-4B1B-47EF-96BA-90144CB300C5}" srcOrd="7" destOrd="0" presId="urn:microsoft.com/office/officeart/2005/8/layout/hList6"/>
    <dgm:cxn modelId="{BC8725AE-484E-4ACE-9A1A-737B5FD9B812}" type="presParOf" srcId="{8F2D91F6-0890-45B0-B324-D32143939E44}" destId="{FFACA09F-BF5F-40A2-B439-BD11B1D0FA9B}" srcOrd="8" destOrd="0" presId="urn:microsoft.com/office/officeart/2005/8/layout/hList6"/>
    <dgm:cxn modelId="{577AC3F5-D0CD-48BA-99BB-8634F17F1466}" type="presParOf" srcId="{8F2D91F6-0890-45B0-B324-D32143939E44}" destId="{86D5570F-5009-4802-83D6-BAD67AB2FAC9}" srcOrd="9" destOrd="0" presId="urn:microsoft.com/office/officeart/2005/8/layout/hList6"/>
    <dgm:cxn modelId="{B3B18A66-4B5D-4C4D-9BEC-5B32A165C761}" type="presParOf" srcId="{8F2D91F6-0890-45B0-B324-D32143939E44}" destId="{8ACB7890-32DC-4CE4-AB8A-C9D308E87BED}" srcOrd="10" destOrd="0" presId="urn:microsoft.com/office/officeart/2005/8/layout/hList6"/>
    <dgm:cxn modelId="{0C2B6313-6242-4FC7-9978-B6301727EECD}" type="presParOf" srcId="{8F2D91F6-0890-45B0-B324-D32143939E44}" destId="{C774CF32-95F8-4169-AF6C-A56D1B852E48}" srcOrd="11" destOrd="0" presId="urn:microsoft.com/office/officeart/2005/8/layout/hList6"/>
    <dgm:cxn modelId="{BCA91693-00BD-4F95-A179-4BB011D5FD24}" type="presParOf" srcId="{8F2D91F6-0890-45B0-B324-D32143939E44}" destId="{0C1128AD-7884-4369-A507-ED0C5448D4D7}" srcOrd="12" destOrd="0" presId="urn:microsoft.com/office/officeart/2005/8/layout/hList6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4549BC6C-00D2-4DA5-8F75-18F5E614752D}" type="doc">
      <dgm:prSet loTypeId="urn:microsoft.com/office/officeart/2005/8/layout/default" loCatId="list" qsTypeId="urn:microsoft.com/office/officeart/2005/8/quickstyle/3d3#2" qsCatId="3D" csTypeId="urn:microsoft.com/office/officeart/2005/8/colors/accent1_2#1" csCatId="accent1" phldr="1"/>
      <dgm:spPr/>
      <dgm:t>
        <a:bodyPr/>
        <a:lstStyle/>
        <a:p>
          <a:endParaRPr lang="en-US"/>
        </a:p>
      </dgm:t>
    </dgm:pt>
    <dgm:pt modelId="{693204E4-15D2-4B9B-AE11-A3C90FF6F62D}">
      <dgm:prSet phldrT="[Text]"/>
      <dgm:spPr/>
      <dgm:t>
        <a:bodyPr/>
        <a:lstStyle/>
        <a:p>
          <a:r>
            <a:rPr lang="en-US"/>
            <a:t>YEARLY DUES FEES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 tooltip="YEARLY DUES FEES"/>
          </dgm14:cNvPr>
        </a:ext>
      </dgm:extLst>
    </dgm:pt>
    <dgm:pt modelId="{44D3EDD5-2DDB-401E-A5AD-B1C52D86A555}" type="parTrans" cxnId="{2D3677D7-4E80-4BD2-9B99-3ADA225BE789}">
      <dgm:prSet/>
      <dgm:spPr/>
      <dgm:t>
        <a:bodyPr/>
        <a:lstStyle/>
        <a:p>
          <a:endParaRPr lang="en-US"/>
        </a:p>
      </dgm:t>
    </dgm:pt>
    <dgm:pt modelId="{A527317D-D16F-497B-82C9-7030915D5F5B}" type="sibTrans" cxnId="{2D3677D7-4E80-4BD2-9B99-3ADA225BE789}">
      <dgm:prSet/>
      <dgm:spPr/>
      <dgm:t>
        <a:bodyPr/>
        <a:lstStyle/>
        <a:p>
          <a:endParaRPr lang="en-US"/>
        </a:p>
      </dgm:t>
    </dgm:pt>
    <dgm:pt modelId="{15AFDF4A-2E42-4634-BC56-A03EDADBA407}">
      <dgm:prSet phldrT="[Text]"/>
      <dgm:spPr/>
      <dgm:t>
        <a:bodyPr/>
        <a:lstStyle/>
        <a:p>
          <a:r>
            <a:rPr lang="en-US"/>
            <a:t>YEARLY DUES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 tooltip="YEARLY DUES"/>
          </dgm14:cNvPr>
        </a:ext>
      </dgm:extLst>
    </dgm:pt>
    <dgm:pt modelId="{0904843A-6502-42A6-8AAD-B51622EAA79A}" type="parTrans" cxnId="{CBC24472-88D4-4E53-BC37-3DFE42C24033}">
      <dgm:prSet/>
      <dgm:spPr/>
      <dgm:t>
        <a:bodyPr/>
        <a:lstStyle/>
        <a:p>
          <a:endParaRPr lang="en-US"/>
        </a:p>
      </dgm:t>
    </dgm:pt>
    <dgm:pt modelId="{821F9F27-D8E8-4CD6-9F61-4E5F0A8AEC76}" type="sibTrans" cxnId="{CBC24472-88D4-4E53-BC37-3DFE42C24033}">
      <dgm:prSet/>
      <dgm:spPr/>
      <dgm:t>
        <a:bodyPr/>
        <a:lstStyle/>
        <a:p>
          <a:endParaRPr lang="en-US"/>
        </a:p>
      </dgm:t>
    </dgm:pt>
    <dgm:pt modelId="{2AF41817-01D8-46C4-B99F-2C2F180D9B94}">
      <dgm:prSet phldrT="[Text]"/>
      <dgm:spPr/>
      <dgm:t>
        <a:bodyPr/>
        <a:lstStyle/>
        <a:p>
          <a:r>
            <a:rPr lang="en-US"/>
            <a:t>MONTHLY DUES 2023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 tooltip="MONTHLY DUES 2023"/>
          </dgm14:cNvPr>
        </a:ext>
      </dgm:extLst>
    </dgm:pt>
    <dgm:pt modelId="{59581CC8-7BCB-4E26-A6A1-BC7E1A71DE8C}" type="parTrans" cxnId="{B05F9401-A56C-4407-9ADE-4FD2678E7085}">
      <dgm:prSet/>
      <dgm:spPr/>
      <dgm:t>
        <a:bodyPr/>
        <a:lstStyle/>
        <a:p>
          <a:endParaRPr lang="en-US"/>
        </a:p>
      </dgm:t>
    </dgm:pt>
    <dgm:pt modelId="{57A050D5-AC1C-456E-9705-F627290488EC}" type="sibTrans" cxnId="{B05F9401-A56C-4407-9ADE-4FD2678E7085}">
      <dgm:prSet/>
      <dgm:spPr/>
      <dgm:t>
        <a:bodyPr/>
        <a:lstStyle/>
        <a:p>
          <a:endParaRPr lang="en-US"/>
        </a:p>
      </dgm:t>
    </dgm:pt>
    <dgm:pt modelId="{1A0A481C-5A47-4794-A581-D40390175A80}">
      <dgm:prSet phldrT="[Text]"/>
      <dgm:spPr/>
      <dgm:t>
        <a:bodyPr/>
        <a:lstStyle/>
        <a:p>
          <a:r>
            <a:rPr lang="en-US"/>
            <a:t>MONTHLY DUES 2024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 tooltip="MONTHLY DUES 2024"/>
          </dgm14:cNvPr>
        </a:ext>
      </dgm:extLst>
    </dgm:pt>
    <dgm:pt modelId="{F87DEF64-9574-4958-853F-36F0AE54F7E4}" type="parTrans" cxnId="{D57FD160-67AB-4868-959F-401A7622C09B}">
      <dgm:prSet/>
      <dgm:spPr/>
      <dgm:t>
        <a:bodyPr/>
        <a:lstStyle/>
        <a:p>
          <a:endParaRPr lang="en-US"/>
        </a:p>
      </dgm:t>
    </dgm:pt>
    <dgm:pt modelId="{01F48947-9E12-445D-A75B-199650BFE76D}" type="sibTrans" cxnId="{D57FD160-67AB-4868-959F-401A7622C09B}">
      <dgm:prSet/>
      <dgm:spPr/>
      <dgm:t>
        <a:bodyPr/>
        <a:lstStyle/>
        <a:p>
          <a:endParaRPr lang="en-US"/>
        </a:p>
      </dgm:t>
    </dgm:pt>
    <dgm:pt modelId="{6CBEEA9F-6298-48FA-B9E4-E888A5B345DB}">
      <dgm:prSet phldrT="[Text]"/>
      <dgm:spPr/>
      <dgm:t>
        <a:bodyPr/>
        <a:lstStyle/>
        <a:p>
          <a:r>
            <a:rPr lang="en-US"/>
            <a:t>MONTHLY DUES 2025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 tooltip="MONTHLY DUES 2025"/>
          </dgm14:cNvPr>
        </a:ext>
      </dgm:extLst>
    </dgm:pt>
    <dgm:pt modelId="{CC5A64DE-F8A5-469D-A27C-17473966EB31}" type="parTrans" cxnId="{7C242006-BE3D-4794-9BF6-002FE588921D}">
      <dgm:prSet/>
      <dgm:spPr/>
      <dgm:t>
        <a:bodyPr/>
        <a:lstStyle/>
        <a:p>
          <a:endParaRPr lang="en-US"/>
        </a:p>
      </dgm:t>
    </dgm:pt>
    <dgm:pt modelId="{6EFF7B2F-B364-407E-9AC4-4FE320739A25}" type="sibTrans" cxnId="{7C242006-BE3D-4794-9BF6-002FE588921D}">
      <dgm:prSet/>
      <dgm:spPr/>
      <dgm:t>
        <a:bodyPr/>
        <a:lstStyle/>
        <a:p>
          <a:endParaRPr lang="en-US"/>
        </a:p>
      </dgm:t>
    </dgm:pt>
    <dgm:pt modelId="{528A608D-F91C-4A3D-86C8-6EFC91230265}">
      <dgm:prSet phldrT="[Text]"/>
      <dgm:spPr/>
      <dgm:t>
        <a:bodyPr/>
        <a:lstStyle/>
        <a:p>
          <a:r>
            <a:rPr lang="en-US"/>
            <a:t>MONTHLY DUES 2026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6" tooltip="MONTHLY DUES 2026"/>
          </dgm14:cNvPr>
        </a:ext>
      </dgm:extLst>
    </dgm:pt>
    <dgm:pt modelId="{73AD4727-B119-4BC6-BA3E-ECBD828AE27A}" type="parTrans" cxnId="{D37A81DA-64AA-4AE3-8C08-DDFCA8B23DFE}">
      <dgm:prSet/>
      <dgm:spPr/>
      <dgm:t>
        <a:bodyPr/>
        <a:lstStyle/>
        <a:p>
          <a:endParaRPr lang="en-US"/>
        </a:p>
      </dgm:t>
    </dgm:pt>
    <dgm:pt modelId="{32AA9E20-768F-48B0-AD4D-76AFB9390D71}" type="sibTrans" cxnId="{D37A81DA-64AA-4AE3-8C08-DDFCA8B23DFE}">
      <dgm:prSet/>
      <dgm:spPr/>
      <dgm:t>
        <a:bodyPr/>
        <a:lstStyle/>
        <a:p>
          <a:endParaRPr lang="en-US"/>
        </a:p>
      </dgm:t>
    </dgm:pt>
    <dgm:pt modelId="{867CAEE8-5CB8-4DD8-AFBD-6C1024B785E6}">
      <dgm:prSet phldrT="[Text]"/>
      <dgm:spPr/>
      <dgm:t>
        <a:bodyPr/>
        <a:lstStyle/>
        <a:p>
          <a:r>
            <a:rPr lang="en-US"/>
            <a:t>MONTHLY DUES 2027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7" tooltip="MONTHLY DUES 2027"/>
          </dgm14:cNvPr>
        </a:ext>
      </dgm:extLst>
    </dgm:pt>
    <dgm:pt modelId="{320893A6-3CCC-4A84-9801-4F31CB46C76B}" type="parTrans" cxnId="{75C15B45-97B1-4052-8131-D9951F9B7F39}">
      <dgm:prSet/>
      <dgm:spPr/>
      <dgm:t>
        <a:bodyPr/>
        <a:lstStyle/>
        <a:p>
          <a:endParaRPr lang="en-US"/>
        </a:p>
      </dgm:t>
    </dgm:pt>
    <dgm:pt modelId="{3301167B-CC3F-4330-A1CC-0E3C25A45EE5}" type="sibTrans" cxnId="{75C15B45-97B1-4052-8131-D9951F9B7F39}">
      <dgm:prSet/>
      <dgm:spPr/>
      <dgm:t>
        <a:bodyPr/>
        <a:lstStyle/>
        <a:p>
          <a:endParaRPr lang="en-US"/>
        </a:p>
      </dgm:t>
    </dgm:pt>
    <dgm:pt modelId="{49F15FF2-233B-4881-959A-E835F8A1FDC7}">
      <dgm:prSet phldrT="[Text]"/>
      <dgm:spPr/>
      <dgm:t>
        <a:bodyPr/>
        <a:lstStyle/>
        <a:p>
          <a:r>
            <a:rPr lang="en-US"/>
            <a:t>MONTHLY DUES 2028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8" tooltip="MONTHLY DUES 2028"/>
          </dgm14:cNvPr>
        </a:ext>
      </dgm:extLst>
    </dgm:pt>
    <dgm:pt modelId="{4663A951-9FD0-4EC5-ACAF-C33BF63764C9}" type="parTrans" cxnId="{DA4E3F24-F878-4318-97BA-20187F99B550}">
      <dgm:prSet/>
      <dgm:spPr/>
      <dgm:t>
        <a:bodyPr/>
        <a:lstStyle/>
        <a:p>
          <a:endParaRPr lang="en-US"/>
        </a:p>
      </dgm:t>
    </dgm:pt>
    <dgm:pt modelId="{7DA675A4-241A-4882-86EB-D71C8172AC95}" type="sibTrans" cxnId="{DA4E3F24-F878-4318-97BA-20187F99B550}">
      <dgm:prSet/>
      <dgm:spPr/>
      <dgm:t>
        <a:bodyPr/>
        <a:lstStyle/>
        <a:p>
          <a:endParaRPr lang="en-US"/>
        </a:p>
      </dgm:t>
    </dgm:pt>
    <dgm:pt modelId="{D364D7F8-AB0E-47FD-8DA9-B13765744558}">
      <dgm:prSet phldrT="[Text]"/>
      <dgm:spPr/>
      <dgm:t>
        <a:bodyPr/>
        <a:lstStyle/>
        <a:p>
          <a:r>
            <a:rPr lang="en-US"/>
            <a:t>MONTHLY DUES 2029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9" tooltip="MONTHLY DUES 2029"/>
          </dgm14:cNvPr>
        </a:ext>
      </dgm:extLst>
    </dgm:pt>
    <dgm:pt modelId="{FDBD0F72-705E-451E-8EE9-0C3D1843E13E}" type="parTrans" cxnId="{2262A132-5C68-47A6-87F8-942D98683576}">
      <dgm:prSet/>
      <dgm:spPr/>
      <dgm:t>
        <a:bodyPr/>
        <a:lstStyle/>
        <a:p>
          <a:endParaRPr lang="en-US"/>
        </a:p>
      </dgm:t>
    </dgm:pt>
    <dgm:pt modelId="{45EEADDE-2CEF-4B71-BCB3-E4A15F7B8681}" type="sibTrans" cxnId="{2262A132-5C68-47A6-87F8-942D98683576}">
      <dgm:prSet/>
      <dgm:spPr/>
      <dgm:t>
        <a:bodyPr/>
        <a:lstStyle/>
        <a:p>
          <a:endParaRPr lang="en-US"/>
        </a:p>
      </dgm:t>
    </dgm:pt>
    <dgm:pt modelId="{EC89FBF4-8DEF-40F6-BBC0-672CEC54D558}">
      <dgm:prSet phldrT="[Text]"/>
      <dgm:spPr/>
      <dgm:t>
        <a:bodyPr/>
        <a:lstStyle/>
        <a:p>
          <a:r>
            <a:rPr lang="en-US"/>
            <a:t>MONTHLY DUES 2030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0" tooltip="MONTHLY DUES 2030"/>
          </dgm14:cNvPr>
        </a:ext>
      </dgm:extLst>
    </dgm:pt>
    <dgm:pt modelId="{21E52F68-4F9D-403C-8A95-F2AE311ABD2A}" type="parTrans" cxnId="{04FFD9AA-7BA8-4291-9F22-5B143F6009AD}">
      <dgm:prSet/>
      <dgm:spPr/>
      <dgm:t>
        <a:bodyPr/>
        <a:lstStyle/>
        <a:p>
          <a:endParaRPr lang="en-US"/>
        </a:p>
      </dgm:t>
    </dgm:pt>
    <dgm:pt modelId="{5720D74D-0DB8-45A8-BF74-86DF9DB95610}" type="sibTrans" cxnId="{04FFD9AA-7BA8-4291-9F22-5B143F6009AD}">
      <dgm:prSet/>
      <dgm:spPr/>
      <dgm:t>
        <a:bodyPr/>
        <a:lstStyle/>
        <a:p>
          <a:endParaRPr lang="en-US"/>
        </a:p>
      </dgm:t>
    </dgm:pt>
    <dgm:pt modelId="{284DE970-8B0D-4251-B812-CC3ECF936B39}">
      <dgm:prSet phldrT="[Text]"/>
      <dgm:spPr/>
      <dgm:t>
        <a:bodyPr/>
        <a:lstStyle/>
        <a:p>
          <a:r>
            <a:rPr lang="en-US"/>
            <a:t>MONTHLY DUES 2031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1" tooltip="MONTHLY DUES 2031"/>
          </dgm14:cNvPr>
        </a:ext>
      </dgm:extLst>
    </dgm:pt>
    <dgm:pt modelId="{5800D9D5-3175-44FF-9231-1AC278FD92BE}" type="parTrans" cxnId="{ECEF6AE7-A642-44EB-8A86-3E1CC2BA3174}">
      <dgm:prSet/>
      <dgm:spPr/>
      <dgm:t>
        <a:bodyPr/>
        <a:lstStyle/>
        <a:p>
          <a:endParaRPr lang="en-US"/>
        </a:p>
      </dgm:t>
    </dgm:pt>
    <dgm:pt modelId="{33162029-1A44-4C7C-B0F6-83C80404587E}" type="sibTrans" cxnId="{ECEF6AE7-A642-44EB-8A86-3E1CC2BA3174}">
      <dgm:prSet/>
      <dgm:spPr/>
      <dgm:t>
        <a:bodyPr/>
        <a:lstStyle/>
        <a:p>
          <a:endParaRPr lang="en-US"/>
        </a:p>
      </dgm:t>
    </dgm:pt>
    <dgm:pt modelId="{F6B8809B-262A-46F4-96DD-57E9A4AEE8A2}">
      <dgm:prSet phldrT="[Text]"/>
      <dgm:spPr/>
      <dgm:t>
        <a:bodyPr/>
        <a:lstStyle/>
        <a:p>
          <a:r>
            <a:rPr lang="en-US"/>
            <a:t>MONTHLY DUES 2032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2" tooltip="MONTHLY DUES 2032"/>
          </dgm14:cNvPr>
        </a:ext>
      </dgm:extLst>
    </dgm:pt>
    <dgm:pt modelId="{1F6B699F-C2FA-4A20-A5D6-4E1B7157D034}" type="parTrans" cxnId="{91341263-9CF3-41AE-8678-74A85BD67E93}">
      <dgm:prSet/>
      <dgm:spPr/>
      <dgm:t>
        <a:bodyPr/>
        <a:lstStyle/>
        <a:p>
          <a:endParaRPr lang="en-US"/>
        </a:p>
      </dgm:t>
    </dgm:pt>
    <dgm:pt modelId="{33132B90-19D0-4532-A01C-33DA93AC6C3F}" type="sibTrans" cxnId="{91341263-9CF3-41AE-8678-74A85BD67E93}">
      <dgm:prSet/>
      <dgm:spPr/>
      <dgm:t>
        <a:bodyPr/>
        <a:lstStyle/>
        <a:p>
          <a:endParaRPr lang="en-US"/>
        </a:p>
      </dgm:t>
    </dgm:pt>
    <dgm:pt modelId="{7BC3942F-E217-4AFB-B7F3-E031F5B4605B}" type="pres">
      <dgm:prSet presAssocID="{4549BC6C-00D2-4DA5-8F75-18F5E614752D}" presName="diagram" presStyleCnt="0">
        <dgm:presLayoutVars>
          <dgm:dir/>
          <dgm:resizeHandles val="exact"/>
        </dgm:presLayoutVars>
      </dgm:prSet>
      <dgm:spPr/>
    </dgm:pt>
    <dgm:pt modelId="{4F9ADC92-27E0-4040-9728-CD7921A66AA6}" type="pres">
      <dgm:prSet presAssocID="{693204E4-15D2-4B9B-AE11-A3C90FF6F62D}" presName="node" presStyleLbl="node1" presStyleIdx="0" presStyleCnt="12">
        <dgm:presLayoutVars>
          <dgm:bulletEnabled val="1"/>
        </dgm:presLayoutVars>
      </dgm:prSet>
      <dgm:spPr/>
    </dgm:pt>
    <dgm:pt modelId="{8A86E876-0E2E-49AF-9999-9781A123B13B}" type="pres">
      <dgm:prSet presAssocID="{A527317D-D16F-497B-82C9-7030915D5F5B}" presName="sibTrans" presStyleCnt="0"/>
      <dgm:spPr/>
    </dgm:pt>
    <dgm:pt modelId="{4816DB07-7019-49FE-9F42-3237FEFAC7E7}" type="pres">
      <dgm:prSet presAssocID="{15AFDF4A-2E42-4634-BC56-A03EDADBA407}" presName="node" presStyleLbl="node1" presStyleIdx="1" presStyleCnt="12">
        <dgm:presLayoutVars>
          <dgm:bulletEnabled val="1"/>
        </dgm:presLayoutVars>
      </dgm:prSet>
      <dgm:spPr/>
    </dgm:pt>
    <dgm:pt modelId="{AB3BA28F-8F01-44F1-9BFD-5FD7CC3B0D4E}" type="pres">
      <dgm:prSet presAssocID="{821F9F27-D8E8-4CD6-9F61-4E5F0A8AEC76}" presName="sibTrans" presStyleCnt="0"/>
      <dgm:spPr/>
    </dgm:pt>
    <dgm:pt modelId="{56B58AF1-8498-440E-B75B-A8BFCD0225C2}" type="pres">
      <dgm:prSet presAssocID="{2AF41817-01D8-46C4-B99F-2C2F180D9B94}" presName="node" presStyleLbl="node1" presStyleIdx="2" presStyleCnt="12">
        <dgm:presLayoutVars>
          <dgm:bulletEnabled val="1"/>
        </dgm:presLayoutVars>
      </dgm:prSet>
      <dgm:spPr/>
    </dgm:pt>
    <dgm:pt modelId="{E49B8EF6-E6EC-40D8-8449-A98B61C32A13}" type="pres">
      <dgm:prSet presAssocID="{57A050D5-AC1C-456E-9705-F627290488EC}" presName="sibTrans" presStyleCnt="0"/>
      <dgm:spPr/>
    </dgm:pt>
    <dgm:pt modelId="{B431F8AC-871B-45BE-819C-2F43D072C826}" type="pres">
      <dgm:prSet presAssocID="{1A0A481C-5A47-4794-A581-D40390175A80}" presName="node" presStyleLbl="node1" presStyleIdx="3" presStyleCnt="12">
        <dgm:presLayoutVars>
          <dgm:bulletEnabled val="1"/>
        </dgm:presLayoutVars>
      </dgm:prSet>
      <dgm:spPr/>
    </dgm:pt>
    <dgm:pt modelId="{32E1AD79-9856-4047-889D-6F8AEFB17CD5}" type="pres">
      <dgm:prSet presAssocID="{01F48947-9E12-445D-A75B-199650BFE76D}" presName="sibTrans" presStyleCnt="0"/>
      <dgm:spPr/>
    </dgm:pt>
    <dgm:pt modelId="{30AADDBB-2069-40BC-8B88-E2B54FFD27DC}" type="pres">
      <dgm:prSet presAssocID="{6CBEEA9F-6298-48FA-B9E4-E888A5B345DB}" presName="node" presStyleLbl="node1" presStyleIdx="4" presStyleCnt="12">
        <dgm:presLayoutVars>
          <dgm:bulletEnabled val="1"/>
        </dgm:presLayoutVars>
      </dgm:prSet>
      <dgm:spPr/>
    </dgm:pt>
    <dgm:pt modelId="{9E397EA3-B8D6-4C72-B2C1-9C7107519FD8}" type="pres">
      <dgm:prSet presAssocID="{6EFF7B2F-B364-407E-9AC4-4FE320739A25}" presName="sibTrans" presStyleCnt="0"/>
      <dgm:spPr/>
    </dgm:pt>
    <dgm:pt modelId="{9B1D4A00-93D7-4DF3-ADC7-05D86F244C13}" type="pres">
      <dgm:prSet presAssocID="{528A608D-F91C-4A3D-86C8-6EFC91230265}" presName="node" presStyleLbl="node1" presStyleIdx="5" presStyleCnt="12">
        <dgm:presLayoutVars>
          <dgm:bulletEnabled val="1"/>
        </dgm:presLayoutVars>
      </dgm:prSet>
      <dgm:spPr/>
    </dgm:pt>
    <dgm:pt modelId="{23D3ACA9-09D4-4D46-9299-7FAC420BD0D0}" type="pres">
      <dgm:prSet presAssocID="{32AA9E20-768F-48B0-AD4D-76AFB9390D71}" presName="sibTrans" presStyleCnt="0"/>
      <dgm:spPr/>
    </dgm:pt>
    <dgm:pt modelId="{3C3F115A-7D8E-4A66-B396-3A14A7867ED2}" type="pres">
      <dgm:prSet presAssocID="{867CAEE8-5CB8-4DD8-AFBD-6C1024B785E6}" presName="node" presStyleLbl="node1" presStyleIdx="6" presStyleCnt="12">
        <dgm:presLayoutVars>
          <dgm:bulletEnabled val="1"/>
        </dgm:presLayoutVars>
      </dgm:prSet>
      <dgm:spPr/>
    </dgm:pt>
    <dgm:pt modelId="{A4AABB88-03EB-4C5D-BC36-A241532CB2C3}" type="pres">
      <dgm:prSet presAssocID="{3301167B-CC3F-4330-A1CC-0E3C25A45EE5}" presName="sibTrans" presStyleCnt="0"/>
      <dgm:spPr/>
    </dgm:pt>
    <dgm:pt modelId="{891B6416-4140-4F2B-8EE9-BF30C90B5880}" type="pres">
      <dgm:prSet presAssocID="{49F15FF2-233B-4881-959A-E835F8A1FDC7}" presName="node" presStyleLbl="node1" presStyleIdx="7" presStyleCnt="12">
        <dgm:presLayoutVars>
          <dgm:bulletEnabled val="1"/>
        </dgm:presLayoutVars>
      </dgm:prSet>
      <dgm:spPr/>
    </dgm:pt>
    <dgm:pt modelId="{46D3F672-8456-4750-BC79-93C55C8DFE61}" type="pres">
      <dgm:prSet presAssocID="{7DA675A4-241A-4882-86EB-D71C8172AC95}" presName="sibTrans" presStyleCnt="0"/>
      <dgm:spPr/>
    </dgm:pt>
    <dgm:pt modelId="{FEF93410-DA9A-4193-ABDB-0C736EE14F96}" type="pres">
      <dgm:prSet presAssocID="{D364D7F8-AB0E-47FD-8DA9-B13765744558}" presName="node" presStyleLbl="node1" presStyleIdx="8" presStyleCnt="12">
        <dgm:presLayoutVars>
          <dgm:bulletEnabled val="1"/>
        </dgm:presLayoutVars>
      </dgm:prSet>
      <dgm:spPr/>
    </dgm:pt>
    <dgm:pt modelId="{AB9792B3-A600-40DB-A6A3-C4A27EFA44CC}" type="pres">
      <dgm:prSet presAssocID="{45EEADDE-2CEF-4B71-BCB3-E4A15F7B8681}" presName="sibTrans" presStyleCnt="0"/>
      <dgm:spPr/>
    </dgm:pt>
    <dgm:pt modelId="{C7C7104E-8E42-460C-9F9C-7F39B3B4B8C3}" type="pres">
      <dgm:prSet presAssocID="{EC89FBF4-8DEF-40F6-BBC0-672CEC54D558}" presName="node" presStyleLbl="node1" presStyleIdx="9" presStyleCnt="12">
        <dgm:presLayoutVars>
          <dgm:bulletEnabled val="1"/>
        </dgm:presLayoutVars>
      </dgm:prSet>
      <dgm:spPr/>
    </dgm:pt>
    <dgm:pt modelId="{ABB201EF-C4B0-4EFF-8465-3DBF2FBFF8D8}" type="pres">
      <dgm:prSet presAssocID="{5720D74D-0DB8-45A8-BF74-86DF9DB95610}" presName="sibTrans" presStyleCnt="0"/>
      <dgm:spPr/>
    </dgm:pt>
    <dgm:pt modelId="{E0383D59-7838-41E7-AC1E-387B208A462F}" type="pres">
      <dgm:prSet presAssocID="{284DE970-8B0D-4251-B812-CC3ECF936B39}" presName="node" presStyleLbl="node1" presStyleIdx="10" presStyleCnt="12">
        <dgm:presLayoutVars>
          <dgm:bulletEnabled val="1"/>
        </dgm:presLayoutVars>
      </dgm:prSet>
      <dgm:spPr/>
    </dgm:pt>
    <dgm:pt modelId="{220DC34C-8A83-45CA-BE6C-4174F5A0BDDA}" type="pres">
      <dgm:prSet presAssocID="{33162029-1A44-4C7C-B0F6-83C80404587E}" presName="sibTrans" presStyleCnt="0"/>
      <dgm:spPr/>
    </dgm:pt>
    <dgm:pt modelId="{C7A9DC5D-2B90-473E-A9E9-8333EA8E90D9}" type="pres">
      <dgm:prSet presAssocID="{F6B8809B-262A-46F4-96DD-57E9A4AEE8A2}" presName="node" presStyleLbl="node1" presStyleIdx="11" presStyleCnt="12">
        <dgm:presLayoutVars>
          <dgm:bulletEnabled val="1"/>
        </dgm:presLayoutVars>
      </dgm:prSet>
      <dgm:spPr/>
    </dgm:pt>
  </dgm:ptLst>
  <dgm:cxnLst>
    <dgm:cxn modelId="{B05F9401-A56C-4407-9ADE-4FD2678E7085}" srcId="{4549BC6C-00D2-4DA5-8F75-18F5E614752D}" destId="{2AF41817-01D8-46C4-B99F-2C2F180D9B94}" srcOrd="2" destOrd="0" parTransId="{59581CC8-7BCB-4E26-A6A1-BC7E1A71DE8C}" sibTransId="{57A050D5-AC1C-456E-9705-F627290488EC}"/>
    <dgm:cxn modelId="{7C242006-BE3D-4794-9BF6-002FE588921D}" srcId="{4549BC6C-00D2-4DA5-8F75-18F5E614752D}" destId="{6CBEEA9F-6298-48FA-B9E4-E888A5B345DB}" srcOrd="4" destOrd="0" parTransId="{CC5A64DE-F8A5-469D-A27C-17473966EB31}" sibTransId="{6EFF7B2F-B364-407E-9AC4-4FE320739A25}"/>
    <dgm:cxn modelId="{7C39CA07-C313-4289-9C43-C16707C91581}" type="presOf" srcId="{693204E4-15D2-4B9B-AE11-A3C90FF6F62D}" destId="{4F9ADC92-27E0-4040-9728-CD7921A66AA6}" srcOrd="0" destOrd="0" presId="urn:microsoft.com/office/officeart/2005/8/layout/default"/>
    <dgm:cxn modelId="{232FCE0E-73CB-4792-8F48-10F723E3D503}" type="presOf" srcId="{284DE970-8B0D-4251-B812-CC3ECF936B39}" destId="{E0383D59-7838-41E7-AC1E-387B208A462F}" srcOrd="0" destOrd="0" presId="urn:microsoft.com/office/officeart/2005/8/layout/default"/>
    <dgm:cxn modelId="{A52C8F11-96DB-4016-B393-BAB7852DE780}" type="presOf" srcId="{F6B8809B-262A-46F4-96DD-57E9A4AEE8A2}" destId="{C7A9DC5D-2B90-473E-A9E9-8333EA8E90D9}" srcOrd="0" destOrd="0" presId="urn:microsoft.com/office/officeart/2005/8/layout/default"/>
    <dgm:cxn modelId="{DA4E3F24-F878-4318-97BA-20187F99B550}" srcId="{4549BC6C-00D2-4DA5-8F75-18F5E614752D}" destId="{49F15FF2-233B-4881-959A-E835F8A1FDC7}" srcOrd="7" destOrd="0" parTransId="{4663A951-9FD0-4EC5-ACAF-C33BF63764C9}" sibTransId="{7DA675A4-241A-4882-86EB-D71C8172AC95}"/>
    <dgm:cxn modelId="{0D3CE027-B3BC-46AB-A19E-796835968AA2}" type="presOf" srcId="{4549BC6C-00D2-4DA5-8F75-18F5E614752D}" destId="{7BC3942F-E217-4AFB-B7F3-E031F5B4605B}" srcOrd="0" destOrd="0" presId="urn:microsoft.com/office/officeart/2005/8/layout/default"/>
    <dgm:cxn modelId="{B187BC28-35D7-455C-8AE8-1B8635913ACE}" type="presOf" srcId="{D364D7F8-AB0E-47FD-8DA9-B13765744558}" destId="{FEF93410-DA9A-4193-ABDB-0C736EE14F96}" srcOrd="0" destOrd="0" presId="urn:microsoft.com/office/officeart/2005/8/layout/default"/>
    <dgm:cxn modelId="{2262A132-5C68-47A6-87F8-942D98683576}" srcId="{4549BC6C-00D2-4DA5-8F75-18F5E614752D}" destId="{D364D7F8-AB0E-47FD-8DA9-B13765744558}" srcOrd="8" destOrd="0" parTransId="{FDBD0F72-705E-451E-8EE9-0C3D1843E13E}" sibTransId="{45EEADDE-2CEF-4B71-BCB3-E4A15F7B8681}"/>
    <dgm:cxn modelId="{D57FD160-67AB-4868-959F-401A7622C09B}" srcId="{4549BC6C-00D2-4DA5-8F75-18F5E614752D}" destId="{1A0A481C-5A47-4794-A581-D40390175A80}" srcOrd="3" destOrd="0" parTransId="{F87DEF64-9574-4958-853F-36F0AE54F7E4}" sibTransId="{01F48947-9E12-445D-A75B-199650BFE76D}"/>
    <dgm:cxn modelId="{91341263-9CF3-41AE-8678-74A85BD67E93}" srcId="{4549BC6C-00D2-4DA5-8F75-18F5E614752D}" destId="{F6B8809B-262A-46F4-96DD-57E9A4AEE8A2}" srcOrd="11" destOrd="0" parTransId="{1F6B699F-C2FA-4A20-A5D6-4E1B7157D034}" sibTransId="{33132B90-19D0-4532-A01C-33DA93AC6C3F}"/>
    <dgm:cxn modelId="{6BE38463-F573-43D3-910A-57F439D3E24E}" type="presOf" srcId="{6CBEEA9F-6298-48FA-B9E4-E888A5B345DB}" destId="{30AADDBB-2069-40BC-8B88-E2B54FFD27DC}" srcOrd="0" destOrd="0" presId="urn:microsoft.com/office/officeart/2005/8/layout/default"/>
    <dgm:cxn modelId="{75C15B45-97B1-4052-8131-D9951F9B7F39}" srcId="{4549BC6C-00D2-4DA5-8F75-18F5E614752D}" destId="{867CAEE8-5CB8-4DD8-AFBD-6C1024B785E6}" srcOrd="6" destOrd="0" parTransId="{320893A6-3CCC-4A84-9801-4F31CB46C76B}" sibTransId="{3301167B-CC3F-4330-A1CC-0E3C25A45EE5}"/>
    <dgm:cxn modelId="{F2EAC766-9ADD-4D9B-9444-EB1F5169E662}" type="presOf" srcId="{2AF41817-01D8-46C4-B99F-2C2F180D9B94}" destId="{56B58AF1-8498-440E-B75B-A8BFCD0225C2}" srcOrd="0" destOrd="0" presId="urn:microsoft.com/office/officeart/2005/8/layout/default"/>
    <dgm:cxn modelId="{7E33E566-9ECC-4367-B670-46F483ECCDA6}" type="presOf" srcId="{1A0A481C-5A47-4794-A581-D40390175A80}" destId="{B431F8AC-871B-45BE-819C-2F43D072C826}" srcOrd="0" destOrd="0" presId="urn:microsoft.com/office/officeart/2005/8/layout/default"/>
    <dgm:cxn modelId="{70979B6E-913D-4711-A136-76353F4326FB}" type="presOf" srcId="{867CAEE8-5CB8-4DD8-AFBD-6C1024B785E6}" destId="{3C3F115A-7D8E-4A66-B396-3A14A7867ED2}" srcOrd="0" destOrd="0" presId="urn:microsoft.com/office/officeart/2005/8/layout/default"/>
    <dgm:cxn modelId="{CBC24472-88D4-4E53-BC37-3DFE42C24033}" srcId="{4549BC6C-00D2-4DA5-8F75-18F5E614752D}" destId="{15AFDF4A-2E42-4634-BC56-A03EDADBA407}" srcOrd="1" destOrd="0" parTransId="{0904843A-6502-42A6-8AAD-B51622EAA79A}" sibTransId="{821F9F27-D8E8-4CD6-9F61-4E5F0A8AEC76}"/>
    <dgm:cxn modelId="{24766673-D075-4A55-BD58-09EEDEBDA701}" type="presOf" srcId="{49F15FF2-233B-4881-959A-E835F8A1FDC7}" destId="{891B6416-4140-4F2B-8EE9-BF30C90B5880}" srcOrd="0" destOrd="0" presId="urn:microsoft.com/office/officeart/2005/8/layout/default"/>
    <dgm:cxn modelId="{17FB8EA1-FF5B-4DC3-923B-B24601BB447A}" type="presOf" srcId="{15AFDF4A-2E42-4634-BC56-A03EDADBA407}" destId="{4816DB07-7019-49FE-9F42-3237FEFAC7E7}" srcOrd="0" destOrd="0" presId="urn:microsoft.com/office/officeart/2005/8/layout/default"/>
    <dgm:cxn modelId="{7500FCA9-B703-403C-9A88-C68450728002}" type="presOf" srcId="{EC89FBF4-8DEF-40F6-BBC0-672CEC54D558}" destId="{C7C7104E-8E42-460C-9F9C-7F39B3B4B8C3}" srcOrd="0" destOrd="0" presId="urn:microsoft.com/office/officeart/2005/8/layout/default"/>
    <dgm:cxn modelId="{04FFD9AA-7BA8-4291-9F22-5B143F6009AD}" srcId="{4549BC6C-00D2-4DA5-8F75-18F5E614752D}" destId="{EC89FBF4-8DEF-40F6-BBC0-672CEC54D558}" srcOrd="9" destOrd="0" parTransId="{21E52F68-4F9D-403C-8A95-F2AE311ABD2A}" sibTransId="{5720D74D-0DB8-45A8-BF74-86DF9DB95610}"/>
    <dgm:cxn modelId="{EC1D27BF-3425-4BA1-BFA2-883D5F16F1B0}" type="presOf" srcId="{528A608D-F91C-4A3D-86C8-6EFC91230265}" destId="{9B1D4A00-93D7-4DF3-ADC7-05D86F244C13}" srcOrd="0" destOrd="0" presId="urn:microsoft.com/office/officeart/2005/8/layout/default"/>
    <dgm:cxn modelId="{2D3677D7-4E80-4BD2-9B99-3ADA225BE789}" srcId="{4549BC6C-00D2-4DA5-8F75-18F5E614752D}" destId="{693204E4-15D2-4B9B-AE11-A3C90FF6F62D}" srcOrd="0" destOrd="0" parTransId="{44D3EDD5-2DDB-401E-A5AD-B1C52D86A555}" sibTransId="{A527317D-D16F-497B-82C9-7030915D5F5B}"/>
    <dgm:cxn modelId="{D37A81DA-64AA-4AE3-8C08-DDFCA8B23DFE}" srcId="{4549BC6C-00D2-4DA5-8F75-18F5E614752D}" destId="{528A608D-F91C-4A3D-86C8-6EFC91230265}" srcOrd="5" destOrd="0" parTransId="{73AD4727-B119-4BC6-BA3E-ECBD828AE27A}" sibTransId="{32AA9E20-768F-48B0-AD4D-76AFB9390D71}"/>
    <dgm:cxn modelId="{ECEF6AE7-A642-44EB-8A86-3E1CC2BA3174}" srcId="{4549BC6C-00D2-4DA5-8F75-18F5E614752D}" destId="{284DE970-8B0D-4251-B812-CC3ECF936B39}" srcOrd="10" destOrd="0" parTransId="{5800D9D5-3175-44FF-9231-1AC278FD92BE}" sibTransId="{33162029-1A44-4C7C-B0F6-83C80404587E}"/>
    <dgm:cxn modelId="{B0BCB233-52E9-43F7-85DE-62E1592EF5ED}" type="presParOf" srcId="{7BC3942F-E217-4AFB-B7F3-E031F5B4605B}" destId="{4F9ADC92-27E0-4040-9728-CD7921A66AA6}" srcOrd="0" destOrd="0" presId="urn:microsoft.com/office/officeart/2005/8/layout/default"/>
    <dgm:cxn modelId="{44BC7BD3-DBF3-43CE-AE96-266F0D119A2A}" type="presParOf" srcId="{7BC3942F-E217-4AFB-B7F3-E031F5B4605B}" destId="{8A86E876-0E2E-49AF-9999-9781A123B13B}" srcOrd="1" destOrd="0" presId="urn:microsoft.com/office/officeart/2005/8/layout/default"/>
    <dgm:cxn modelId="{667BF48B-0546-4708-B943-51F99E832077}" type="presParOf" srcId="{7BC3942F-E217-4AFB-B7F3-E031F5B4605B}" destId="{4816DB07-7019-49FE-9F42-3237FEFAC7E7}" srcOrd="2" destOrd="0" presId="urn:microsoft.com/office/officeart/2005/8/layout/default"/>
    <dgm:cxn modelId="{9A6E2CEC-26E7-4CF4-BB0E-8FF11613518E}" type="presParOf" srcId="{7BC3942F-E217-4AFB-B7F3-E031F5B4605B}" destId="{AB3BA28F-8F01-44F1-9BFD-5FD7CC3B0D4E}" srcOrd="3" destOrd="0" presId="urn:microsoft.com/office/officeart/2005/8/layout/default"/>
    <dgm:cxn modelId="{1B6F7664-7345-4ADB-A65C-11453A7140CB}" type="presParOf" srcId="{7BC3942F-E217-4AFB-B7F3-E031F5B4605B}" destId="{56B58AF1-8498-440E-B75B-A8BFCD0225C2}" srcOrd="4" destOrd="0" presId="urn:microsoft.com/office/officeart/2005/8/layout/default"/>
    <dgm:cxn modelId="{553E47E6-DAFF-445C-A2B3-821BFCAE0B11}" type="presParOf" srcId="{7BC3942F-E217-4AFB-B7F3-E031F5B4605B}" destId="{E49B8EF6-E6EC-40D8-8449-A98B61C32A13}" srcOrd="5" destOrd="0" presId="urn:microsoft.com/office/officeart/2005/8/layout/default"/>
    <dgm:cxn modelId="{5100C735-22D7-4290-94BE-424EDABBFE80}" type="presParOf" srcId="{7BC3942F-E217-4AFB-B7F3-E031F5B4605B}" destId="{B431F8AC-871B-45BE-819C-2F43D072C826}" srcOrd="6" destOrd="0" presId="urn:microsoft.com/office/officeart/2005/8/layout/default"/>
    <dgm:cxn modelId="{C941931E-F6A6-4076-85FE-8C3A012E16BD}" type="presParOf" srcId="{7BC3942F-E217-4AFB-B7F3-E031F5B4605B}" destId="{32E1AD79-9856-4047-889D-6F8AEFB17CD5}" srcOrd="7" destOrd="0" presId="urn:microsoft.com/office/officeart/2005/8/layout/default"/>
    <dgm:cxn modelId="{0547B26F-38AE-4D72-A24A-1E2A9D0327DA}" type="presParOf" srcId="{7BC3942F-E217-4AFB-B7F3-E031F5B4605B}" destId="{30AADDBB-2069-40BC-8B88-E2B54FFD27DC}" srcOrd="8" destOrd="0" presId="urn:microsoft.com/office/officeart/2005/8/layout/default"/>
    <dgm:cxn modelId="{B4A72C76-8D05-49F2-8554-061AB9F6B008}" type="presParOf" srcId="{7BC3942F-E217-4AFB-B7F3-E031F5B4605B}" destId="{9E397EA3-B8D6-4C72-B2C1-9C7107519FD8}" srcOrd="9" destOrd="0" presId="urn:microsoft.com/office/officeart/2005/8/layout/default"/>
    <dgm:cxn modelId="{A7B0E435-65E6-4656-A16A-9950593A6334}" type="presParOf" srcId="{7BC3942F-E217-4AFB-B7F3-E031F5B4605B}" destId="{9B1D4A00-93D7-4DF3-ADC7-05D86F244C13}" srcOrd="10" destOrd="0" presId="urn:microsoft.com/office/officeart/2005/8/layout/default"/>
    <dgm:cxn modelId="{56056D07-8BC0-41CA-ACBF-FB7AB547EDF3}" type="presParOf" srcId="{7BC3942F-E217-4AFB-B7F3-E031F5B4605B}" destId="{23D3ACA9-09D4-4D46-9299-7FAC420BD0D0}" srcOrd="11" destOrd="0" presId="urn:microsoft.com/office/officeart/2005/8/layout/default"/>
    <dgm:cxn modelId="{C3780579-E53F-46D5-B6E2-C5F734E6DC78}" type="presParOf" srcId="{7BC3942F-E217-4AFB-B7F3-E031F5B4605B}" destId="{3C3F115A-7D8E-4A66-B396-3A14A7867ED2}" srcOrd="12" destOrd="0" presId="urn:microsoft.com/office/officeart/2005/8/layout/default"/>
    <dgm:cxn modelId="{C9B12C80-E9EA-4037-89E9-605B06422D31}" type="presParOf" srcId="{7BC3942F-E217-4AFB-B7F3-E031F5B4605B}" destId="{A4AABB88-03EB-4C5D-BC36-A241532CB2C3}" srcOrd="13" destOrd="0" presId="urn:microsoft.com/office/officeart/2005/8/layout/default"/>
    <dgm:cxn modelId="{A8BC1D07-6A82-4684-ADCF-031C3BEED10E}" type="presParOf" srcId="{7BC3942F-E217-4AFB-B7F3-E031F5B4605B}" destId="{891B6416-4140-4F2B-8EE9-BF30C90B5880}" srcOrd="14" destOrd="0" presId="urn:microsoft.com/office/officeart/2005/8/layout/default"/>
    <dgm:cxn modelId="{E0000E45-B4A7-41BC-8273-E6CEF5422AC3}" type="presParOf" srcId="{7BC3942F-E217-4AFB-B7F3-E031F5B4605B}" destId="{46D3F672-8456-4750-BC79-93C55C8DFE61}" srcOrd="15" destOrd="0" presId="urn:microsoft.com/office/officeart/2005/8/layout/default"/>
    <dgm:cxn modelId="{A82E6AD5-48E1-4F58-8B85-2D3B015A6A17}" type="presParOf" srcId="{7BC3942F-E217-4AFB-B7F3-E031F5B4605B}" destId="{FEF93410-DA9A-4193-ABDB-0C736EE14F96}" srcOrd="16" destOrd="0" presId="urn:microsoft.com/office/officeart/2005/8/layout/default"/>
    <dgm:cxn modelId="{5E2FFDD7-4D32-4A8E-8C45-1148EF22B979}" type="presParOf" srcId="{7BC3942F-E217-4AFB-B7F3-E031F5B4605B}" destId="{AB9792B3-A600-40DB-A6A3-C4A27EFA44CC}" srcOrd="17" destOrd="0" presId="urn:microsoft.com/office/officeart/2005/8/layout/default"/>
    <dgm:cxn modelId="{A15DBE65-8E8D-4FFF-BF36-05F23EAE89DF}" type="presParOf" srcId="{7BC3942F-E217-4AFB-B7F3-E031F5B4605B}" destId="{C7C7104E-8E42-460C-9F9C-7F39B3B4B8C3}" srcOrd="18" destOrd="0" presId="urn:microsoft.com/office/officeart/2005/8/layout/default"/>
    <dgm:cxn modelId="{2157381C-3545-4A15-9387-52D588CF7939}" type="presParOf" srcId="{7BC3942F-E217-4AFB-B7F3-E031F5B4605B}" destId="{ABB201EF-C4B0-4EFF-8465-3DBF2FBFF8D8}" srcOrd="19" destOrd="0" presId="urn:microsoft.com/office/officeart/2005/8/layout/default"/>
    <dgm:cxn modelId="{6A1996E7-6DC9-4222-B22A-4F9ADBE5B270}" type="presParOf" srcId="{7BC3942F-E217-4AFB-B7F3-E031F5B4605B}" destId="{E0383D59-7838-41E7-AC1E-387B208A462F}" srcOrd="20" destOrd="0" presId="urn:microsoft.com/office/officeart/2005/8/layout/default"/>
    <dgm:cxn modelId="{557F9F2F-F928-4733-80C3-2D09BA569837}" type="presParOf" srcId="{7BC3942F-E217-4AFB-B7F3-E031F5B4605B}" destId="{220DC34C-8A83-45CA-BE6C-4174F5A0BDDA}" srcOrd="21" destOrd="0" presId="urn:microsoft.com/office/officeart/2005/8/layout/default"/>
    <dgm:cxn modelId="{51AA0225-D88B-4879-BE02-880603F63360}" type="presParOf" srcId="{7BC3942F-E217-4AFB-B7F3-E031F5B4605B}" destId="{C7A9DC5D-2B90-473E-A9E9-8333EA8E90D9}" srcOrd="22" destOrd="0" presId="urn:microsoft.com/office/officeart/2005/8/layout/default"/>
  </dgm:cxnLst>
  <dgm:bg>
    <a:solidFill>
      <a:schemeClr val="accent2"/>
    </a:solidFill>
  </dgm:bg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4549BC6C-00D2-4DA5-8F75-18F5E614752D}" type="doc">
      <dgm:prSet loTypeId="urn:microsoft.com/office/officeart/2008/layout/VerticalCurvedList" loCatId="list" qsTypeId="urn:microsoft.com/office/officeart/2005/8/quickstyle/3d3#3" qsCatId="3D" csTypeId="urn:microsoft.com/office/officeart/2005/8/colors/accent1_2#2" csCatId="accent1" phldr="1"/>
      <dgm:spPr/>
      <dgm:t>
        <a:bodyPr/>
        <a:lstStyle/>
        <a:p>
          <a:endParaRPr lang="en-US"/>
        </a:p>
      </dgm:t>
    </dgm:pt>
    <dgm:pt modelId="{A3CBE85E-7016-434E-9DD3-F637480BFE4C}">
      <dgm:prSet phldrT="[Text]"/>
      <dgm:spPr>
        <a:solidFill>
          <a:srgbClr val="00B050"/>
        </a:solidFill>
      </dgm:spPr>
      <dgm:t>
        <a:bodyPr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SPECIAL LEVY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 tooltip="SPECIAL LEVY"/>
          </dgm14:cNvPr>
        </a:ext>
      </dgm:extLst>
    </dgm:pt>
    <dgm:pt modelId="{D8F13CDA-DBFE-41B4-A85C-D6E4DD2AA1AE}" type="parTrans" cxnId="{C3B511D7-1BDF-4406-A932-D040130F4370}">
      <dgm:prSet/>
      <dgm:spPr/>
      <dgm:t>
        <a:bodyPr/>
        <a:lstStyle/>
        <a:p>
          <a:endParaRPr lang="en-US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B321A007-C6D8-410B-A50F-344CACB22C60}" type="sibTrans" cxnId="{C3B511D7-1BDF-4406-A932-D040130F4370}">
      <dgm:prSet/>
      <dgm:spPr/>
      <dgm:t>
        <a:bodyPr/>
        <a:lstStyle/>
        <a:p>
          <a:endParaRPr lang="en-US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F9359DDC-BFD4-489F-AA20-4FA42914D89E}">
      <dgm:prSet phldrT="[Text]"/>
      <dgm:spPr>
        <a:solidFill>
          <a:srgbClr val="C00000"/>
        </a:solidFill>
      </dgm:spPr>
      <dgm:t>
        <a:bodyPr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SPECIAL LEVY FEE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 tooltip="SPECIAL LEVY FEE"/>
          </dgm14:cNvPr>
        </a:ext>
      </dgm:extLst>
    </dgm:pt>
    <dgm:pt modelId="{8B4A02A7-D351-424A-8CD1-4E2820B92A3E}" type="parTrans" cxnId="{65E7D221-D648-4FC1-A4A7-38474E13C170}">
      <dgm:prSet/>
      <dgm:spPr/>
      <dgm:t>
        <a:bodyPr/>
        <a:lstStyle/>
        <a:p>
          <a:endParaRPr lang="en-US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294542C1-1A81-4AF0-B110-B149A09FE7C7}" type="sibTrans" cxnId="{65E7D221-D648-4FC1-A4A7-38474E13C170}">
      <dgm:prSet/>
      <dgm:spPr/>
      <dgm:t>
        <a:bodyPr/>
        <a:lstStyle/>
        <a:p>
          <a:endParaRPr lang="en-US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D7C49828-EF00-4E48-BEE2-FF7B5602D307}">
      <dgm:prSet phldrT="[Text]"/>
      <dgm:spPr>
        <a:solidFill>
          <a:srgbClr val="7030A0"/>
        </a:solidFill>
      </dgm:spPr>
      <dgm:t>
        <a:bodyPr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LEVY DISBUSMENTS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 tooltip="DISBUSMENTS OF LEVY"/>
          </dgm14:cNvPr>
        </a:ext>
      </dgm:extLst>
    </dgm:pt>
    <dgm:pt modelId="{7EB37C64-1196-46B8-9253-4D66CC6AE22C}" type="parTrans" cxnId="{4A351F7D-3A0D-4A51-AE76-2C3E2456C69F}">
      <dgm:prSet/>
      <dgm:spPr/>
      <dgm:t>
        <a:bodyPr/>
        <a:lstStyle/>
        <a:p>
          <a:endParaRPr lang="en-US"/>
        </a:p>
      </dgm:t>
    </dgm:pt>
    <dgm:pt modelId="{DBD2D086-C581-4D6D-8242-CE6331720701}" type="sibTrans" cxnId="{4A351F7D-3A0D-4A51-AE76-2C3E2456C69F}">
      <dgm:prSet/>
      <dgm:spPr/>
      <dgm:t>
        <a:bodyPr/>
        <a:lstStyle/>
        <a:p>
          <a:endParaRPr lang="en-US"/>
        </a:p>
      </dgm:t>
    </dgm:pt>
    <dgm:pt modelId="{A1C7ECC0-E751-4FA5-97B7-D578D18BF0D8}">
      <dgm:prSet phldrT="[Text]"/>
      <dgm:spPr>
        <a:solidFill>
          <a:srgbClr val="00B0F0"/>
        </a:solidFill>
      </dgm:spPr>
      <dgm:t>
        <a:bodyPr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LEVY ACCOUNT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 tooltip="LEVY ACCOUNT"/>
          </dgm14:cNvPr>
        </a:ext>
      </dgm:extLst>
    </dgm:pt>
    <dgm:pt modelId="{0E4D6677-FAEE-4C87-BB3A-4DCB4B646199}" type="parTrans" cxnId="{5A6A31CD-13CD-440C-B60C-110BC271DDA7}">
      <dgm:prSet/>
      <dgm:spPr/>
      <dgm:t>
        <a:bodyPr/>
        <a:lstStyle/>
        <a:p>
          <a:endParaRPr lang="en-US"/>
        </a:p>
      </dgm:t>
    </dgm:pt>
    <dgm:pt modelId="{2DC113D4-B024-4208-842A-AF2B3380A611}" type="sibTrans" cxnId="{5A6A31CD-13CD-440C-B60C-110BC271DDA7}">
      <dgm:prSet/>
      <dgm:spPr/>
      <dgm:t>
        <a:bodyPr/>
        <a:lstStyle/>
        <a:p>
          <a:endParaRPr lang="en-US"/>
        </a:p>
      </dgm:t>
    </dgm:pt>
    <dgm:pt modelId="{5EB906EF-3E24-4CB6-AC5A-4A3C02CD006E}">
      <dgm:prSet phldrT="[Text]"/>
      <dgm:spPr>
        <a:solidFill>
          <a:schemeClr val="accent6">
            <a:lumMod val="75000"/>
          </a:schemeClr>
        </a:solidFill>
      </dgm:spPr>
      <dgm:t>
        <a:bodyPr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LEVY TRAIL BALANCE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 tooltip="LEVY TRAIL BALANCE"/>
          </dgm14:cNvPr>
        </a:ext>
      </dgm:extLst>
    </dgm:pt>
    <dgm:pt modelId="{5F81CA01-2513-42C9-8A90-C0D5B29A4495}" type="parTrans" cxnId="{4E16760B-D32D-4ADA-A7D2-C2FAAD30240C}">
      <dgm:prSet/>
      <dgm:spPr/>
      <dgm:t>
        <a:bodyPr/>
        <a:lstStyle/>
        <a:p>
          <a:endParaRPr lang="en-US"/>
        </a:p>
      </dgm:t>
    </dgm:pt>
    <dgm:pt modelId="{BBCC2E18-2D57-4D12-97C4-3A52FC141EA6}" type="sibTrans" cxnId="{4E16760B-D32D-4ADA-A7D2-C2FAAD30240C}">
      <dgm:prSet/>
      <dgm:spPr/>
      <dgm:t>
        <a:bodyPr/>
        <a:lstStyle/>
        <a:p>
          <a:endParaRPr lang="en-US"/>
        </a:p>
      </dgm:t>
    </dgm:pt>
    <dgm:pt modelId="{C310DC18-3131-4CDF-B483-0C5AA4EF1412}" type="pres">
      <dgm:prSet presAssocID="{4549BC6C-00D2-4DA5-8F75-18F5E614752D}" presName="Name0" presStyleCnt="0">
        <dgm:presLayoutVars>
          <dgm:chMax val="7"/>
          <dgm:chPref val="7"/>
          <dgm:dir/>
        </dgm:presLayoutVars>
      </dgm:prSet>
      <dgm:spPr/>
    </dgm:pt>
    <dgm:pt modelId="{489A8004-F6A3-4304-92AE-A1FC2AB7BB63}" type="pres">
      <dgm:prSet presAssocID="{4549BC6C-00D2-4DA5-8F75-18F5E614752D}" presName="Name1" presStyleCnt="0"/>
      <dgm:spPr/>
    </dgm:pt>
    <dgm:pt modelId="{F0DB85AB-F5AB-4C4A-A18A-BF7EECFE1954}" type="pres">
      <dgm:prSet presAssocID="{4549BC6C-00D2-4DA5-8F75-18F5E614752D}" presName="cycle" presStyleCnt="0"/>
      <dgm:spPr/>
    </dgm:pt>
    <dgm:pt modelId="{15587E2B-8428-4B05-ADF7-39E671F84946}" type="pres">
      <dgm:prSet presAssocID="{4549BC6C-00D2-4DA5-8F75-18F5E614752D}" presName="srcNode" presStyleLbl="node1" presStyleIdx="0" presStyleCnt="5"/>
      <dgm:spPr/>
    </dgm:pt>
    <dgm:pt modelId="{43C7F779-B5E4-4720-8632-C92284A0FD98}" type="pres">
      <dgm:prSet presAssocID="{4549BC6C-00D2-4DA5-8F75-18F5E614752D}" presName="conn" presStyleLbl="parChTrans1D2" presStyleIdx="0" presStyleCnt="1"/>
      <dgm:spPr/>
    </dgm:pt>
    <dgm:pt modelId="{0042217D-77AD-45D5-A1E2-DFEE005501FC}" type="pres">
      <dgm:prSet presAssocID="{4549BC6C-00D2-4DA5-8F75-18F5E614752D}" presName="extraNode" presStyleLbl="node1" presStyleIdx="0" presStyleCnt="5"/>
      <dgm:spPr/>
    </dgm:pt>
    <dgm:pt modelId="{9EABA551-F4D6-422B-A64D-955508ACE412}" type="pres">
      <dgm:prSet presAssocID="{4549BC6C-00D2-4DA5-8F75-18F5E614752D}" presName="dstNode" presStyleLbl="node1" presStyleIdx="0" presStyleCnt="5"/>
      <dgm:spPr/>
    </dgm:pt>
    <dgm:pt modelId="{8EB36C12-7901-4D54-B205-642FB7769388}" type="pres">
      <dgm:prSet presAssocID="{F9359DDC-BFD4-489F-AA20-4FA42914D89E}" presName="text_1" presStyleLbl="node1" presStyleIdx="0" presStyleCnt="5">
        <dgm:presLayoutVars>
          <dgm:bulletEnabled val="1"/>
        </dgm:presLayoutVars>
      </dgm:prSet>
      <dgm:spPr/>
    </dgm:pt>
    <dgm:pt modelId="{B343437C-6194-478F-ABC4-8265CBB8BF01}" type="pres">
      <dgm:prSet presAssocID="{F9359DDC-BFD4-489F-AA20-4FA42914D89E}" presName="accent_1" presStyleCnt="0"/>
      <dgm:spPr/>
    </dgm:pt>
    <dgm:pt modelId="{DCD606AC-AA58-43E0-A382-5C4C76F86399}" type="pres">
      <dgm:prSet presAssocID="{F9359DDC-BFD4-489F-AA20-4FA42914D89E}" presName="accentRepeatNode" presStyleLbl="solidFgAcc1" presStyleIdx="0" presStyleCnt="5"/>
      <dgm:spPr/>
    </dgm:pt>
    <dgm:pt modelId="{C995A3F1-F006-41B5-9F3B-B1C8B538D4E4}" type="pres">
      <dgm:prSet presAssocID="{A3CBE85E-7016-434E-9DD3-F637480BFE4C}" presName="text_2" presStyleLbl="node1" presStyleIdx="1" presStyleCnt="5">
        <dgm:presLayoutVars>
          <dgm:bulletEnabled val="1"/>
        </dgm:presLayoutVars>
      </dgm:prSet>
      <dgm:spPr/>
    </dgm:pt>
    <dgm:pt modelId="{1C884C1A-C742-4582-9BB2-F587266569EB}" type="pres">
      <dgm:prSet presAssocID="{A3CBE85E-7016-434E-9DD3-F637480BFE4C}" presName="accent_2" presStyleCnt="0"/>
      <dgm:spPr/>
    </dgm:pt>
    <dgm:pt modelId="{9409DD71-89DD-4181-9EE4-1E250D9EEB20}" type="pres">
      <dgm:prSet presAssocID="{A3CBE85E-7016-434E-9DD3-F637480BFE4C}" presName="accentRepeatNode" presStyleLbl="solidFgAcc1" presStyleIdx="1" presStyleCnt="5"/>
      <dgm:spPr/>
    </dgm:pt>
    <dgm:pt modelId="{EF9A40EA-48CA-4CF6-A73B-625A8E0AFDA2}" type="pres">
      <dgm:prSet presAssocID="{D7C49828-EF00-4E48-BEE2-FF7B5602D307}" presName="text_3" presStyleLbl="node1" presStyleIdx="2" presStyleCnt="5">
        <dgm:presLayoutVars>
          <dgm:bulletEnabled val="1"/>
        </dgm:presLayoutVars>
      </dgm:prSet>
      <dgm:spPr/>
    </dgm:pt>
    <dgm:pt modelId="{F7D10106-1298-4802-BB51-E555CA40CEC2}" type="pres">
      <dgm:prSet presAssocID="{D7C49828-EF00-4E48-BEE2-FF7B5602D307}" presName="accent_3" presStyleCnt="0"/>
      <dgm:spPr/>
    </dgm:pt>
    <dgm:pt modelId="{A4454049-2AFA-4DAF-9B20-AF4EA6A0BB31}" type="pres">
      <dgm:prSet presAssocID="{D7C49828-EF00-4E48-BEE2-FF7B5602D307}" presName="accentRepeatNode" presStyleLbl="solidFgAcc1" presStyleIdx="2" presStyleCnt="5"/>
      <dgm:spPr/>
    </dgm:pt>
    <dgm:pt modelId="{A403B623-C04A-4F01-9FAF-C94321188854}" type="pres">
      <dgm:prSet presAssocID="{A1C7ECC0-E751-4FA5-97B7-D578D18BF0D8}" presName="text_4" presStyleLbl="node1" presStyleIdx="3" presStyleCnt="5">
        <dgm:presLayoutVars>
          <dgm:bulletEnabled val="1"/>
        </dgm:presLayoutVars>
      </dgm:prSet>
      <dgm:spPr/>
    </dgm:pt>
    <dgm:pt modelId="{575B1EAE-9887-4541-8C0C-0263DF92972E}" type="pres">
      <dgm:prSet presAssocID="{A1C7ECC0-E751-4FA5-97B7-D578D18BF0D8}" presName="accent_4" presStyleCnt="0"/>
      <dgm:spPr/>
    </dgm:pt>
    <dgm:pt modelId="{502A6729-CE11-417A-AC88-1B2F30D918A7}" type="pres">
      <dgm:prSet presAssocID="{A1C7ECC0-E751-4FA5-97B7-D578D18BF0D8}" presName="accentRepeatNode" presStyleLbl="solidFgAcc1" presStyleIdx="3" presStyleCnt="5"/>
      <dgm:spPr/>
    </dgm:pt>
    <dgm:pt modelId="{DF4D471F-663C-4161-94E0-E8DF87E4A90F}" type="pres">
      <dgm:prSet presAssocID="{5EB906EF-3E24-4CB6-AC5A-4A3C02CD006E}" presName="text_5" presStyleLbl="node1" presStyleIdx="4" presStyleCnt="5">
        <dgm:presLayoutVars>
          <dgm:bulletEnabled val="1"/>
        </dgm:presLayoutVars>
      </dgm:prSet>
      <dgm:spPr/>
    </dgm:pt>
    <dgm:pt modelId="{5885B017-A446-41D6-A8B5-11224AECE4F3}" type="pres">
      <dgm:prSet presAssocID="{5EB906EF-3E24-4CB6-AC5A-4A3C02CD006E}" presName="accent_5" presStyleCnt="0"/>
      <dgm:spPr/>
    </dgm:pt>
    <dgm:pt modelId="{AFADB471-2A41-4688-8E40-506BC99843FA}" type="pres">
      <dgm:prSet presAssocID="{5EB906EF-3E24-4CB6-AC5A-4A3C02CD006E}" presName="accentRepeatNode" presStyleLbl="solidFgAcc1" presStyleIdx="4" presStyleCnt="5"/>
      <dgm:spPr/>
    </dgm:pt>
  </dgm:ptLst>
  <dgm:cxnLst>
    <dgm:cxn modelId="{4E16760B-D32D-4ADA-A7D2-C2FAAD30240C}" srcId="{4549BC6C-00D2-4DA5-8F75-18F5E614752D}" destId="{5EB906EF-3E24-4CB6-AC5A-4A3C02CD006E}" srcOrd="4" destOrd="0" parTransId="{5F81CA01-2513-42C9-8A90-C0D5B29A4495}" sibTransId="{BBCC2E18-2D57-4D12-97C4-3A52FC141EA6}"/>
    <dgm:cxn modelId="{5B69B013-E4C1-49C8-81DA-30ABAD86C7C5}" type="presOf" srcId="{4549BC6C-00D2-4DA5-8F75-18F5E614752D}" destId="{C310DC18-3131-4CDF-B483-0C5AA4EF1412}" srcOrd="0" destOrd="0" presId="urn:microsoft.com/office/officeart/2008/layout/VerticalCurvedList"/>
    <dgm:cxn modelId="{65E7D221-D648-4FC1-A4A7-38474E13C170}" srcId="{4549BC6C-00D2-4DA5-8F75-18F5E614752D}" destId="{F9359DDC-BFD4-489F-AA20-4FA42914D89E}" srcOrd="0" destOrd="0" parTransId="{8B4A02A7-D351-424A-8CD1-4E2820B92A3E}" sibTransId="{294542C1-1A81-4AF0-B110-B149A09FE7C7}"/>
    <dgm:cxn modelId="{5E5A7624-6BB9-4D5A-BAC5-A500F5270CD7}" type="presOf" srcId="{294542C1-1A81-4AF0-B110-B149A09FE7C7}" destId="{43C7F779-B5E4-4720-8632-C92284A0FD98}" srcOrd="0" destOrd="0" presId="urn:microsoft.com/office/officeart/2008/layout/VerticalCurvedList"/>
    <dgm:cxn modelId="{C9CE0327-36A7-4EF6-94AB-F7FD5F49F241}" type="presOf" srcId="{A3CBE85E-7016-434E-9DD3-F637480BFE4C}" destId="{C995A3F1-F006-41B5-9F3B-B1C8B538D4E4}" srcOrd="0" destOrd="0" presId="urn:microsoft.com/office/officeart/2008/layout/VerticalCurvedList"/>
    <dgm:cxn modelId="{5673A32D-3D18-4AC1-BF17-2CAC18FC4225}" type="presOf" srcId="{D7C49828-EF00-4E48-BEE2-FF7B5602D307}" destId="{EF9A40EA-48CA-4CF6-A73B-625A8E0AFDA2}" srcOrd="0" destOrd="0" presId="urn:microsoft.com/office/officeart/2008/layout/VerticalCurvedList"/>
    <dgm:cxn modelId="{4A351F7D-3A0D-4A51-AE76-2C3E2456C69F}" srcId="{4549BC6C-00D2-4DA5-8F75-18F5E614752D}" destId="{D7C49828-EF00-4E48-BEE2-FF7B5602D307}" srcOrd="2" destOrd="0" parTransId="{7EB37C64-1196-46B8-9253-4D66CC6AE22C}" sibTransId="{DBD2D086-C581-4D6D-8242-CE6331720701}"/>
    <dgm:cxn modelId="{8B938885-9C10-4FB5-B726-6D90B86433C6}" type="presOf" srcId="{A1C7ECC0-E751-4FA5-97B7-D578D18BF0D8}" destId="{A403B623-C04A-4F01-9FAF-C94321188854}" srcOrd="0" destOrd="0" presId="urn:microsoft.com/office/officeart/2008/layout/VerticalCurvedList"/>
    <dgm:cxn modelId="{AA8836B2-CCAF-4E9F-93F7-86036B01602D}" type="presOf" srcId="{5EB906EF-3E24-4CB6-AC5A-4A3C02CD006E}" destId="{DF4D471F-663C-4161-94E0-E8DF87E4A90F}" srcOrd="0" destOrd="0" presId="urn:microsoft.com/office/officeart/2008/layout/VerticalCurvedList"/>
    <dgm:cxn modelId="{5A6A31CD-13CD-440C-B60C-110BC271DDA7}" srcId="{4549BC6C-00D2-4DA5-8F75-18F5E614752D}" destId="{A1C7ECC0-E751-4FA5-97B7-D578D18BF0D8}" srcOrd="3" destOrd="0" parTransId="{0E4D6677-FAEE-4C87-BB3A-4DCB4B646199}" sibTransId="{2DC113D4-B024-4208-842A-AF2B3380A611}"/>
    <dgm:cxn modelId="{C3B511D7-1BDF-4406-A932-D040130F4370}" srcId="{4549BC6C-00D2-4DA5-8F75-18F5E614752D}" destId="{A3CBE85E-7016-434E-9DD3-F637480BFE4C}" srcOrd="1" destOrd="0" parTransId="{D8F13CDA-DBFE-41B4-A85C-D6E4DD2AA1AE}" sibTransId="{B321A007-C6D8-410B-A50F-344CACB22C60}"/>
    <dgm:cxn modelId="{DF622CFA-DAD2-4F5C-94CE-60C04F8B1861}" type="presOf" srcId="{F9359DDC-BFD4-489F-AA20-4FA42914D89E}" destId="{8EB36C12-7901-4D54-B205-642FB7769388}" srcOrd="0" destOrd="0" presId="urn:microsoft.com/office/officeart/2008/layout/VerticalCurvedList"/>
    <dgm:cxn modelId="{F808AAC6-0448-4A06-9BBF-1CF69E384267}" type="presParOf" srcId="{C310DC18-3131-4CDF-B483-0C5AA4EF1412}" destId="{489A8004-F6A3-4304-92AE-A1FC2AB7BB63}" srcOrd="0" destOrd="0" presId="urn:microsoft.com/office/officeart/2008/layout/VerticalCurvedList"/>
    <dgm:cxn modelId="{C5F4DAAE-F9E2-411C-B276-8F8B1EE07CE2}" type="presParOf" srcId="{489A8004-F6A3-4304-92AE-A1FC2AB7BB63}" destId="{F0DB85AB-F5AB-4C4A-A18A-BF7EECFE1954}" srcOrd="0" destOrd="0" presId="urn:microsoft.com/office/officeart/2008/layout/VerticalCurvedList"/>
    <dgm:cxn modelId="{365EAA83-2CCD-42D9-835A-15E277582A21}" type="presParOf" srcId="{F0DB85AB-F5AB-4C4A-A18A-BF7EECFE1954}" destId="{15587E2B-8428-4B05-ADF7-39E671F84946}" srcOrd="0" destOrd="0" presId="urn:microsoft.com/office/officeart/2008/layout/VerticalCurvedList"/>
    <dgm:cxn modelId="{8767FD13-E277-499A-AB8D-F7A017676D88}" type="presParOf" srcId="{F0DB85AB-F5AB-4C4A-A18A-BF7EECFE1954}" destId="{43C7F779-B5E4-4720-8632-C92284A0FD98}" srcOrd="1" destOrd="0" presId="urn:microsoft.com/office/officeart/2008/layout/VerticalCurvedList"/>
    <dgm:cxn modelId="{F7906B4D-0FC3-44A5-9CE7-80414B2202D9}" type="presParOf" srcId="{F0DB85AB-F5AB-4C4A-A18A-BF7EECFE1954}" destId="{0042217D-77AD-45D5-A1E2-DFEE005501FC}" srcOrd="2" destOrd="0" presId="urn:microsoft.com/office/officeart/2008/layout/VerticalCurvedList"/>
    <dgm:cxn modelId="{6DDF7A37-32E5-49B0-B245-3B781B3B495C}" type="presParOf" srcId="{F0DB85AB-F5AB-4C4A-A18A-BF7EECFE1954}" destId="{9EABA551-F4D6-422B-A64D-955508ACE412}" srcOrd="3" destOrd="0" presId="urn:microsoft.com/office/officeart/2008/layout/VerticalCurvedList"/>
    <dgm:cxn modelId="{DCF27C52-6520-4491-9F56-A526F3CB9ADD}" type="presParOf" srcId="{489A8004-F6A3-4304-92AE-A1FC2AB7BB63}" destId="{8EB36C12-7901-4D54-B205-642FB7769388}" srcOrd="1" destOrd="0" presId="urn:microsoft.com/office/officeart/2008/layout/VerticalCurvedList"/>
    <dgm:cxn modelId="{6E9180D6-28E9-4973-B4D6-612CBAAAC6AE}" type="presParOf" srcId="{489A8004-F6A3-4304-92AE-A1FC2AB7BB63}" destId="{B343437C-6194-478F-ABC4-8265CBB8BF01}" srcOrd="2" destOrd="0" presId="urn:microsoft.com/office/officeart/2008/layout/VerticalCurvedList"/>
    <dgm:cxn modelId="{8081649B-A688-43E4-B904-9F6167C8E972}" type="presParOf" srcId="{B343437C-6194-478F-ABC4-8265CBB8BF01}" destId="{DCD606AC-AA58-43E0-A382-5C4C76F86399}" srcOrd="0" destOrd="0" presId="urn:microsoft.com/office/officeart/2008/layout/VerticalCurvedList"/>
    <dgm:cxn modelId="{0F511981-66E2-4015-A1E8-7AED3238079D}" type="presParOf" srcId="{489A8004-F6A3-4304-92AE-A1FC2AB7BB63}" destId="{C995A3F1-F006-41B5-9F3B-B1C8B538D4E4}" srcOrd="3" destOrd="0" presId="urn:microsoft.com/office/officeart/2008/layout/VerticalCurvedList"/>
    <dgm:cxn modelId="{FA39FDD8-8116-4DDD-AE57-7FACAB415C25}" type="presParOf" srcId="{489A8004-F6A3-4304-92AE-A1FC2AB7BB63}" destId="{1C884C1A-C742-4582-9BB2-F587266569EB}" srcOrd="4" destOrd="0" presId="urn:microsoft.com/office/officeart/2008/layout/VerticalCurvedList"/>
    <dgm:cxn modelId="{459FC692-2D8E-497C-A4F2-F9876B588A53}" type="presParOf" srcId="{1C884C1A-C742-4582-9BB2-F587266569EB}" destId="{9409DD71-89DD-4181-9EE4-1E250D9EEB20}" srcOrd="0" destOrd="0" presId="urn:microsoft.com/office/officeart/2008/layout/VerticalCurvedList"/>
    <dgm:cxn modelId="{6E5C1D5C-5208-4633-A752-7569EF47ABCC}" type="presParOf" srcId="{489A8004-F6A3-4304-92AE-A1FC2AB7BB63}" destId="{EF9A40EA-48CA-4CF6-A73B-625A8E0AFDA2}" srcOrd="5" destOrd="0" presId="urn:microsoft.com/office/officeart/2008/layout/VerticalCurvedList"/>
    <dgm:cxn modelId="{189BBE2B-2F1C-408B-AC7C-3CB672BD524F}" type="presParOf" srcId="{489A8004-F6A3-4304-92AE-A1FC2AB7BB63}" destId="{F7D10106-1298-4802-BB51-E555CA40CEC2}" srcOrd="6" destOrd="0" presId="urn:microsoft.com/office/officeart/2008/layout/VerticalCurvedList"/>
    <dgm:cxn modelId="{348C6D43-E0AD-4745-A187-CCAD9DAED0C5}" type="presParOf" srcId="{F7D10106-1298-4802-BB51-E555CA40CEC2}" destId="{A4454049-2AFA-4DAF-9B20-AF4EA6A0BB31}" srcOrd="0" destOrd="0" presId="urn:microsoft.com/office/officeart/2008/layout/VerticalCurvedList"/>
    <dgm:cxn modelId="{1CDFD5A1-DEB3-4DF5-BA07-AE91348CE0FF}" type="presParOf" srcId="{489A8004-F6A3-4304-92AE-A1FC2AB7BB63}" destId="{A403B623-C04A-4F01-9FAF-C94321188854}" srcOrd="7" destOrd="0" presId="urn:microsoft.com/office/officeart/2008/layout/VerticalCurvedList"/>
    <dgm:cxn modelId="{02A7310F-EB8B-44F7-A362-AFEA0D349CCB}" type="presParOf" srcId="{489A8004-F6A3-4304-92AE-A1FC2AB7BB63}" destId="{575B1EAE-9887-4541-8C0C-0263DF92972E}" srcOrd="8" destOrd="0" presId="urn:microsoft.com/office/officeart/2008/layout/VerticalCurvedList"/>
    <dgm:cxn modelId="{32D01125-630F-462B-AE7D-7BA2D5C27916}" type="presParOf" srcId="{575B1EAE-9887-4541-8C0C-0263DF92972E}" destId="{502A6729-CE11-417A-AC88-1B2F30D918A7}" srcOrd="0" destOrd="0" presId="urn:microsoft.com/office/officeart/2008/layout/VerticalCurvedList"/>
    <dgm:cxn modelId="{D504B1D7-E667-4CED-9E79-FCB5AECAB5CB}" type="presParOf" srcId="{489A8004-F6A3-4304-92AE-A1FC2AB7BB63}" destId="{DF4D471F-663C-4161-94E0-E8DF87E4A90F}" srcOrd="9" destOrd="0" presId="urn:microsoft.com/office/officeart/2008/layout/VerticalCurvedList"/>
    <dgm:cxn modelId="{D598DF2F-B2E7-4D2B-8B3C-185F4E287233}" type="presParOf" srcId="{489A8004-F6A3-4304-92AE-A1FC2AB7BB63}" destId="{5885B017-A446-41D6-A8B5-11224AECE4F3}" srcOrd="10" destOrd="0" presId="urn:microsoft.com/office/officeart/2008/layout/VerticalCurvedList"/>
    <dgm:cxn modelId="{6877EB41-8D40-4A3F-8B9D-F1E0A66FF2E2}" type="presParOf" srcId="{5885B017-A446-41D6-A8B5-11224AECE4F3}" destId="{AFADB471-2A41-4688-8E40-506BC99843FA}" srcOrd="0" destOrd="0" presId="urn:microsoft.com/office/officeart/2008/layout/VerticalCurvedList"/>
  </dgm:cxnLst>
  <dgm:bg>
    <a:solidFill>
      <a:schemeClr val="accent2"/>
    </a:solidFill>
  </dgm:bg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DCDCF576-66FC-4BE7-B6CA-237F9F1488F1}" type="doc">
      <dgm:prSet loTypeId="urn:microsoft.com/office/officeart/2005/8/layout/default" loCatId="list" qsTypeId="urn:microsoft.com/office/officeart/2005/8/quickstyle/3d3#4" qsCatId="3D" csTypeId="urn:microsoft.com/office/officeart/2005/8/colors/accent1_2#3" csCatId="accent1" phldr="1"/>
      <dgm:spPr/>
    </dgm:pt>
    <dgm:pt modelId="{978625B5-13AD-4923-ABB4-88331172DBD7}">
      <dgm:prSet phldrT="[Text]"/>
      <dgm:spPr/>
      <dgm:t>
        <a:bodyPr/>
        <a:lstStyle/>
        <a:p>
          <a:r>
            <a:rPr lang="en-GB" b="1"/>
            <a:t>PAYMENT VOUCHERS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 tooltip="PAYMENT VOUCHERS"/>
          </dgm14:cNvPr>
        </a:ext>
      </dgm:extLst>
    </dgm:pt>
    <dgm:pt modelId="{42D8C0AE-DC31-4166-AF4E-E35677242B78}" type="parTrans" cxnId="{DAB120FE-1C74-45D5-935E-8EF57E8C8CC9}">
      <dgm:prSet/>
      <dgm:spPr/>
      <dgm:t>
        <a:bodyPr/>
        <a:lstStyle/>
        <a:p>
          <a:endParaRPr lang="en-US"/>
        </a:p>
      </dgm:t>
    </dgm:pt>
    <dgm:pt modelId="{09467EF8-B0E3-45BF-AC3F-F8681652E2F4}" type="sibTrans" cxnId="{DAB120FE-1C74-45D5-935E-8EF57E8C8CC9}">
      <dgm:prSet/>
      <dgm:spPr/>
      <dgm:t>
        <a:bodyPr/>
        <a:lstStyle/>
        <a:p>
          <a:endParaRPr lang="en-US"/>
        </a:p>
      </dgm:t>
    </dgm:pt>
    <dgm:pt modelId="{AF190476-3D4B-4006-AAAD-C301E79997E9}">
      <dgm:prSet phldrT="[Text]"/>
      <dgm:spPr/>
      <dgm:t>
        <a:bodyPr/>
        <a:lstStyle/>
        <a:p>
          <a:r>
            <a:rPr lang="en-GB" b="1"/>
            <a:t>PETTY CASH ACCOUNT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 tooltip="PETTY CASH ACCOUNT"/>
          </dgm14:cNvPr>
        </a:ext>
      </dgm:extLst>
    </dgm:pt>
    <dgm:pt modelId="{386363E6-F411-4AA5-BC92-C0067C9AE4C9}" type="parTrans" cxnId="{30ED24BA-67C7-41D6-92D5-D9E33989DB8D}">
      <dgm:prSet/>
      <dgm:spPr/>
      <dgm:t>
        <a:bodyPr/>
        <a:lstStyle/>
        <a:p>
          <a:endParaRPr lang="en-US"/>
        </a:p>
      </dgm:t>
    </dgm:pt>
    <dgm:pt modelId="{A8389D3D-1F2D-459F-B1E9-468814F88DBB}" type="sibTrans" cxnId="{30ED24BA-67C7-41D6-92D5-D9E33989DB8D}">
      <dgm:prSet/>
      <dgm:spPr/>
      <dgm:t>
        <a:bodyPr/>
        <a:lstStyle/>
        <a:p>
          <a:endParaRPr lang="en-US"/>
        </a:p>
      </dgm:t>
    </dgm:pt>
    <dgm:pt modelId="{7839ED40-0477-4C33-B97D-3884FF7529CB}">
      <dgm:prSet phldrT="[Text]"/>
      <dgm:spPr/>
      <dgm:t>
        <a:bodyPr/>
        <a:lstStyle/>
        <a:p>
          <a:r>
            <a:rPr lang="en-GB" b="1"/>
            <a:t>MTN MOMO ACCOUNT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 tooltip="MTN MOMO ACCOUNT"/>
          </dgm14:cNvPr>
        </a:ext>
      </dgm:extLst>
    </dgm:pt>
    <dgm:pt modelId="{A2BB524E-E697-4FC1-AE10-BF92A2955A31}" type="parTrans" cxnId="{1C3B8536-B353-4657-88B3-AD53EC61718C}">
      <dgm:prSet/>
      <dgm:spPr/>
      <dgm:t>
        <a:bodyPr/>
        <a:lstStyle/>
        <a:p>
          <a:endParaRPr lang="en-US"/>
        </a:p>
      </dgm:t>
    </dgm:pt>
    <dgm:pt modelId="{061A8B77-1BA3-405B-A2B1-291AA04FC396}" type="sibTrans" cxnId="{1C3B8536-B353-4657-88B3-AD53EC61718C}">
      <dgm:prSet/>
      <dgm:spPr/>
      <dgm:t>
        <a:bodyPr/>
        <a:lstStyle/>
        <a:p>
          <a:endParaRPr lang="en-US"/>
        </a:p>
      </dgm:t>
    </dgm:pt>
    <dgm:pt modelId="{800F0E04-8566-4C11-A453-55909520420C}">
      <dgm:prSet phldrT="[Text]"/>
      <dgm:spPr/>
      <dgm:t>
        <a:bodyPr/>
        <a:lstStyle/>
        <a:p>
          <a:r>
            <a:rPr lang="en-GB" b="1"/>
            <a:t>FIDELITY BANK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 tooltip="FIDELITY BANK"/>
          </dgm14:cNvPr>
        </a:ext>
      </dgm:extLst>
    </dgm:pt>
    <dgm:pt modelId="{F46B040D-E78E-4A50-8AEF-3046E512E80A}" type="parTrans" cxnId="{E5D5FA49-34AE-4130-8DA0-EC5D5AEFFD28}">
      <dgm:prSet/>
      <dgm:spPr/>
      <dgm:t>
        <a:bodyPr/>
        <a:lstStyle/>
        <a:p>
          <a:endParaRPr lang="en-US"/>
        </a:p>
      </dgm:t>
    </dgm:pt>
    <dgm:pt modelId="{73E223D6-5CDE-45F6-A582-7AC11D3D0C00}" type="sibTrans" cxnId="{E5D5FA49-34AE-4130-8DA0-EC5D5AEFFD28}">
      <dgm:prSet/>
      <dgm:spPr/>
      <dgm:t>
        <a:bodyPr/>
        <a:lstStyle/>
        <a:p>
          <a:endParaRPr lang="en-US"/>
        </a:p>
      </dgm:t>
    </dgm:pt>
    <dgm:pt modelId="{20239F2D-9D16-4792-B1B8-60A8CD7D9D7E}">
      <dgm:prSet phldrT="[Text]"/>
      <dgm:spPr/>
      <dgm:t>
        <a:bodyPr/>
        <a:lstStyle/>
        <a:p>
          <a:r>
            <a:rPr lang="en-GB" b="1"/>
            <a:t>TRAIL BALANCE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 tooltip="TRAIL BALANCE"/>
          </dgm14:cNvPr>
        </a:ext>
      </dgm:extLst>
    </dgm:pt>
    <dgm:pt modelId="{F52221DF-0FEB-4744-B696-770D780BB76F}" type="parTrans" cxnId="{0BB48D97-3B14-4837-BF6C-28FE2916BC50}">
      <dgm:prSet/>
      <dgm:spPr/>
      <dgm:t>
        <a:bodyPr/>
        <a:lstStyle/>
        <a:p>
          <a:endParaRPr lang="en-US"/>
        </a:p>
      </dgm:t>
    </dgm:pt>
    <dgm:pt modelId="{384F6F71-8848-4398-925E-28140BDB5013}" type="sibTrans" cxnId="{0BB48D97-3B14-4837-BF6C-28FE2916BC50}">
      <dgm:prSet/>
      <dgm:spPr/>
      <dgm:t>
        <a:bodyPr/>
        <a:lstStyle/>
        <a:p>
          <a:endParaRPr lang="en-US"/>
        </a:p>
      </dgm:t>
    </dgm:pt>
    <dgm:pt modelId="{E94F8650-8AC8-4A28-9FAB-B034B2AD6E61}">
      <dgm:prSet phldrT="[Text]"/>
      <dgm:spPr/>
      <dgm:t>
        <a:bodyPr/>
        <a:lstStyle/>
        <a:p>
          <a:r>
            <a:rPr lang="en-GB" b="1"/>
            <a:t>BANK ACCOUNTS TEMA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6" tooltip="BANK ACCOUNTS TEMA"/>
          </dgm14:cNvPr>
        </a:ext>
      </dgm:extLst>
    </dgm:pt>
    <dgm:pt modelId="{73013949-DA2B-4261-AB4C-06183F855506}" type="parTrans" cxnId="{51F504D8-A1F2-47FF-BA63-79D1EB6C1B37}">
      <dgm:prSet/>
      <dgm:spPr/>
      <dgm:t>
        <a:bodyPr/>
        <a:lstStyle/>
        <a:p>
          <a:endParaRPr lang="en-US"/>
        </a:p>
      </dgm:t>
    </dgm:pt>
    <dgm:pt modelId="{D3A14709-593F-4E61-958A-45875E59B124}" type="sibTrans" cxnId="{51F504D8-A1F2-47FF-BA63-79D1EB6C1B37}">
      <dgm:prSet/>
      <dgm:spPr/>
      <dgm:t>
        <a:bodyPr/>
        <a:lstStyle/>
        <a:p>
          <a:endParaRPr lang="en-US"/>
        </a:p>
      </dgm:t>
    </dgm:pt>
    <dgm:pt modelId="{CA9DB75D-81EF-4BB4-AD3A-E90D9D532B7E}">
      <dgm:prSet phldrT="[Text]"/>
      <dgm:spPr/>
      <dgm:t>
        <a:bodyPr/>
        <a:lstStyle/>
        <a:p>
          <a:r>
            <a:rPr lang="en-US" b="1"/>
            <a:t>CHECK YOUR LEVY BALANCE</a:t>
          </a:r>
          <a:endParaRPr lang="en-GB" b="1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7" tooltip="CHECK YOUR LEVY BALANCE"/>
          </dgm14:cNvPr>
        </a:ext>
      </dgm:extLst>
    </dgm:pt>
    <dgm:pt modelId="{5318BFB6-E53A-4260-B8FE-9C306B038450}" type="parTrans" cxnId="{1EE291FC-070D-4D70-A167-78A25A633A1F}">
      <dgm:prSet/>
      <dgm:spPr/>
      <dgm:t>
        <a:bodyPr/>
        <a:lstStyle/>
        <a:p>
          <a:endParaRPr lang="en-US"/>
        </a:p>
      </dgm:t>
    </dgm:pt>
    <dgm:pt modelId="{8832DF68-6AEC-4E4E-A7D0-6F072CECAA25}" type="sibTrans" cxnId="{1EE291FC-070D-4D70-A167-78A25A633A1F}">
      <dgm:prSet/>
      <dgm:spPr/>
      <dgm:t>
        <a:bodyPr/>
        <a:lstStyle/>
        <a:p>
          <a:endParaRPr lang="en-US"/>
        </a:p>
      </dgm:t>
    </dgm:pt>
    <dgm:pt modelId="{4E2F8BA0-A27B-497F-9D47-1EF28DA12290}">
      <dgm:prSet phldrT="[Text]"/>
      <dgm:spPr/>
      <dgm:t>
        <a:bodyPr/>
        <a:lstStyle/>
        <a:p>
          <a:r>
            <a:rPr lang="en-US" b="1"/>
            <a:t>CHECK YOUR DUES BALANCE</a:t>
          </a:r>
          <a:endParaRPr lang="en-GB" b="1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8" tooltip="CHECK ALL PAYMENTS"/>
          </dgm14:cNvPr>
        </a:ext>
      </dgm:extLst>
    </dgm:pt>
    <dgm:pt modelId="{E3096767-321D-4C5D-BF86-838EE0B98CA9}" type="parTrans" cxnId="{773229BF-0BBB-46FA-B89F-2E54C32B8660}">
      <dgm:prSet/>
      <dgm:spPr/>
      <dgm:t>
        <a:bodyPr/>
        <a:lstStyle/>
        <a:p>
          <a:endParaRPr lang="en-US"/>
        </a:p>
      </dgm:t>
    </dgm:pt>
    <dgm:pt modelId="{9FD75E8F-144F-402D-927F-589F413CA73E}" type="sibTrans" cxnId="{773229BF-0BBB-46FA-B89F-2E54C32B8660}">
      <dgm:prSet/>
      <dgm:spPr/>
      <dgm:t>
        <a:bodyPr/>
        <a:lstStyle/>
        <a:p>
          <a:endParaRPr lang="en-US"/>
        </a:p>
      </dgm:t>
    </dgm:pt>
    <dgm:pt modelId="{2CEF88A8-2281-49A8-AC15-DE0B3B8C00FC}">
      <dgm:prSet phldrT="[Text]"/>
      <dgm:spPr/>
      <dgm:t>
        <a:bodyPr/>
        <a:lstStyle/>
        <a:p>
          <a:r>
            <a:rPr lang="en-GB" b="1"/>
            <a:t>MEMBERS SHARES DEVIDENT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9" tooltip="MEMBERS SHARES DEVIDENT"/>
          </dgm14:cNvPr>
        </a:ext>
      </dgm:extLst>
    </dgm:pt>
    <dgm:pt modelId="{92DFB14A-202E-498B-A4F4-AE12C296489F}" type="parTrans" cxnId="{F26C8C93-356A-4FA6-B5E2-217AF1598910}">
      <dgm:prSet/>
      <dgm:spPr/>
      <dgm:t>
        <a:bodyPr/>
        <a:lstStyle/>
        <a:p>
          <a:endParaRPr lang="en-US"/>
        </a:p>
      </dgm:t>
    </dgm:pt>
    <dgm:pt modelId="{E469FE71-B61C-48BF-9505-27B2A02469E1}" type="sibTrans" cxnId="{F26C8C93-356A-4FA6-B5E2-217AF1598910}">
      <dgm:prSet/>
      <dgm:spPr/>
      <dgm:t>
        <a:bodyPr/>
        <a:lstStyle/>
        <a:p>
          <a:endParaRPr lang="en-US"/>
        </a:p>
      </dgm:t>
    </dgm:pt>
    <dgm:pt modelId="{F74AE149-5B1F-4C42-B4FA-4A22E367BF79}" type="pres">
      <dgm:prSet presAssocID="{DCDCF576-66FC-4BE7-B6CA-237F9F1488F1}" presName="diagram" presStyleCnt="0">
        <dgm:presLayoutVars>
          <dgm:dir/>
          <dgm:resizeHandles val="exact"/>
        </dgm:presLayoutVars>
      </dgm:prSet>
      <dgm:spPr/>
    </dgm:pt>
    <dgm:pt modelId="{E4230B28-1BA6-4B75-AE38-6431F1A75F73}" type="pres">
      <dgm:prSet presAssocID="{7839ED40-0477-4C33-B97D-3884FF7529CB}" presName="node" presStyleLbl="node1" presStyleIdx="0" presStyleCnt="9">
        <dgm:presLayoutVars>
          <dgm:bulletEnabled val="1"/>
        </dgm:presLayoutVars>
      </dgm:prSet>
      <dgm:spPr/>
    </dgm:pt>
    <dgm:pt modelId="{B20F78FF-B1F7-4D26-B7B7-4C2C23AA867D}" type="pres">
      <dgm:prSet presAssocID="{061A8B77-1BA3-405B-A2B1-291AA04FC396}" presName="sibTrans" presStyleCnt="0"/>
      <dgm:spPr/>
    </dgm:pt>
    <dgm:pt modelId="{1C65CAA6-080C-4A73-BE97-AA0DAB3BCD22}" type="pres">
      <dgm:prSet presAssocID="{978625B5-13AD-4923-ABB4-88331172DBD7}" presName="node" presStyleLbl="node1" presStyleIdx="1" presStyleCnt="9">
        <dgm:presLayoutVars>
          <dgm:bulletEnabled val="1"/>
        </dgm:presLayoutVars>
      </dgm:prSet>
      <dgm:spPr/>
    </dgm:pt>
    <dgm:pt modelId="{11CA78C4-327F-4222-92E8-302D44E1915E}" type="pres">
      <dgm:prSet presAssocID="{09467EF8-B0E3-45BF-AC3F-F8681652E2F4}" presName="sibTrans" presStyleCnt="0"/>
      <dgm:spPr/>
    </dgm:pt>
    <dgm:pt modelId="{510A3C40-B28B-4368-B709-CF03FA875904}" type="pres">
      <dgm:prSet presAssocID="{AF190476-3D4B-4006-AAAD-C301E79997E9}" presName="node" presStyleLbl="node1" presStyleIdx="2" presStyleCnt="9">
        <dgm:presLayoutVars>
          <dgm:bulletEnabled val="1"/>
        </dgm:presLayoutVars>
      </dgm:prSet>
      <dgm:spPr/>
    </dgm:pt>
    <dgm:pt modelId="{61F57325-67A3-4764-B553-1B316266968D}" type="pres">
      <dgm:prSet presAssocID="{A8389D3D-1F2D-459F-B1E9-468814F88DBB}" presName="sibTrans" presStyleCnt="0"/>
      <dgm:spPr/>
    </dgm:pt>
    <dgm:pt modelId="{83140651-018F-43C9-A77E-ACCF53E432CD}" type="pres">
      <dgm:prSet presAssocID="{20239F2D-9D16-4792-B1B8-60A8CD7D9D7E}" presName="node" presStyleLbl="node1" presStyleIdx="3" presStyleCnt="9">
        <dgm:presLayoutVars>
          <dgm:bulletEnabled val="1"/>
        </dgm:presLayoutVars>
      </dgm:prSet>
      <dgm:spPr/>
    </dgm:pt>
    <dgm:pt modelId="{90CFC238-CD82-4E56-8B2D-C84A5AADC74F}" type="pres">
      <dgm:prSet presAssocID="{384F6F71-8848-4398-925E-28140BDB5013}" presName="sibTrans" presStyleCnt="0"/>
      <dgm:spPr/>
    </dgm:pt>
    <dgm:pt modelId="{B550D769-C118-4604-A3A3-2B1DA957F664}" type="pres">
      <dgm:prSet presAssocID="{800F0E04-8566-4C11-A453-55909520420C}" presName="node" presStyleLbl="node1" presStyleIdx="4" presStyleCnt="9">
        <dgm:presLayoutVars>
          <dgm:bulletEnabled val="1"/>
        </dgm:presLayoutVars>
      </dgm:prSet>
      <dgm:spPr/>
    </dgm:pt>
    <dgm:pt modelId="{7362AB51-A6A9-4669-B163-7147A2272425}" type="pres">
      <dgm:prSet presAssocID="{73E223D6-5CDE-45F6-A582-7AC11D3D0C00}" presName="sibTrans" presStyleCnt="0"/>
      <dgm:spPr/>
    </dgm:pt>
    <dgm:pt modelId="{3F485B3B-6292-49D9-A836-7025453AF6EB}" type="pres">
      <dgm:prSet presAssocID="{E94F8650-8AC8-4A28-9FAB-B034B2AD6E61}" presName="node" presStyleLbl="node1" presStyleIdx="5" presStyleCnt="9">
        <dgm:presLayoutVars>
          <dgm:bulletEnabled val="1"/>
        </dgm:presLayoutVars>
      </dgm:prSet>
      <dgm:spPr/>
    </dgm:pt>
    <dgm:pt modelId="{325C6EFA-23FA-4A88-8BE7-EBC5AAE3475F}" type="pres">
      <dgm:prSet presAssocID="{D3A14709-593F-4E61-958A-45875E59B124}" presName="sibTrans" presStyleCnt="0"/>
      <dgm:spPr/>
    </dgm:pt>
    <dgm:pt modelId="{98AAC812-8ED7-4053-8ED5-C01B6957C95C}" type="pres">
      <dgm:prSet presAssocID="{4E2F8BA0-A27B-497F-9D47-1EF28DA12290}" presName="node" presStyleLbl="node1" presStyleIdx="6" presStyleCnt="9">
        <dgm:presLayoutVars>
          <dgm:bulletEnabled val="1"/>
        </dgm:presLayoutVars>
      </dgm:prSet>
      <dgm:spPr/>
    </dgm:pt>
    <dgm:pt modelId="{C4E1FE27-B1AB-48D4-B974-820FE8B081F3}" type="pres">
      <dgm:prSet presAssocID="{9FD75E8F-144F-402D-927F-589F413CA73E}" presName="sibTrans" presStyleCnt="0"/>
      <dgm:spPr/>
    </dgm:pt>
    <dgm:pt modelId="{AC1E4B10-FC37-4B33-9EF6-B2385672329E}" type="pres">
      <dgm:prSet presAssocID="{CA9DB75D-81EF-4BB4-AD3A-E90D9D532B7E}" presName="node" presStyleLbl="node1" presStyleIdx="7" presStyleCnt="9">
        <dgm:presLayoutVars>
          <dgm:bulletEnabled val="1"/>
        </dgm:presLayoutVars>
      </dgm:prSet>
      <dgm:spPr/>
    </dgm:pt>
    <dgm:pt modelId="{85E550D3-E143-4566-B1AF-1DFE07A34068}" type="pres">
      <dgm:prSet presAssocID="{8832DF68-6AEC-4E4E-A7D0-6F072CECAA25}" presName="sibTrans" presStyleCnt="0"/>
      <dgm:spPr/>
    </dgm:pt>
    <dgm:pt modelId="{9AB67004-A097-4EDA-B45B-86F2D1A9EE84}" type="pres">
      <dgm:prSet presAssocID="{2CEF88A8-2281-49A8-AC15-DE0B3B8C00FC}" presName="node" presStyleLbl="node1" presStyleIdx="8" presStyleCnt="9">
        <dgm:presLayoutVars>
          <dgm:bulletEnabled val="1"/>
        </dgm:presLayoutVars>
      </dgm:prSet>
      <dgm:spPr/>
    </dgm:pt>
  </dgm:ptLst>
  <dgm:cxnLst>
    <dgm:cxn modelId="{E74D0D1E-EC52-4637-9343-5CFC12510156}" type="presOf" srcId="{20239F2D-9D16-4792-B1B8-60A8CD7D9D7E}" destId="{83140651-018F-43C9-A77E-ACCF53E432CD}" srcOrd="0" destOrd="0" presId="urn:microsoft.com/office/officeart/2005/8/layout/default"/>
    <dgm:cxn modelId="{CCD1E524-B8D8-4B32-86F7-8FD2C2C4D441}" type="presOf" srcId="{CA9DB75D-81EF-4BB4-AD3A-E90D9D532B7E}" destId="{AC1E4B10-FC37-4B33-9EF6-B2385672329E}" srcOrd="0" destOrd="0" presId="urn:microsoft.com/office/officeart/2005/8/layout/default"/>
    <dgm:cxn modelId="{E3E82C27-DB0D-4915-9CE8-47D2261904CE}" type="presOf" srcId="{E94F8650-8AC8-4A28-9FAB-B034B2AD6E61}" destId="{3F485B3B-6292-49D9-A836-7025453AF6EB}" srcOrd="0" destOrd="0" presId="urn:microsoft.com/office/officeart/2005/8/layout/default"/>
    <dgm:cxn modelId="{1C3B8536-B353-4657-88B3-AD53EC61718C}" srcId="{DCDCF576-66FC-4BE7-B6CA-237F9F1488F1}" destId="{7839ED40-0477-4C33-B97D-3884FF7529CB}" srcOrd="0" destOrd="0" parTransId="{A2BB524E-E697-4FC1-AE10-BF92A2955A31}" sibTransId="{061A8B77-1BA3-405B-A2B1-291AA04FC396}"/>
    <dgm:cxn modelId="{1844DA68-CA43-4AB4-8170-E9169EEA9A2C}" type="presOf" srcId="{2CEF88A8-2281-49A8-AC15-DE0B3B8C00FC}" destId="{9AB67004-A097-4EDA-B45B-86F2D1A9EE84}" srcOrd="0" destOrd="0" presId="urn:microsoft.com/office/officeart/2005/8/layout/default"/>
    <dgm:cxn modelId="{E5D5FA49-34AE-4130-8DA0-EC5D5AEFFD28}" srcId="{DCDCF576-66FC-4BE7-B6CA-237F9F1488F1}" destId="{800F0E04-8566-4C11-A453-55909520420C}" srcOrd="4" destOrd="0" parTransId="{F46B040D-E78E-4A50-8AEF-3046E512E80A}" sibTransId="{73E223D6-5CDE-45F6-A582-7AC11D3D0C00}"/>
    <dgm:cxn modelId="{B1260C82-3207-4D7C-A182-3F98D2083FA3}" type="presOf" srcId="{800F0E04-8566-4C11-A453-55909520420C}" destId="{B550D769-C118-4604-A3A3-2B1DA957F664}" srcOrd="0" destOrd="0" presId="urn:microsoft.com/office/officeart/2005/8/layout/default"/>
    <dgm:cxn modelId="{F26C8C93-356A-4FA6-B5E2-217AF1598910}" srcId="{DCDCF576-66FC-4BE7-B6CA-237F9F1488F1}" destId="{2CEF88A8-2281-49A8-AC15-DE0B3B8C00FC}" srcOrd="8" destOrd="0" parTransId="{92DFB14A-202E-498B-A4F4-AE12C296489F}" sibTransId="{E469FE71-B61C-48BF-9505-27B2A02469E1}"/>
    <dgm:cxn modelId="{0BB48D97-3B14-4837-BF6C-28FE2916BC50}" srcId="{DCDCF576-66FC-4BE7-B6CA-237F9F1488F1}" destId="{20239F2D-9D16-4792-B1B8-60A8CD7D9D7E}" srcOrd="3" destOrd="0" parTransId="{F52221DF-0FEB-4744-B696-770D780BB76F}" sibTransId="{384F6F71-8848-4398-925E-28140BDB5013}"/>
    <dgm:cxn modelId="{A35418A7-F4CE-4CF4-BAB1-1B9B10C583DB}" type="presOf" srcId="{4E2F8BA0-A27B-497F-9D47-1EF28DA12290}" destId="{98AAC812-8ED7-4053-8ED5-C01B6957C95C}" srcOrd="0" destOrd="0" presId="urn:microsoft.com/office/officeart/2005/8/layout/default"/>
    <dgm:cxn modelId="{B8D5D1AB-D9B0-4E83-96BA-E73423F8B645}" type="presOf" srcId="{978625B5-13AD-4923-ABB4-88331172DBD7}" destId="{1C65CAA6-080C-4A73-BE97-AA0DAB3BCD22}" srcOrd="0" destOrd="0" presId="urn:microsoft.com/office/officeart/2005/8/layout/default"/>
    <dgm:cxn modelId="{D1CC5DAF-0888-4CC5-AB88-E7F4DC7B6C6A}" type="presOf" srcId="{DCDCF576-66FC-4BE7-B6CA-237F9F1488F1}" destId="{F74AE149-5B1F-4C42-B4FA-4A22E367BF79}" srcOrd="0" destOrd="0" presId="urn:microsoft.com/office/officeart/2005/8/layout/default"/>
    <dgm:cxn modelId="{30ED24BA-67C7-41D6-92D5-D9E33989DB8D}" srcId="{DCDCF576-66FC-4BE7-B6CA-237F9F1488F1}" destId="{AF190476-3D4B-4006-AAAD-C301E79997E9}" srcOrd="2" destOrd="0" parTransId="{386363E6-F411-4AA5-BC92-C0067C9AE4C9}" sibTransId="{A8389D3D-1F2D-459F-B1E9-468814F88DBB}"/>
    <dgm:cxn modelId="{773229BF-0BBB-46FA-B89F-2E54C32B8660}" srcId="{DCDCF576-66FC-4BE7-B6CA-237F9F1488F1}" destId="{4E2F8BA0-A27B-497F-9D47-1EF28DA12290}" srcOrd="6" destOrd="0" parTransId="{E3096767-321D-4C5D-BF86-838EE0B98CA9}" sibTransId="{9FD75E8F-144F-402D-927F-589F413CA73E}"/>
    <dgm:cxn modelId="{433C7CC2-4782-4145-B32C-2638DF7014C1}" type="presOf" srcId="{7839ED40-0477-4C33-B97D-3884FF7529CB}" destId="{E4230B28-1BA6-4B75-AE38-6431F1A75F73}" srcOrd="0" destOrd="0" presId="urn:microsoft.com/office/officeart/2005/8/layout/default"/>
    <dgm:cxn modelId="{9B4466D3-BEC0-4FAB-B9BE-CD53A5FA0FB0}" type="presOf" srcId="{AF190476-3D4B-4006-AAAD-C301E79997E9}" destId="{510A3C40-B28B-4368-B709-CF03FA875904}" srcOrd="0" destOrd="0" presId="urn:microsoft.com/office/officeart/2005/8/layout/default"/>
    <dgm:cxn modelId="{51F504D8-A1F2-47FF-BA63-79D1EB6C1B37}" srcId="{DCDCF576-66FC-4BE7-B6CA-237F9F1488F1}" destId="{E94F8650-8AC8-4A28-9FAB-B034B2AD6E61}" srcOrd="5" destOrd="0" parTransId="{73013949-DA2B-4261-AB4C-06183F855506}" sibTransId="{D3A14709-593F-4E61-958A-45875E59B124}"/>
    <dgm:cxn modelId="{1EE291FC-070D-4D70-A167-78A25A633A1F}" srcId="{DCDCF576-66FC-4BE7-B6CA-237F9F1488F1}" destId="{CA9DB75D-81EF-4BB4-AD3A-E90D9D532B7E}" srcOrd="7" destOrd="0" parTransId="{5318BFB6-E53A-4260-B8FE-9C306B038450}" sibTransId="{8832DF68-6AEC-4E4E-A7D0-6F072CECAA25}"/>
    <dgm:cxn modelId="{DAB120FE-1C74-45D5-935E-8EF57E8C8CC9}" srcId="{DCDCF576-66FC-4BE7-B6CA-237F9F1488F1}" destId="{978625B5-13AD-4923-ABB4-88331172DBD7}" srcOrd="1" destOrd="0" parTransId="{42D8C0AE-DC31-4166-AF4E-E35677242B78}" sibTransId="{09467EF8-B0E3-45BF-AC3F-F8681652E2F4}"/>
    <dgm:cxn modelId="{B053411E-D870-4B1F-8B7B-F2E9614F434D}" type="presParOf" srcId="{F74AE149-5B1F-4C42-B4FA-4A22E367BF79}" destId="{E4230B28-1BA6-4B75-AE38-6431F1A75F73}" srcOrd="0" destOrd="0" presId="urn:microsoft.com/office/officeart/2005/8/layout/default"/>
    <dgm:cxn modelId="{9CBDADE4-29AC-4FB7-9E62-81173894135E}" type="presParOf" srcId="{F74AE149-5B1F-4C42-B4FA-4A22E367BF79}" destId="{B20F78FF-B1F7-4D26-B7B7-4C2C23AA867D}" srcOrd="1" destOrd="0" presId="urn:microsoft.com/office/officeart/2005/8/layout/default"/>
    <dgm:cxn modelId="{82D10FFD-43C3-485F-BE7C-F3B03E35EC00}" type="presParOf" srcId="{F74AE149-5B1F-4C42-B4FA-4A22E367BF79}" destId="{1C65CAA6-080C-4A73-BE97-AA0DAB3BCD22}" srcOrd="2" destOrd="0" presId="urn:microsoft.com/office/officeart/2005/8/layout/default"/>
    <dgm:cxn modelId="{D855C55B-8C9E-41F0-9ABF-F5C32487049F}" type="presParOf" srcId="{F74AE149-5B1F-4C42-B4FA-4A22E367BF79}" destId="{11CA78C4-327F-4222-92E8-302D44E1915E}" srcOrd="3" destOrd="0" presId="urn:microsoft.com/office/officeart/2005/8/layout/default"/>
    <dgm:cxn modelId="{EAC0D751-90B8-486C-8A1E-92B72E0155D2}" type="presParOf" srcId="{F74AE149-5B1F-4C42-B4FA-4A22E367BF79}" destId="{510A3C40-B28B-4368-B709-CF03FA875904}" srcOrd="4" destOrd="0" presId="urn:microsoft.com/office/officeart/2005/8/layout/default"/>
    <dgm:cxn modelId="{B7FBF1C5-DA0C-4761-88BA-A4EDB7821585}" type="presParOf" srcId="{F74AE149-5B1F-4C42-B4FA-4A22E367BF79}" destId="{61F57325-67A3-4764-B553-1B316266968D}" srcOrd="5" destOrd="0" presId="urn:microsoft.com/office/officeart/2005/8/layout/default"/>
    <dgm:cxn modelId="{C207653F-F4F8-421B-B464-00D5AAC0BBD7}" type="presParOf" srcId="{F74AE149-5B1F-4C42-B4FA-4A22E367BF79}" destId="{83140651-018F-43C9-A77E-ACCF53E432CD}" srcOrd="6" destOrd="0" presId="urn:microsoft.com/office/officeart/2005/8/layout/default"/>
    <dgm:cxn modelId="{4DA40F34-8B9C-422F-8904-25BD847F8419}" type="presParOf" srcId="{F74AE149-5B1F-4C42-B4FA-4A22E367BF79}" destId="{90CFC238-CD82-4E56-8B2D-C84A5AADC74F}" srcOrd="7" destOrd="0" presId="urn:microsoft.com/office/officeart/2005/8/layout/default"/>
    <dgm:cxn modelId="{120CA12F-6008-4B3F-BEFD-C4436E46FA5D}" type="presParOf" srcId="{F74AE149-5B1F-4C42-B4FA-4A22E367BF79}" destId="{B550D769-C118-4604-A3A3-2B1DA957F664}" srcOrd="8" destOrd="0" presId="urn:microsoft.com/office/officeart/2005/8/layout/default"/>
    <dgm:cxn modelId="{205FB1D4-86B3-463F-896B-6A9CE9756F92}" type="presParOf" srcId="{F74AE149-5B1F-4C42-B4FA-4A22E367BF79}" destId="{7362AB51-A6A9-4669-B163-7147A2272425}" srcOrd="9" destOrd="0" presId="urn:microsoft.com/office/officeart/2005/8/layout/default"/>
    <dgm:cxn modelId="{02CE5F49-A7D8-479B-8E52-3BC28B5E479E}" type="presParOf" srcId="{F74AE149-5B1F-4C42-B4FA-4A22E367BF79}" destId="{3F485B3B-6292-49D9-A836-7025453AF6EB}" srcOrd="10" destOrd="0" presId="urn:microsoft.com/office/officeart/2005/8/layout/default"/>
    <dgm:cxn modelId="{5D531168-38A2-4141-A52B-F375B2376D56}" type="presParOf" srcId="{F74AE149-5B1F-4C42-B4FA-4A22E367BF79}" destId="{325C6EFA-23FA-4A88-8BE7-EBC5AAE3475F}" srcOrd="11" destOrd="0" presId="urn:microsoft.com/office/officeart/2005/8/layout/default"/>
    <dgm:cxn modelId="{5CCF6D65-9741-4A24-94A5-82B2B24D901E}" type="presParOf" srcId="{F74AE149-5B1F-4C42-B4FA-4A22E367BF79}" destId="{98AAC812-8ED7-4053-8ED5-C01B6957C95C}" srcOrd="12" destOrd="0" presId="urn:microsoft.com/office/officeart/2005/8/layout/default"/>
    <dgm:cxn modelId="{9F28CA6B-8061-483A-A65A-F096F1A45ACC}" type="presParOf" srcId="{F74AE149-5B1F-4C42-B4FA-4A22E367BF79}" destId="{C4E1FE27-B1AB-48D4-B974-820FE8B081F3}" srcOrd="13" destOrd="0" presId="urn:microsoft.com/office/officeart/2005/8/layout/default"/>
    <dgm:cxn modelId="{A225435C-7BF0-4412-A51F-A7D343382B2C}" type="presParOf" srcId="{F74AE149-5B1F-4C42-B4FA-4A22E367BF79}" destId="{AC1E4B10-FC37-4B33-9EF6-B2385672329E}" srcOrd="14" destOrd="0" presId="urn:microsoft.com/office/officeart/2005/8/layout/default"/>
    <dgm:cxn modelId="{73BDC551-04E7-414B-8C5D-3AED504EBB3E}" type="presParOf" srcId="{F74AE149-5B1F-4C42-B4FA-4A22E367BF79}" destId="{85E550D3-E143-4566-B1AF-1DFE07A34068}" srcOrd="15" destOrd="0" presId="urn:microsoft.com/office/officeart/2005/8/layout/default"/>
    <dgm:cxn modelId="{ABDB46EC-55D7-4F21-86E2-6281C5192FA9}" type="presParOf" srcId="{F74AE149-5B1F-4C42-B4FA-4A22E367BF79}" destId="{9AB67004-A097-4EDA-B45B-86F2D1A9EE84}" srcOrd="16" destOrd="0" presId="urn:microsoft.com/office/officeart/2005/8/layout/default"/>
  </dgm:cxnLst>
  <dgm:bg>
    <a:solidFill>
      <a:schemeClr val="accent4">
        <a:lumMod val="20000"/>
        <a:lumOff val="80000"/>
      </a:schemeClr>
    </a:solidFill>
  </dgm:bg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5.xml><?xml version="1.0" encoding="utf-8"?>
<dgm:dataModel xmlns:dgm="http://schemas.openxmlformats.org/drawingml/2006/diagram" xmlns:a="http://schemas.openxmlformats.org/drawingml/2006/main">
  <dgm:ptLst>
    <dgm:pt modelId="{DCDCF576-66FC-4BE7-B6CA-237F9F1488F1}" type="doc">
      <dgm:prSet loTypeId="urn:microsoft.com/office/officeart/2005/8/layout/default" loCatId="list" qsTypeId="urn:microsoft.com/office/officeart/2005/8/quickstyle/3d3#5" qsCatId="3D" csTypeId="urn:microsoft.com/office/officeart/2005/8/colors/accent1_2#4" csCatId="accent1" phldr="1"/>
      <dgm:spPr/>
    </dgm:pt>
    <dgm:pt modelId="{F66AEE1E-7FEF-44D6-A65D-5121348F046A}">
      <dgm:prSet phldrT="[Text]"/>
      <dgm:spPr/>
      <dgm:t>
        <a:bodyPr/>
        <a:lstStyle/>
        <a:p>
          <a:r>
            <a:rPr lang="en-GB" b="1"/>
            <a:t>TREASURER BILL NO 1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 tooltip="TREASURER BILL NO 1"/>
          </dgm14:cNvPr>
        </a:ext>
      </dgm:extLst>
    </dgm:pt>
    <dgm:pt modelId="{28F375CF-5FFD-4029-9411-3FCA995307AD}" type="parTrans" cxnId="{7C0D1F68-FB30-43D0-91E1-038E1D6823C9}">
      <dgm:prSet/>
      <dgm:spPr/>
      <dgm:t>
        <a:bodyPr/>
        <a:lstStyle/>
        <a:p>
          <a:endParaRPr lang="en-US"/>
        </a:p>
      </dgm:t>
    </dgm:pt>
    <dgm:pt modelId="{8BC7C7BB-3339-43F2-8D55-09DA17146E20}" type="sibTrans" cxnId="{7C0D1F68-FB30-43D0-91E1-038E1D6823C9}">
      <dgm:prSet/>
      <dgm:spPr/>
      <dgm:t>
        <a:bodyPr/>
        <a:lstStyle/>
        <a:p>
          <a:endParaRPr lang="en-US"/>
        </a:p>
      </dgm:t>
    </dgm:pt>
    <dgm:pt modelId="{11E246E1-F3A6-40B9-AB41-9756BE0E34FB}">
      <dgm:prSet phldrT="[Text]"/>
      <dgm:spPr/>
      <dgm:t>
        <a:bodyPr/>
        <a:lstStyle/>
        <a:p>
          <a:r>
            <a:rPr lang="en-GB" b="1"/>
            <a:t>TREASURER BILL NO 2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 tooltip="TREASURER BILL NO 2"/>
          </dgm14:cNvPr>
        </a:ext>
      </dgm:extLst>
    </dgm:pt>
    <dgm:pt modelId="{7C483DC3-5F1B-4930-B609-C1502A28391B}" type="parTrans" cxnId="{899E5F8D-785B-4BB2-9833-7B3E1DB7B136}">
      <dgm:prSet/>
      <dgm:spPr/>
      <dgm:t>
        <a:bodyPr/>
        <a:lstStyle/>
        <a:p>
          <a:endParaRPr lang="en-US"/>
        </a:p>
      </dgm:t>
    </dgm:pt>
    <dgm:pt modelId="{50F57AF1-1949-4E41-B5AD-6550BD6EB199}" type="sibTrans" cxnId="{899E5F8D-785B-4BB2-9833-7B3E1DB7B136}">
      <dgm:prSet/>
      <dgm:spPr/>
      <dgm:t>
        <a:bodyPr/>
        <a:lstStyle/>
        <a:p>
          <a:endParaRPr lang="en-US"/>
        </a:p>
      </dgm:t>
    </dgm:pt>
    <dgm:pt modelId="{1D69CA0C-B9D5-4EB0-B74F-2908C656B806}">
      <dgm:prSet phldrT="[Text]"/>
      <dgm:spPr/>
      <dgm:t>
        <a:bodyPr/>
        <a:lstStyle/>
        <a:p>
          <a:r>
            <a:rPr lang="en-GB" b="1"/>
            <a:t>TREASURER BILL NO 3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 tooltip="TREASURER BILL NO 3"/>
          </dgm14:cNvPr>
        </a:ext>
      </dgm:extLst>
    </dgm:pt>
    <dgm:pt modelId="{644C1919-30F0-4184-A07D-F9C32CD765D6}" type="parTrans" cxnId="{5471ACF8-7865-4277-8ACE-72F2FBDCF094}">
      <dgm:prSet/>
      <dgm:spPr/>
      <dgm:t>
        <a:bodyPr/>
        <a:lstStyle/>
        <a:p>
          <a:endParaRPr lang="en-US"/>
        </a:p>
      </dgm:t>
    </dgm:pt>
    <dgm:pt modelId="{CA94E3AB-C934-4F09-A77E-3A19C9E34C7D}" type="sibTrans" cxnId="{5471ACF8-7865-4277-8ACE-72F2FBDCF094}">
      <dgm:prSet/>
      <dgm:spPr/>
      <dgm:t>
        <a:bodyPr/>
        <a:lstStyle/>
        <a:p>
          <a:endParaRPr lang="en-US"/>
        </a:p>
      </dgm:t>
    </dgm:pt>
    <dgm:pt modelId="{A72E0007-2DBE-4CFA-9F80-575D307E9084}">
      <dgm:prSet phldrT="[Text]"/>
      <dgm:spPr/>
      <dgm:t>
        <a:bodyPr/>
        <a:lstStyle/>
        <a:p>
          <a:r>
            <a:rPr lang="en-GB" b="1"/>
            <a:t>TREASURER BILL NO 4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 tooltip="TREASURER BILL NO 4"/>
          </dgm14:cNvPr>
        </a:ext>
      </dgm:extLst>
    </dgm:pt>
    <dgm:pt modelId="{C79FFF62-7D1A-4754-A45F-EE37FB994C2A}" type="parTrans" cxnId="{B68CB5BC-9F76-40C1-9073-565C1CE942B5}">
      <dgm:prSet/>
      <dgm:spPr/>
      <dgm:t>
        <a:bodyPr/>
        <a:lstStyle/>
        <a:p>
          <a:endParaRPr lang="en-US"/>
        </a:p>
      </dgm:t>
    </dgm:pt>
    <dgm:pt modelId="{1AC7494C-C6C2-42D0-92C9-2642E0E34B91}" type="sibTrans" cxnId="{B68CB5BC-9F76-40C1-9073-565C1CE942B5}">
      <dgm:prSet/>
      <dgm:spPr/>
      <dgm:t>
        <a:bodyPr/>
        <a:lstStyle/>
        <a:p>
          <a:endParaRPr lang="en-US"/>
        </a:p>
      </dgm:t>
    </dgm:pt>
    <dgm:pt modelId="{74C8F874-3295-4B88-AF40-3D4B1D118AE1}">
      <dgm:prSet phldrT="[Text]"/>
      <dgm:spPr/>
      <dgm:t>
        <a:bodyPr/>
        <a:lstStyle/>
        <a:p>
          <a:r>
            <a:rPr lang="en-GB" b="1"/>
            <a:t>CHECK SHARES HOLDING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 tooltip="CHECK SHARES HOLDING"/>
          </dgm14:cNvPr>
        </a:ext>
      </dgm:extLst>
    </dgm:pt>
    <dgm:pt modelId="{48757A72-739D-4A54-BC10-39C137FF0249}" type="parTrans" cxnId="{4249D302-D22C-4908-A18F-1FF9357960F7}">
      <dgm:prSet/>
      <dgm:spPr/>
      <dgm:t>
        <a:bodyPr/>
        <a:lstStyle/>
        <a:p>
          <a:endParaRPr lang="en-US"/>
        </a:p>
      </dgm:t>
    </dgm:pt>
    <dgm:pt modelId="{624941D0-A1BC-4A22-8F8C-F707BCD72606}" type="sibTrans" cxnId="{4249D302-D22C-4908-A18F-1FF9357960F7}">
      <dgm:prSet/>
      <dgm:spPr/>
      <dgm:t>
        <a:bodyPr/>
        <a:lstStyle/>
        <a:p>
          <a:endParaRPr lang="en-US"/>
        </a:p>
      </dgm:t>
    </dgm:pt>
    <dgm:pt modelId="{A6C07A0C-0B93-473F-991F-4877FA364CC4}">
      <dgm:prSet phldrT="[Text]"/>
      <dgm:spPr/>
      <dgm:t>
        <a:bodyPr/>
        <a:lstStyle/>
        <a:p>
          <a:r>
            <a:rPr lang="en-GB" b="1"/>
            <a:t>CASH FLOW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6" tooltip="CASH FLOW"/>
          </dgm14:cNvPr>
        </a:ext>
      </dgm:extLst>
    </dgm:pt>
    <dgm:pt modelId="{1FC9754C-2499-4970-88F4-51BB05B078E6}" type="sibTrans" cxnId="{6E0D5A25-97E5-47EA-95CF-DFE0AEE95C0D}">
      <dgm:prSet/>
      <dgm:spPr/>
      <dgm:t>
        <a:bodyPr/>
        <a:lstStyle/>
        <a:p>
          <a:endParaRPr lang="en-US"/>
        </a:p>
      </dgm:t>
    </dgm:pt>
    <dgm:pt modelId="{22B6F1F6-3FF6-417F-91B0-131870ECA883}" type="parTrans" cxnId="{6E0D5A25-97E5-47EA-95CF-DFE0AEE95C0D}">
      <dgm:prSet/>
      <dgm:spPr/>
      <dgm:t>
        <a:bodyPr/>
        <a:lstStyle/>
        <a:p>
          <a:endParaRPr lang="en-US"/>
        </a:p>
      </dgm:t>
    </dgm:pt>
    <dgm:pt modelId="{233977AE-670C-4B71-ADEB-C1940A19DFDC}">
      <dgm:prSet phldrT="[Text]"/>
      <dgm:spPr/>
      <dgm:t>
        <a:bodyPr/>
        <a:lstStyle/>
        <a:p>
          <a:r>
            <a:rPr lang="en-GB" b="1"/>
            <a:t>TREASURER BILL FOR MEMBERS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7" tooltip="TREASURER BILL FOR MEMBERS"/>
          </dgm14:cNvPr>
        </a:ext>
      </dgm:extLst>
    </dgm:pt>
    <dgm:pt modelId="{1A5D3DAC-F0B2-4683-9180-0B7BDA54E174}" type="parTrans" cxnId="{2DE8044D-54A2-48A5-90C4-194503F895AD}">
      <dgm:prSet/>
      <dgm:spPr/>
      <dgm:t>
        <a:bodyPr/>
        <a:lstStyle/>
        <a:p>
          <a:endParaRPr lang="en-US"/>
        </a:p>
      </dgm:t>
    </dgm:pt>
    <dgm:pt modelId="{6F05C096-CBEA-4197-8EBA-2E740E6F77D2}" type="sibTrans" cxnId="{2DE8044D-54A2-48A5-90C4-194503F895AD}">
      <dgm:prSet/>
      <dgm:spPr/>
      <dgm:t>
        <a:bodyPr/>
        <a:lstStyle/>
        <a:p>
          <a:endParaRPr lang="en-US"/>
        </a:p>
      </dgm:t>
    </dgm:pt>
    <dgm:pt modelId="{88E1A46F-B0DE-4ECB-AB87-546DDB0B008E}">
      <dgm:prSet phldrT="[Text]"/>
      <dgm:spPr/>
      <dgm:t>
        <a:bodyPr/>
        <a:lstStyle/>
        <a:p>
          <a:r>
            <a:rPr lang="en-GB" b="1"/>
            <a:t>SHARES HOLDING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8" tooltip="SHARES HOLDING"/>
          </dgm14:cNvPr>
        </a:ext>
      </dgm:extLst>
    </dgm:pt>
    <dgm:pt modelId="{E36568F0-A071-4529-A459-5B551E5D8B24}" type="parTrans" cxnId="{93AE23B9-454C-4C4B-A4C0-2B009B315180}">
      <dgm:prSet/>
      <dgm:spPr/>
      <dgm:t>
        <a:bodyPr/>
        <a:lstStyle/>
        <a:p>
          <a:endParaRPr lang="en-US"/>
        </a:p>
      </dgm:t>
    </dgm:pt>
    <dgm:pt modelId="{9C76351F-60AF-4CEB-9EEE-1D8BC93D0862}" type="sibTrans" cxnId="{93AE23B9-454C-4C4B-A4C0-2B009B315180}">
      <dgm:prSet/>
      <dgm:spPr/>
      <dgm:t>
        <a:bodyPr/>
        <a:lstStyle/>
        <a:p>
          <a:endParaRPr lang="en-US"/>
        </a:p>
      </dgm:t>
    </dgm:pt>
    <dgm:pt modelId="{694C6B25-ED85-4992-8B85-92ADCB86A3F3}">
      <dgm:prSet phldrT="[Text]"/>
      <dgm:spPr/>
      <dgm:t>
        <a:bodyPr/>
        <a:lstStyle/>
        <a:p>
          <a:r>
            <a:rPr lang="en-GB" b="1"/>
            <a:t>MEMBERS SHARES HOLDING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9" tooltip="MEMBERS SHARES HOLDING"/>
          </dgm14:cNvPr>
        </a:ext>
      </dgm:extLst>
    </dgm:pt>
    <dgm:pt modelId="{25CB013A-94CA-4C99-BADA-005F7412C812}" type="parTrans" cxnId="{A0E331EA-68AB-4D34-A3BE-F02ECBBF3103}">
      <dgm:prSet/>
      <dgm:spPr/>
      <dgm:t>
        <a:bodyPr/>
        <a:lstStyle/>
        <a:p>
          <a:endParaRPr lang="en-US"/>
        </a:p>
      </dgm:t>
    </dgm:pt>
    <dgm:pt modelId="{402E9EEC-E4FC-4743-B7AB-1AA4C22D5F67}" type="sibTrans" cxnId="{A0E331EA-68AB-4D34-A3BE-F02ECBBF3103}">
      <dgm:prSet/>
      <dgm:spPr/>
      <dgm:t>
        <a:bodyPr/>
        <a:lstStyle/>
        <a:p>
          <a:endParaRPr lang="en-US"/>
        </a:p>
      </dgm:t>
    </dgm:pt>
    <dgm:pt modelId="{24A0FDB8-9BFF-49F0-82CC-9504D2419F3C}">
      <dgm:prSet phldrT="[Text]"/>
      <dgm:spPr/>
      <dgm:t>
        <a:bodyPr/>
        <a:lstStyle/>
        <a:p>
          <a:r>
            <a:rPr lang="en-GB" b="1"/>
            <a:t>BOG SHARES DEVIDENT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0" tooltip="BOG SHARES DEVIDENT"/>
          </dgm14:cNvPr>
        </a:ext>
      </dgm:extLst>
    </dgm:pt>
    <dgm:pt modelId="{B3C43835-C38A-4197-A82A-BF791B03A4F2}" type="parTrans" cxnId="{1881AD75-743B-4797-9AA2-855F8BA499DE}">
      <dgm:prSet/>
      <dgm:spPr/>
      <dgm:t>
        <a:bodyPr/>
        <a:lstStyle/>
        <a:p>
          <a:endParaRPr lang="en-US"/>
        </a:p>
      </dgm:t>
    </dgm:pt>
    <dgm:pt modelId="{25A8B8C6-BB14-432F-9178-59ABD18F491D}" type="sibTrans" cxnId="{1881AD75-743B-4797-9AA2-855F8BA499DE}">
      <dgm:prSet/>
      <dgm:spPr/>
      <dgm:t>
        <a:bodyPr/>
        <a:lstStyle/>
        <a:p>
          <a:endParaRPr lang="en-US"/>
        </a:p>
      </dgm:t>
    </dgm:pt>
    <dgm:pt modelId="{F74AE149-5B1F-4C42-B4FA-4A22E367BF79}" type="pres">
      <dgm:prSet presAssocID="{DCDCF576-66FC-4BE7-B6CA-237F9F1488F1}" presName="diagram" presStyleCnt="0">
        <dgm:presLayoutVars>
          <dgm:dir/>
          <dgm:resizeHandles val="exact"/>
        </dgm:presLayoutVars>
      </dgm:prSet>
      <dgm:spPr/>
    </dgm:pt>
    <dgm:pt modelId="{01997BDC-B316-48DF-8EF7-0B9675300827}" type="pres">
      <dgm:prSet presAssocID="{A6C07A0C-0B93-473F-991F-4877FA364CC4}" presName="node" presStyleLbl="node1" presStyleIdx="0" presStyleCnt="10">
        <dgm:presLayoutVars>
          <dgm:bulletEnabled val="1"/>
        </dgm:presLayoutVars>
      </dgm:prSet>
      <dgm:spPr/>
    </dgm:pt>
    <dgm:pt modelId="{D887E29B-31C5-44ED-A6FC-97F5E582DF0D}" type="pres">
      <dgm:prSet presAssocID="{1FC9754C-2499-4970-88F4-51BB05B078E6}" presName="sibTrans" presStyleCnt="0"/>
      <dgm:spPr/>
    </dgm:pt>
    <dgm:pt modelId="{869A0D67-1D75-4E89-BEC4-343AC4337FA7}" type="pres">
      <dgm:prSet presAssocID="{233977AE-670C-4B71-ADEB-C1940A19DFDC}" presName="node" presStyleLbl="node1" presStyleIdx="1" presStyleCnt="10">
        <dgm:presLayoutVars>
          <dgm:bulletEnabled val="1"/>
        </dgm:presLayoutVars>
      </dgm:prSet>
      <dgm:spPr/>
    </dgm:pt>
    <dgm:pt modelId="{4113EA6E-2DE4-429B-993F-24B1DE818C5C}" type="pres">
      <dgm:prSet presAssocID="{6F05C096-CBEA-4197-8EBA-2E740E6F77D2}" presName="sibTrans" presStyleCnt="0"/>
      <dgm:spPr/>
    </dgm:pt>
    <dgm:pt modelId="{3CFF8370-5BDE-4BED-90DF-911871500691}" type="pres">
      <dgm:prSet presAssocID="{88E1A46F-B0DE-4ECB-AB87-546DDB0B008E}" presName="node" presStyleLbl="node1" presStyleIdx="2" presStyleCnt="10">
        <dgm:presLayoutVars>
          <dgm:bulletEnabled val="1"/>
        </dgm:presLayoutVars>
      </dgm:prSet>
      <dgm:spPr/>
    </dgm:pt>
    <dgm:pt modelId="{AA2ED0BD-7E0C-4D69-A76A-0848EC93CA2E}" type="pres">
      <dgm:prSet presAssocID="{9C76351F-60AF-4CEB-9EEE-1D8BC93D0862}" presName="sibTrans" presStyleCnt="0"/>
      <dgm:spPr/>
    </dgm:pt>
    <dgm:pt modelId="{333DDAFB-4511-4E19-A8FE-A19AC4D537EB}" type="pres">
      <dgm:prSet presAssocID="{694C6B25-ED85-4992-8B85-92ADCB86A3F3}" presName="node" presStyleLbl="node1" presStyleIdx="3" presStyleCnt="10">
        <dgm:presLayoutVars>
          <dgm:bulletEnabled val="1"/>
        </dgm:presLayoutVars>
      </dgm:prSet>
      <dgm:spPr/>
    </dgm:pt>
    <dgm:pt modelId="{FC9B1F57-6A2F-43FB-9523-0D85D7836176}" type="pres">
      <dgm:prSet presAssocID="{402E9EEC-E4FC-4743-B7AB-1AA4C22D5F67}" presName="sibTrans" presStyleCnt="0"/>
      <dgm:spPr/>
    </dgm:pt>
    <dgm:pt modelId="{8B916F2C-7303-4898-8133-66F4A2924129}" type="pres">
      <dgm:prSet presAssocID="{24A0FDB8-9BFF-49F0-82CC-9504D2419F3C}" presName="node" presStyleLbl="node1" presStyleIdx="4" presStyleCnt="10">
        <dgm:presLayoutVars>
          <dgm:bulletEnabled val="1"/>
        </dgm:presLayoutVars>
      </dgm:prSet>
      <dgm:spPr/>
    </dgm:pt>
    <dgm:pt modelId="{F7D71CDC-7BA5-4CCE-8928-EE95EDF8CE8B}" type="pres">
      <dgm:prSet presAssocID="{25A8B8C6-BB14-432F-9178-59ABD18F491D}" presName="sibTrans" presStyleCnt="0"/>
      <dgm:spPr/>
    </dgm:pt>
    <dgm:pt modelId="{0C9BD009-CC6D-4BED-AD64-0E600EDA15C8}" type="pres">
      <dgm:prSet presAssocID="{74C8F874-3295-4B88-AF40-3D4B1D118AE1}" presName="node" presStyleLbl="node1" presStyleIdx="5" presStyleCnt="10">
        <dgm:presLayoutVars>
          <dgm:bulletEnabled val="1"/>
        </dgm:presLayoutVars>
      </dgm:prSet>
      <dgm:spPr/>
    </dgm:pt>
    <dgm:pt modelId="{85DAFE4E-DE58-47B5-AF69-0F50B303E915}" type="pres">
      <dgm:prSet presAssocID="{624941D0-A1BC-4A22-8F8C-F707BCD72606}" presName="sibTrans" presStyleCnt="0"/>
      <dgm:spPr/>
    </dgm:pt>
    <dgm:pt modelId="{AB721784-853F-4C30-BBF0-197BE9102FC6}" type="pres">
      <dgm:prSet presAssocID="{F66AEE1E-7FEF-44D6-A65D-5121348F046A}" presName="node" presStyleLbl="node1" presStyleIdx="6" presStyleCnt="10">
        <dgm:presLayoutVars>
          <dgm:bulletEnabled val="1"/>
        </dgm:presLayoutVars>
      </dgm:prSet>
      <dgm:spPr/>
    </dgm:pt>
    <dgm:pt modelId="{E859375E-DFFF-4F7B-8651-1F4039F6409B}" type="pres">
      <dgm:prSet presAssocID="{8BC7C7BB-3339-43F2-8D55-09DA17146E20}" presName="sibTrans" presStyleCnt="0"/>
      <dgm:spPr/>
    </dgm:pt>
    <dgm:pt modelId="{F856FAAB-ABB9-426D-9A9F-BC146614662E}" type="pres">
      <dgm:prSet presAssocID="{11E246E1-F3A6-40B9-AB41-9756BE0E34FB}" presName="node" presStyleLbl="node1" presStyleIdx="7" presStyleCnt="10">
        <dgm:presLayoutVars>
          <dgm:bulletEnabled val="1"/>
        </dgm:presLayoutVars>
      </dgm:prSet>
      <dgm:spPr/>
    </dgm:pt>
    <dgm:pt modelId="{75AAA352-1CD7-4B83-BAB8-1F52FC59F058}" type="pres">
      <dgm:prSet presAssocID="{50F57AF1-1949-4E41-B5AD-6550BD6EB199}" presName="sibTrans" presStyleCnt="0"/>
      <dgm:spPr/>
    </dgm:pt>
    <dgm:pt modelId="{4414EEDA-7F14-438E-8D49-9C24A8771141}" type="pres">
      <dgm:prSet presAssocID="{1D69CA0C-B9D5-4EB0-B74F-2908C656B806}" presName="node" presStyleLbl="node1" presStyleIdx="8" presStyleCnt="10">
        <dgm:presLayoutVars>
          <dgm:bulletEnabled val="1"/>
        </dgm:presLayoutVars>
      </dgm:prSet>
      <dgm:spPr/>
    </dgm:pt>
    <dgm:pt modelId="{9FC90C5F-E476-43D5-813D-1E6A8A9ECD66}" type="pres">
      <dgm:prSet presAssocID="{CA94E3AB-C934-4F09-A77E-3A19C9E34C7D}" presName="sibTrans" presStyleCnt="0"/>
      <dgm:spPr/>
    </dgm:pt>
    <dgm:pt modelId="{08A7F033-50F7-435D-B84A-934898B304FF}" type="pres">
      <dgm:prSet presAssocID="{A72E0007-2DBE-4CFA-9F80-575D307E9084}" presName="node" presStyleLbl="node1" presStyleIdx="9" presStyleCnt="10">
        <dgm:presLayoutVars>
          <dgm:bulletEnabled val="1"/>
        </dgm:presLayoutVars>
      </dgm:prSet>
      <dgm:spPr/>
    </dgm:pt>
  </dgm:ptLst>
  <dgm:cxnLst>
    <dgm:cxn modelId="{4249D302-D22C-4908-A18F-1FF9357960F7}" srcId="{DCDCF576-66FC-4BE7-B6CA-237F9F1488F1}" destId="{74C8F874-3295-4B88-AF40-3D4B1D118AE1}" srcOrd="5" destOrd="0" parTransId="{48757A72-739D-4A54-BC10-39C137FF0249}" sibTransId="{624941D0-A1BC-4A22-8F8C-F707BCD72606}"/>
    <dgm:cxn modelId="{08EE0304-6DEF-43BA-93F4-8AC3DB259083}" type="presOf" srcId="{24A0FDB8-9BFF-49F0-82CC-9504D2419F3C}" destId="{8B916F2C-7303-4898-8133-66F4A2924129}" srcOrd="0" destOrd="0" presId="urn:microsoft.com/office/officeart/2005/8/layout/default"/>
    <dgm:cxn modelId="{69A28917-DBB0-4F6D-91A5-F0B827C1B1FC}" type="presOf" srcId="{A72E0007-2DBE-4CFA-9F80-575D307E9084}" destId="{08A7F033-50F7-435D-B84A-934898B304FF}" srcOrd="0" destOrd="0" presId="urn:microsoft.com/office/officeart/2005/8/layout/default"/>
    <dgm:cxn modelId="{6E0D5A25-97E5-47EA-95CF-DFE0AEE95C0D}" srcId="{DCDCF576-66FC-4BE7-B6CA-237F9F1488F1}" destId="{A6C07A0C-0B93-473F-991F-4877FA364CC4}" srcOrd="0" destOrd="0" parTransId="{22B6F1F6-3FF6-417F-91B0-131870ECA883}" sibTransId="{1FC9754C-2499-4970-88F4-51BB05B078E6}"/>
    <dgm:cxn modelId="{1EE1712D-8716-4737-89F4-A46230DC2E9C}" type="presOf" srcId="{11E246E1-F3A6-40B9-AB41-9756BE0E34FB}" destId="{F856FAAB-ABB9-426D-9A9F-BC146614662E}" srcOrd="0" destOrd="0" presId="urn:microsoft.com/office/officeart/2005/8/layout/default"/>
    <dgm:cxn modelId="{94177C30-D5FC-44E1-8F4F-CCC84388B271}" type="presOf" srcId="{74C8F874-3295-4B88-AF40-3D4B1D118AE1}" destId="{0C9BD009-CC6D-4BED-AD64-0E600EDA15C8}" srcOrd="0" destOrd="0" presId="urn:microsoft.com/office/officeart/2005/8/layout/default"/>
    <dgm:cxn modelId="{7C0D1F68-FB30-43D0-91E1-038E1D6823C9}" srcId="{DCDCF576-66FC-4BE7-B6CA-237F9F1488F1}" destId="{F66AEE1E-7FEF-44D6-A65D-5121348F046A}" srcOrd="6" destOrd="0" parTransId="{28F375CF-5FFD-4029-9411-3FCA995307AD}" sibTransId="{8BC7C7BB-3339-43F2-8D55-09DA17146E20}"/>
    <dgm:cxn modelId="{2DE8044D-54A2-48A5-90C4-194503F895AD}" srcId="{DCDCF576-66FC-4BE7-B6CA-237F9F1488F1}" destId="{233977AE-670C-4B71-ADEB-C1940A19DFDC}" srcOrd="1" destOrd="0" parTransId="{1A5D3DAC-F0B2-4683-9180-0B7BDA54E174}" sibTransId="{6F05C096-CBEA-4197-8EBA-2E740E6F77D2}"/>
    <dgm:cxn modelId="{6B04F151-AE2B-4C4D-8187-C562020700B6}" type="presOf" srcId="{A6C07A0C-0B93-473F-991F-4877FA364CC4}" destId="{01997BDC-B316-48DF-8EF7-0B9675300827}" srcOrd="0" destOrd="0" presId="urn:microsoft.com/office/officeart/2005/8/layout/default"/>
    <dgm:cxn modelId="{1881AD75-743B-4797-9AA2-855F8BA499DE}" srcId="{DCDCF576-66FC-4BE7-B6CA-237F9F1488F1}" destId="{24A0FDB8-9BFF-49F0-82CC-9504D2419F3C}" srcOrd="4" destOrd="0" parTransId="{B3C43835-C38A-4197-A82A-BF791B03A4F2}" sibTransId="{25A8B8C6-BB14-432F-9178-59ABD18F491D}"/>
    <dgm:cxn modelId="{390B7178-F3E0-4756-AD4B-5D376152F1FC}" type="presOf" srcId="{F66AEE1E-7FEF-44D6-A65D-5121348F046A}" destId="{AB721784-853F-4C30-BBF0-197BE9102FC6}" srcOrd="0" destOrd="0" presId="urn:microsoft.com/office/officeart/2005/8/layout/default"/>
    <dgm:cxn modelId="{873EA67E-14DE-463B-A477-585F5513D97A}" type="presOf" srcId="{233977AE-670C-4B71-ADEB-C1940A19DFDC}" destId="{869A0D67-1D75-4E89-BEC4-343AC4337FA7}" srcOrd="0" destOrd="0" presId="urn:microsoft.com/office/officeart/2005/8/layout/default"/>
    <dgm:cxn modelId="{899E5F8D-785B-4BB2-9833-7B3E1DB7B136}" srcId="{DCDCF576-66FC-4BE7-B6CA-237F9F1488F1}" destId="{11E246E1-F3A6-40B9-AB41-9756BE0E34FB}" srcOrd="7" destOrd="0" parTransId="{7C483DC3-5F1B-4930-B609-C1502A28391B}" sibTransId="{50F57AF1-1949-4E41-B5AD-6550BD6EB199}"/>
    <dgm:cxn modelId="{25425296-FD59-4C80-895E-1DEDF0D4D642}" type="presOf" srcId="{1D69CA0C-B9D5-4EB0-B74F-2908C656B806}" destId="{4414EEDA-7F14-438E-8D49-9C24A8771141}" srcOrd="0" destOrd="0" presId="urn:microsoft.com/office/officeart/2005/8/layout/default"/>
    <dgm:cxn modelId="{D1CC5DAF-0888-4CC5-AB88-E7F4DC7B6C6A}" type="presOf" srcId="{DCDCF576-66FC-4BE7-B6CA-237F9F1488F1}" destId="{F74AE149-5B1F-4C42-B4FA-4A22E367BF79}" srcOrd="0" destOrd="0" presId="urn:microsoft.com/office/officeart/2005/8/layout/default"/>
    <dgm:cxn modelId="{05E8EBB1-5CB3-4381-A292-28D4C4B05107}" type="presOf" srcId="{694C6B25-ED85-4992-8B85-92ADCB86A3F3}" destId="{333DDAFB-4511-4E19-A8FE-A19AC4D537EB}" srcOrd="0" destOrd="0" presId="urn:microsoft.com/office/officeart/2005/8/layout/default"/>
    <dgm:cxn modelId="{93AE23B9-454C-4C4B-A4C0-2B009B315180}" srcId="{DCDCF576-66FC-4BE7-B6CA-237F9F1488F1}" destId="{88E1A46F-B0DE-4ECB-AB87-546DDB0B008E}" srcOrd="2" destOrd="0" parTransId="{E36568F0-A071-4529-A459-5B551E5D8B24}" sibTransId="{9C76351F-60AF-4CEB-9EEE-1D8BC93D0862}"/>
    <dgm:cxn modelId="{B68CB5BC-9F76-40C1-9073-565C1CE942B5}" srcId="{DCDCF576-66FC-4BE7-B6CA-237F9F1488F1}" destId="{A72E0007-2DBE-4CFA-9F80-575D307E9084}" srcOrd="9" destOrd="0" parTransId="{C79FFF62-7D1A-4754-A45F-EE37FB994C2A}" sibTransId="{1AC7494C-C6C2-42D0-92C9-2642E0E34B91}"/>
    <dgm:cxn modelId="{7A609ABD-8C20-4C78-9E10-68F2C8513DC6}" type="presOf" srcId="{88E1A46F-B0DE-4ECB-AB87-546DDB0B008E}" destId="{3CFF8370-5BDE-4BED-90DF-911871500691}" srcOrd="0" destOrd="0" presId="urn:microsoft.com/office/officeart/2005/8/layout/default"/>
    <dgm:cxn modelId="{A0E331EA-68AB-4D34-A3BE-F02ECBBF3103}" srcId="{DCDCF576-66FC-4BE7-B6CA-237F9F1488F1}" destId="{694C6B25-ED85-4992-8B85-92ADCB86A3F3}" srcOrd="3" destOrd="0" parTransId="{25CB013A-94CA-4C99-BADA-005F7412C812}" sibTransId="{402E9EEC-E4FC-4743-B7AB-1AA4C22D5F67}"/>
    <dgm:cxn modelId="{5471ACF8-7865-4277-8ACE-72F2FBDCF094}" srcId="{DCDCF576-66FC-4BE7-B6CA-237F9F1488F1}" destId="{1D69CA0C-B9D5-4EB0-B74F-2908C656B806}" srcOrd="8" destOrd="0" parTransId="{644C1919-30F0-4184-A07D-F9C32CD765D6}" sibTransId="{CA94E3AB-C934-4F09-A77E-3A19C9E34C7D}"/>
    <dgm:cxn modelId="{A4E0019A-D2D8-4307-9948-70E2A5D0DA0A}" type="presParOf" srcId="{F74AE149-5B1F-4C42-B4FA-4A22E367BF79}" destId="{01997BDC-B316-48DF-8EF7-0B9675300827}" srcOrd="0" destOrd="0" presId="urn:microsoft.com/office/officeart/2005/8/layout/default"/>
    <dgm:cxn modelId="{5CB67819-ED48-457C-BFAE-862436592779}" type="presParOf" srcId="{F74AE149-5B1F-4C42-B4FA-4A22E367BF79}" destId="{D887E29B-31C5-44ED-A6FC-97F5E582DF0D}" srcOrd="1" destOrd="0" presId="urn:microsoft.com/office/officeart/2005/8/layout/default"/>
    <dgm:cxn modelId="{50338499-D4F3-478A-847D-B5FF3C8CBAE9}" type="presParOf" srcId="{F74AE149-5B1F-4C42-B4FA-4A22E367BF79}" destId="{869A0D67-1D75-4E89-BEC4-343AC4337FA7}" srcOrd="2" destOrd="0" presId="urn:microsoft.com/office/officeart/2005/8/layout/default"/>
    <dgm:cxn modelId="{0E645254-7CEE-42F2-84E9-1923F837ABF1}" type="presParOf" srcId="{F74AE149-5B1F-4C42-B4FA-4A22E367BF79}" destId="{4113EA6E-2DE4-429B-993F-24B1DE818C5C}" srcOrd="3" destOrd="0" presId="urn:microsoft.com/office/officeart/2005/8/layout/default"/>
    <dgm:cxn modelId="{D6F8FC72-343D-4FEF-9F11-328916A01513}" type="presParOf" srcId="{F74AE149-5B1F-4C42-B4FA-4A22E367BF79}" destId="{3CFF8370-5BDE-4BED-90DF-911871500691}" srcOrd="4" destOrd="0" presId="urn:microsoft.com/office/officeart/2005/8/layout/default"/>
    <dgm:cxn modelId="{8B4CA91C-07BC-4E8A-A6B4-DDABDDF04075}" type="presParOf" srcId="{F74AE149-5B1F-4C42-B4FA-4A22E367BF79}" destId="{AA2ED0BD-7E0C-4D69-A76A-0848EC93CA2E}" srcOrd="5" destOrd="0" presId="urn:microsoft.com/office/officeart/2005/8/layout/default"/>
    <dgm:cxn modelId="{589FC187-BC9A-47F8-8C2D-45D1121E35C5}" type="presParOf" srcId="{F74AE149-5B1F-4C42-B4FA-4A22E367BF79}" destId="{333DDAFB-4511-4E19-A8FE-A19AC4D537EB}" srcOrd="6" destOrd="0" presId="urn:microsoft.com/office/officeart/2005/8/layout/default"/>
    <dgm:cxn modelId="{18E3B8F1-3C33-4704-81C5-6E8491652723}" type="presParOf" srcId="{F74AE149-5B1F-4C42-B4FA-4A22E367BF79}" destId="{FC9B1F57-6A2F-43FB-9523-0D85D7836176}" srcOrd="7" destOrd="0" presId="urn:microsoft.com/office/officeart/2005/8/layout/default"/>
    <dgm:cxn modelId="{3F793AFC-E762-4999-B18E-055F4E991426}" type="presParOf" srcId="{F74AE149-5B1F-4C42-B4FA-4A22E367BF79}" destId="{8B916F2C-7303-4898-8133-66F4A2924129}" srcOrd="8" destOrd="0" presId="urn:microsoft.com/office/officeart/2005/8/layout/default"/>
    <dgm:cxn modelId="{6A30B068-997E-46E2-936F-20DB3138A4EC}" type="presParOf" srcId="{F74AE149-5B1F-4C42-B4FA-4A22E367BF79}" destId="{F7D71CDC-7BA5-4CCE-8928-EE95EDF8CE8B}" srcOrd="9" destOrd="0" presId="urn:microsoft.com/office/officeart/2005/8/layout/default"/>
    <dgm:cxn modelId="{CDC0E74F-F830-4D27-9573-6EF2CBC2AA13}" type="presParOf" srcId="{F74AE149-5B1F-4C42-B4FA-4A22E367BF79}" destId="{0C9BD009-CC6D-4BED-AD64-0E600EDA15C8}" srcOrd="10" destOrd="0" presId="urn:microsoft.com/office/officeart/2005/8/layout/default"/>
    <dgm:cxn modelId="{AE708FE1-CCD8-4DFE-9869-55579C3384FF}" type="presParOf" srcId="{F74AE149-5B1F-4C42-B4FA-4A22E367BF79}" destId="{85DAFE4E-DE58-47B5-AF69-0F50B303E915}" srcOrd="11" destOrd="0" presId="urn:microsoft.com/office/officeart/2005/8/layout/default"/>
    <dgm:cxn modelId="{983F32CF-B6C3-467C-8963-522FA1D56E94}" type="presParOf" srcId="{F74AE149-5B1F-4C42-B4FA-4A22E367BF79}" destId="{AB721784-853F-4C30-BBF0-197BE9102FC6}" srcOrd="12" destOrd="0" presId="urn:microsoft.com/office/officeart/2005/8/layout/default"/>
    <dgm:cxn modelId="{87AF54D6-FDAE-4AC9-9740-28D3A812034C}" type="presParOf" srcId="{F74AE149-5B1F-4C42-B4FA-4A22E367BF79}" destId="{E859375E-DFFF-4F7B-8651-1F4039F6409B}" srcOrd="13" destOrd="0" presId="urn:microsoft.com/office/officeart/2005/8/layout/default"/>
    <dgm:cxn modelId="{E2CDBB7A-96BC-4D6C-B694-CD372D321217}" type="presParOf" srcId="{F74AE149-5B1F-4C42-B4FA-4A22E367BF79}" destId="{F856FAAB-ABB9-426D-9A9F-BC146614662E}" srcOrd="14" destOrd="0" presId="urn:microsoft.com/office/officeart/2005/8/layout/default"/>
    <dgm:cxn modelId="{966C36A9-3597-4659-95A8-48AE62F93EFD}" type="presParOf" srcId="{F74AE149-5B1F-4C42-B4FA-4A22E367BF79}" destId="{75AAA352-1CD7-4B83-BAB8-1F52FC59F058}" srcOrd="15" destOrd="0" presId="urn:microsoft.com/office/officeart/2005/8/layout/default"/>
    <dgm:cxn modelId="{1DCDCB42-F70E-46BB-B8FA-2C6A0656A90F}" type="presParOf" srcId="{F74AE149-5B1F-4C42-B4FA-4A22E367BF79}" destId="{4414EEDA-7F14-438E-8D49-9C24A8771141}" srcOrd="16" destOrd="0" presId="urn:microsoft.com/office/officeart/2005/8/layout/default"/>
    <dgm:cxn modelId="{CBABA33A-40E0-43D3-A824-CBFBEA482C39}" type="presParOf" srcId="{F74AE149-5B1F-4C42-B4FA-4A22E367BF79}" destId="{9FC90C5F-E476-43D5-813D-1E6A8A9ECD66}" srcOrd="17" destOrd="0" presId="urn:microsoft.com/office/officeart/2005/8/layout/default"/>
    <dgm:cxn modelId="{9454D49A-D03E-420D-8CB6-F09D5546B8DF}" type="presParOf" srcId="{F74AE149-5B1F-4C42-B4FA-4A22E367BF79}" destId="{08A7F033-50F7-435D-B84A-934898B304FF}" srcOrd="18" destOrd="0" presId="urn:microsoft.com/office/officeart/2005/8/layout/default"/>
  </dgm:cxnLst>
  <dgm:bg>
    <a:solidFill>
      <a:schemeClr val="accent4">
        <a:lumMod val="20000"/>
        <a:lumOff val="80000"/>
      </a:schemeClr>
    </a:solidFill>
  </dgm:bg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6.xml><?xml version="1.0" encoding="utf-8"?>
<dgm:dataModel xmlns:dgm="http://schemas.openxmlformats.org/drawingml/2006/diagram" xmlns:a="http://schemas.openxmlformats.org/drawingml/2006/main">
  <dgm:ptLst>
    <dgm:pt modelId="{DCDCF576-66FC-4BE7-B6CA-237F9F1488F1}" type="doc">
      <dgm:prSet loTypeId="urn:microsoft.com/office/officeart/2005/8/layout/pyramid2" loCatId="list" qsTypeId="urn:microsoft.com/office/officeart/2005/8/quickstyle/3d3#6" qsCatId="3D" csTypeId="urn:microsoft.com/office/officeart/2005/8/colors/colorful2#1" csCatId="colorful" phldr="1"/>
      <dgm:spPr/>
    </dgm:pt>
    <dgm:pt modelId="{978625B5-13AD-4923-ABB4-88331172DBD7}">
      <dgm:prSet phldrT="[Text]"/>
      <dgm:spPr>
        <a:solidFill>
          <a:schemeClr val="bg1">
            <a:lumMod val="50000"/>
            <a:alpha val="90000"/>
          </a:schemeClr>
        </a:solidFill>
      </dgm:spPr>
      <dgm:t>
        <a:bodyPr/>
        <a:lstStyle/>
        <a:p>
          <a:r>
            <a:rPr lang="en-GB" b="1">
              <a:solidFill>
                <a:schemeClr val="bg1"/>
              </a:solidFill>
            </a:rPr>
            <a:t>PETTY CASH VEHICLE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 tooltip="PETTY CASH VEHICLE"/>
          </dgm14:cNvPr>
        </a:ext>
      </dgm:extLst>
    </dgm:pt>
    <dgm:pt modelId="{42D8C0AE-DC31-4166-AF4E-E35677242B78}" type="parTrans" cxnId="{DAB120FE-1C74-45D5-935E-8EF57E8C8CC9}">
      <dgm:prSet/>
      <dgm:spPr/>
      <dgm:t>
        <a:bodyPr/>
        <a:lstStyle/>
        <a:p>
          <a:endParaRPr lang="en-US"/>
        </a:p>
      </dgm:t>
    </dgm:pt>
    <dgm:pt modelId="{09467EF8-B0E3-45BF-AC3F-F8681652E2F4}" type="sibTrans" cxnId="{DAB120FE-1C74-45D5-935E-8EF57E8C8CC9}">
      <dgm:prSet/>
      <dgm:spPr/>
      <dgm:t>
        <a:bodyPr/>
        <a:lstStyle/>
        <a:p>
          <a:endParaRPr lang="en-US"/>
        </a:p>
      </dgm:t>
    </dgm:pt>
    <dgm:pt modelId="{7839ED40-0477-4C33-B97D-3884FF7529CB}">
      <dgm:prSet phldrT="[Text]"/>
      <dgm:spPr>
        <a:solidFill>
          <a:schemeClr val="tx1">
            <a:alpha val="90000"/>
          </a:schemeClr>
        </a:solidFill>
      </dgm:spPr>
      <dgm:t>
        <a:bodyPr/>
        <a:lstStyle/>
        <a:p>
          <a:r>
            <a:rPr lang="en-GB" b="1">
              <a:solidFill>
                <a:schemeClr val="bg1"/>
              </a:solidFill>
            </a:rPr>
            <a:t>SPECIAL CONTRIBUTIONS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 tooltip="VEHICLE SHARES HOLDING"/>
          </dgm14:cNvPr>
        </a:ext>
      </dgm:extLst>
    </dgm:pt>
    <dgm:pt modelId="{A2BB524E-E697-4FC1-AE10-BF92A2955A31}" type="parTrans" cxnId="{1C3B8536-B353-4657-88B3-AD53EC61718C}">
      <dgm:prSet/>
      <dgm:spPr/>
      <dgm:t>
        <a:bodyPr/>
        <a:lstStyle/>
        <a:p>
          <a:endParaRPr lang="en-US"/>
        </a:p>
      </dgm:t>
    </dgm:pt>
    <dgm:pt modelId="{061A8B77-1BA3-405B-A2B1-291AA04FC396}" type="sibTrans" cxnId="{1C3B8536-B353-4657-88B3-AD53EC61718C}">
      <dgm:prSet/>
      <dgm:spPr/>
      <dgm:t>
        <a:bodyPr/>
        <a:lstStyle/>
        <a:p>
          <a:endParaRPr lang="en-US"/>
        </a:p>
      </dgm:t>
    </dgm:pt>
    <dgm:pt modelId="{EDFA645A-8D1C-44E6-9F65-4A5DAA4D5A4D}" type="pres">
      <dgm:prSet presAssocID="{DCDCF576-66FC-4BE7-B6CA-237F9F1488F1}" presName="compositeShape" presStyleCnt="0">
        <dgm:presLayoutVars>
          <dgm:dir/>
          <dgm:resizeHandles/>
        </dgm:presLayoutVars>
      </dgm:prSet>
      <dgm:spPr/>
    </dgm:pt>
    <dgm:pt modelId="{BB1106F7-EE3D-446E-BE00-D9293F85568A}" type="pres">
      <dgm:prSet presAssocID="{DCDCF576-66FC-4BE7-B6CA-237F9F1488F1}" presName="pyramid" presStyleLbl="node1" presStyleIdx="0" presStyleCnt="1"/>
      <dgm:spPr/>
    </dgm:pt>
    <dgm:pt modelId="{54DFCA81-D331-45A6-BAF4-D6C9BED4FF48}" type="pres">
      <dgm:prSet presAssocID="{DCDCF576-66FC-4BE7-B6CA-237F9F1488F1}" presName="theList" presStyleCnt="0"/>
      <dgm:spPr/>
    </dgm:pt>
    <dgm:pt modelId="{1BDB7B7E-EB1E-49C0-8B3A-C16DEBCF93AB}" type="pres">
      <dgm:prSet presAssocID="{7839ED40-0477-4C33-B97D-3884FF7529CB}" presName="aNode" presStyleLbl="fgAcc1" presStyleIdx="0" presStyleCnt="2">
        <dgm:presLayoutVars>
          <dgm:bulletEnabled val="1"/>
        </dgm:presLayoutVars>
      </dgm:prSet>
      <dgm:spPr/>
    </dgm:pt>
    <dgm:pt modelId="{94D21940-9775-4987-8FE8-59FF55F950F1}" type="pres">
      <dgm:prSet presAssocID="{7839ED40-0477-4C33-B97D-3884FF7529CB}" presName="aSpace" presStyleCnt="0"/>
      <dgm:spPr/>
    </dgm:pt>
    <dgm:pt modelId="{F7AC4D41-EA49-413C-ACB0-180754F3A44B}" type="pres">
      <dgm:prSet presAssocID="{978625B5-13AD-4923-ABB4-88331172DBD7}" presName="aNode" presStyleLbl="fgAcc1" presStyleIdx="1" presStyleCnt="2">
        <dgm:presLayoutVars>
          <dgm:bulletEnabled val="1"/>
        </dgm:presLayoutVars>
      </dgm:prSet>
      <dgm:spPr/>
    </dgm:pt>
    <dgm:pt modelId="{F1373271-F709-4FD5-A625-A6ED53462342}" type="pres">
      <dgm:prSet presAssocID="{978625B5-13AD-4923-ABB4-88331172DBD7}" presName="aSpace" presStyleCnt="0"/>
      <dgm:spPr/>
    </dgm:pt>
  </dgm:ptLst>
  <dgm:cxnLst>
    <dgm:cxn modelId="{3CF0FE19-1D9E-4759-B7FA-CF4992E83C5D}" type="presOf" srcId="{978625B5-13AD-4923-ABB4-88331172DBD7}" destId="{F7AC4D41-EA49-413C-ACB0-180754F3A44B}" srcOrd="0" destOrd="0" presId="urn:microsoft.com/office/officeart/2005/8/layout/pyramid2"/>
    <dgm:cxn modelId="{1C3B8536-B353-4657-88B3-AD53EC61718C}" srcId="{DCDCF576-66FC-4BE7-B6CA-237F9F1488F1}" destId="{7839ED40-0477-4C33-B97D-3884FF7529CB}" srcOrd="0" destOrd="0" parTransId="{A2BB524E-E697-4FC1-AE10-BF92A2955A31}" sibTransId="{061A8B77-1BA3-405B-A2B1-291AA04FC396}"/>
    <dgm:cxn modelId="{FDCEA059-7BC8-4719-84B7-FC1E6CC75910}" type="presOf" srcId="{7839ED40-0477-4C33-B97D-3884FF7529CB}" destId="{1BDB7B7E-EB1E-49C0-8B3A-C16DEBCF93AB}" srcOrd="0" destOrd="0" presId="urn:microsoft.com/office/officeart/2005/8/layout/pyramid2"/>
    <dgm:cxn modelId="{24D8B38B-C55F-445C-BD3A-85F52401CD7E}" type="presOf" srcId="{DCDCF576-66FC-4BE7-B6CA-237F9F1488F1}" destId="{EDFA645A-8D1C-44E6-9F65-4A5DAA4D5A4D}" srcOrd="0" destOrd="0" presId="urn:microsoft.com/office/officeart/2005/8/layout/pyramid2"/>
    <dgm:cxn modelId="{DAB120FE-1C74-45D5-935E-8EF57E8C8CC9}" srcId="{DCDCF576-66FC-4BE7-B6CA-237F9F1488F1}" destId="{978625B5-13AD-4923-ABB4-88331172DBD7}" srcOrd="1" destOrd="0" parTransId="{42D8C0AE-DC31-4166-AF4E-E35677242B78}" sibTransId="{09467EF8-B0E3-45BF-AC3F-F8681652E2F4}"/>
    <dgm:cxn modelId="{11C66E00-FF85-45BC-9378-9292A8156A1F}" type="presParOf" srcId="{EDFA645A-8D1C-44E6-9F65-4A5DAA4D5A4D}" destId="{BB1106F7-EE3D-446E-BE00-D9293F85568A}" srcOrd="0" destOrd="0" presId="urn:microsoft.com/office/officeart/2005/8/layout/pyramid2"/>
    <dgm:cxn modelId="{32D96E0F-63D7-45D7-948B-ACFF48E6B6BB}" type="presParOf" srcId="{EDFA645A-8D1C-44E6-9F65-4A5DAA4D5A4D}" destId="{54DFCA81-D331-45A6-BAF4-D6C9BED4FF48}" srcOrd="1" destOrd="0" presId="urn:microsoft.com/office/officeart/2005/8/layout/pyramid2"/>
    <dgm:cxn modelId="{2DA5BFC2-904E-4A1F-8E94-FDDB92C1825A}" type="presParOf" srcId="{54DFCA81-D331-45A6-BAF4-D6C9BED4FF48}" destId="{1BDB7B7E-EB1E-49C0-8B3A-C16DEBCF93AB}" srcOrd="0" destOrd="0" presId="urn:microsoft.com/office/officeart/2005/8/layout/pyramid2"/>
    <dgm:cxn modelId="{73401ACA-9C99-4A89-8711-61753F5E1D5A}" type="presParOf" srcId="{54DFCA81-D331-45A6-BAF4-D6C9BED4FF48}" destId="{94D21940-9775-4987-8FE8-59FF55F950F1}" srcOrd="1" destOrd="0" presId="urn:microsoft.com/office/officeart/2005/8/layout/pyramid2"/>
    <dgm:cxn modelId="{5761D585-489E-4CC4-9FB7-F2D2CFA14555}" type="presParOf" srcId="{54DFCA81-D331-45A6-BAF4-D6C9BED4FF48}" destId="{F7AC4D41-EA49-413C-ACB0-180754F3A44B}" srcOrd="2" destOrd="0" presId="urn:microsoft.com/office/officeart/2005/8/layout/pyramid2"/>
    <dgm:cxn modelId="{B406E8C0-4377-4672-921C-0F164F846AB5}" type="presParOf" srcId="{54DFCA81-D331-45A6-BAF4-D6C9BED4FF48}" destId="{F1373271-F709-4FD5-A625-A6ED53462342}" srcOrd="3" destOrd="0" presId="urn:microsoft.com/office/officeart/2005/8/layout/pyramid2"/>
  </dgm:cxnLst>
  <dgm:bg>
    <a:solidFill>
      <a:schemeClr val="accent4">
        <a:lumMod val="20000"/>
        <a:lumOff val="80000"/>
      </a:schemeClr>
    </a:solidFill>
  </dgm:bg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7.xml><?xml version="1.0" encoding="utf-8"?>
<dgm:dataModel xmlns:dgm="http://schemas.openxmlformats.org/drawingml/2006/diagram" xmlns:a="http://schemas.openxmlformats.org/drawingml/2006/main">
  <dgm:ptLst>
    <dgm:pt modelId="{F18B28E0-0485-450F-8009-D68FA629EDB0}" type="doc">
      <dgm:prSet loTypeId="urn:microsoft.com/office/officeart/2005/8/layout/hList6" loCatId="list" qsTypeId="urn:microsoft.com/office/officeart/2005/8/quickstyle/3d3#7" qsCatId="3D" csTypeId="urn:microsoft.com/office/officeart/2005/8/colors/accent1_2#5" csCatId="accent1" phldr="1"/>
      <dgm:spPr/>
      <dgm:t>
        <a:bodyPr/>
        <a:lstStyle/>
        <a:p>
          <a:endParaRPr lang="en-GB"/>
        </a:p>
      </dgm:t>
    </dgm:pt>
    <dgm:pt modelId="{9BFB31C8-333A-4ECC-B73D-95E7A7DCB080}">
      <dgm:prSet phldrT="[Text]" custT="1"/>
      <dgm:spPr>
        <a:solidFill>
          <a:schemeClr val="accent4">
            <a:lumMod val="50000"/>
          </a:schemeClr>
        </a:solidFill>
      </dgm:spPr>
      <dgm:t>
        <a:bodyPr/>
        <a:lstStyle/>
        <a:p>
          <a:r>
            <a:rPr lang="en-GB" sz="2800" b="0" cap="none" spc="0">
              <a:ln w="0"/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PICTURES FOR PROFILE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 tooltip="PICTURES FOR PROFILE"/>
          </dgm14:cNvPr>
        </a:ext>
      </dgm:extLst>
    </dgm:pt>
    <dgm:pt modelId="{76DBE2CF-A461-453E-900A-F61A45AE88E2}" type="parTrans" cxnId="{23C9515C-A637-46F1-B7A4-20481C004B4D}">
      <dgm:prSet/>
      <dgm:spPr/>
      <dgm:t>
        <a:bodyPr/>
        <a:lstStyle/>
        <a:p>
          <a:endParaRPr lang="en-US"/>
        </a:p>
      </dgm:t>
    </dgm:pt>
    <dgm:pt modelId="{17AE9380-7AC1-42BE-86F0-12317BE304A8}" type="sibTrans" cxnId="{23C9515C-A637-46F1-B7A4-20481C004B4D}">
      <dgm:prSet/>
      <dgm:spPr/>
      <dgm:t>
        <a:bodyPr/>
        <a:lstStyle/>
        <a:p>
          <a:endParaRPr lang="en-US"/>
        </a:p>
      </dgm:t>
    </dgm:pt>
    <dgm:pt modelId="{A74EFB34-28D6-48D5-9713-61F611DC367C}">
      <dgm:prSet phldrT="[Text]" custT="1"/>
      <dgm:spPr>
        <a:solidFill>
          <a:schemeClr val="tx1"/>
        </a:solidFill>
      </dgm:spPr>
      <dgm:t>
        <a:bodyPr/>
        <a:lstStyle/>
        <a:p>
          <a:r>
            <a:rPr lang="en-GB" sz="2800" b="0" cap="none" spc="0">
              <a:ln w="0"/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MEMBERS LIST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 tooltip="MEMBERS LIST"/>
          </dgm14:cNvPr>
        </a:ext>
      </dgm:extLst>
    </dgm:pt>
    <dgm:pt modelId="{EF3660BE-BBF2-4108-9A83-2C47CA8B0EE2}" type="parTrans" cxnId="{70F197ED-D2EF-4313-8736-08267D1CC98B}">
      <dgm:prSet/>
      <dgm:spPr/>
      <dgm:t>
        <a:bodyPr/>
        <a:lstStyle/>
        <a:p>
          <a:endParaRPr lang="en-US"/>
        </a:p>
      </dgm:t>
    </dgm:pt>
    <dgm:pt modelId="{1FE464FB-6095-4124-A895-7F9625028AE2}" type="sibTrans" cxnId="{70F197ED-D2EF-4313-8736-08267D1CC98B}">
      <dgm:prSet/>
      <dgm:spPr/>
      <dgm:t>
        <a:bodyPr/>
        <a:lstStyle/>
        <a:p>
          <a:endParaRPr lang="en-US"/>
        </a:p>
      </dgm:t>
    </dgm:pt>
    <dgm:pt modelId="{DE764A1C-F8D7-495A-864B-435683331D3D}">
      <dgm:prSet phldrT="[Text]" custT="1"/>
      <dgm:spPr>
        <a:solidFill>
          <a:srgbClr val="7030A0"/>
        </a:solidFill>
      </dgm:spPr>
      <dgm:t>
        <a:bodyPr/>
        <a:lstStyle/>
        <a:p>
          <a:r>
            <a:rPr lang="en-US" sz="2800" b="0" cap="none" spc="0">
              <a:ln w="0"/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PERSONAL RECORD</a:t>
          </a:r>
          <a:endParaRPr lang="en-GB" sz="2800" b="0" cap="none" spc="0">
            <a:ln w="0"/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</a:endParaRP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 tooltip="PERSONAL RECORD"/>
          </dgm14:cNvPr>
        </a:ext>
      </dgm:extLst>
    </dgm:pt>
    <dgm:pt modelId="{6F0B2812-F136-4AF6-ABEC-164F9AED060C}" type="parTrans" cxnId="{94F5658E-B373-4663-AD10-E0D3B661CA06}">
      <dgm:prSet/>
      <dgm:spPr/>
      <dgm:t>
        <a:bodyPr/>
        <a:lstStyle/>
        <a:p>
          <a:endParaRPr lang="en-US"/>
        </a:p>
      </dgm:t>
    </dgm:pt>
    <dgm:pt modelId="{2AAA996B-B6DA-4015-BC39-663988203AF3}" type="sibTrans" cxnId="{94F5658E-B373-4663-AD10-E0D3B661CA06}">
      <dgm:prSet/>
      <dgm:spPr/>
      <dgm:t>
        <a:bodyPr/>
        <a:lstStyle/>
        <a:p>
          <a:endParaRPr lang="en-US"/>
        </a:p>
      </dgm:t>
    </dgm:pt>
    <dgm:pt modelId="{437F945F-89DB-44F8-BB23-A91F384F7A5B}">
      <dgm:prSet phldrT="[Text]" custT="1"/>
      <dgm:spPr>
        <a:solidFill>
          <a:srgbClr val="C00000"/>
        </a:solidFill>
      </dgm:spPr>
      <dgm:t>
        <a:bodyPr/>
        <a:lstStyle/>
        <a:p>
          <a:r>
            <a:rPr lang="en-GB" sz="2400" b="0" cap="none" spc="0">
              <a:ln w="0"/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REGISTRATION</a:t>
          </a:r>
          <a:r>
            <a:rPr lang="en-GB" sz="2800" b="0" cap="none" spc="0">
              <a:ln w="0"/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 FORM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 tooltip="REGISTRATION FORM"/>
          </dgm14:cNvPr>
        </a:ext>
      </dgm:extLst>
    </dgm:pt>
    <dgm:pt modelId="{3FD229D6-A088-485E-AC51-DDEB4FB020A3}" type="parTrans" cxnId="{8F26D868-9797-4185-B446-28CBF83E75C2}">
      <dgm:prSet/>
      <dgm:spPr/>
      <dgm:t>
        <a:bodyPr/>
        <a:lstStyle/>
        <a:p>
          <a:endParaRPr lang="en-US"/>
        </a:p>
      </dgm:t>
    </dgm:pt>
    <dgm:pt modelId="{4DB54247-BED4-4A61-87AB-B18970FC097A}" type="sibTrans" cxnId="{8F26D868-9797-4185-B446-28CBF83E75C2}">
      <dgm:prSet/>
      <dgm:spPr/>
      <dgm:t>
        <a:bodyPr/>
        <a:lstStyle/>
        <a:p>
          <a:endParaRPr lang="en-US"/>
        </a:p>
      </dgm:t>
    </dgm:pt>
    <dgm:pt modelId="{95674654-9F5A-49FB-81F0-F4C99AFD5670}" type="pres">
      <dgm:prSet presAssocID="{F18B28E0-0485-450F-8009-D68FA629EDB0}" presName="Name0" presStyleCnt="0">
        <dgm:presLayoutVars>
          <dgm:dir/>
          <dgm:resizeHandles val="exact"/>
        </dgm:presLayoutVars>
      </dgm:prSet>
      <dgm:spPr/>
    </dgm:pt>
    <dgm:pt modelId="{6FA96A91-14C9-4393-A7C2-80AA96ECC2C2}" type="pres">
      <dgm:prSet presAssocID="{A74EFB34-28D6-48D5-9713-61F611DC367C}" presName="node" presStyleLbl="node1" presStyleIdx="0" presStyleCnt="4">
        <dgm:presLayoutVars>
          <dgm:bulletEnabled val="1"/>
        </dgm:presLayoutVars>
      </dgm:prSet>
      <dgm:spPr/>
    </dgm:pt>
    <dgm:pt modelId="{DC9302BA-203D-4BC9-94DC-FFB93264B333}" type="pres">
      <dgm:prSet presAssocID="{1FE464FB-6095-4124-A895-7F9625028AE2}" presName="sibTrans" presStyleCnt="0"/>
      <dgm:spPr/>
    </dgm:pt>
    <dgm:pt modelId="{9C8A3883-B372-4714-A9E8-3252D9FD60E5}" type="pres">
      <dgm:prSet presAssocID="{DE764A1C-F8D7-495A-864B-435683331D3D}" presName="node" presStyleLbl="node1" presStyleIdx="1" presStyleCnt="4">
        <dgm:presLayoutVars>
          <dgm:bulletEnabled val="1"/>
        </dgm:presLayoutVars>
      </dgm:prSet>
      <dgm:spPr/>
    </dgm:pt>
    <dgm:pt modelId="{A0D316D4-0C7D-4871-9015-E77FE2F356CF}" type="pres">
      <dgm:prSet presAssocID="{2AAA996B-B6DA-4015-BC39-663988203AF3}" presName="sibTrans" presStyleCnt="0"/>
      <dgm:spPr/>
    </dgm:pt>
    <dgm:pt modelId="{42E62ABB-EED0-4CC9-B8CA-9C03E4BE4B64}" type="pres">
      <dgm:prSet presAssocID="{9BFB31C8-333A-4ECC-B73D-95E7A7DCB080}" presName="node" presStyleLbl="node1" presStyleIdx="2" presStyleCnt="4">
        <dgm:presLayoutVars>
          <dgm:bulletEnabled val="1"/>
        </dgm:presLayoutVars>
      </dgm:prSet>
      <dgm:spPr/>
    </dgm:pt>
    <dgm:pt modelId="{6D8D9D54-711F-469D-AA5A-17F5DFA1A969}" type="pres">
      <dgm:prSet presAssocID="{17AE9380-7AC1-42BE-86F0-12317BE304A8}" presName="sibTrans" presStyleCnt="0"/>
      <dgm:spPr/>
    </dgm:pt>
    <dgm:pt modelId="{FF9ACC43-B5A4-4C44-A64F-D1FDB61C3897}" type="pres">
      <dgm:prSet presAssocID="{437F945F-89DB-44F8-BB23-A91F384F7A5B}" presName="node" presStyleLbl="node1" presStyleIdx="3" presStyleCnt="4">
        <dgm:presLayoutVars>
          <dgm:bulletEnabled val="1"/>
        </dgm:presLayoutVars>
      </dgm:prSet>
      <dgm:spPr/>
    </dgm:pt>
  </dgm:ptLst>
  <dgm:cxnLst>
    <dgm:cxn modelId="{8E01AF20-0ABF-419E-9177-EEFA573B1CE1}" type="presOf" srcId="{A74EFB34-28D6-48D5-9713-61F611DC367C}" destId="{6FA96A91-14C9-4393-A7C2-80AA96ECC2C2}" srcOrd="0" destOrd="0" presId="urn:microsoft.com/office/officeart/2005/8/layout/hList6"/>
    <dgm:cxn modelId="{23C9515C-A637-46F1-B7A4-20481C004B4D}" srcId="{F18B28E0-0485-450F-8009-D68FA629EDB0}" destId="{9BFB31C8-333A-4ECC-B73D-95E7A7DCB080}" srcOrd="2" destOrd="0" parTransId="{76DBE2CF-A461-453E-900A-F61A45AE88E2}" sibTransId="{17AE9380-7AC1-42BE-86F0-12317BE304A8}"/>
    <dgm:cxn modelId="{8F26D868-9797-4185-B446-28CBF83E75C2}" srcId="{F18B28E0-0485-450F-8009-D68FA629EDB0}" destId="{437F945F-89DB-44F8-BB23-A91F384F7A5B}" srcOrd="3" destOrd="0" parTransId="{3FD229D6-A088-485E-AC51-DDEB4FB020A3}" sibTransId="{4DB54247-BED4-4A61-87AB-B18970FC097A}"/>
    <dgm:cxn modelId="{996B4856-A1BC-4A7E-80CC-DBA7D695EBB6}" type="presOf" srcId="{9BFB31C8-333A-4ECC-B73D-95E7A7DCB080}" destId="{42E62ABB-EED0-4CC9-B8CA-9C03E4BE4B64}" srcOrd="0" destOrd="0" presId="urn:microsoft.com/office/officeart/2005/8/layout/hList6"/>
    <dgm:cxn modelId="{94F5658E-B373-4663-AD10-E0D3B661CA06}" srcId="{F18B28E0-0485-450F-8009-D68FA629EDB0}" destId="{DE764A1C-F8D7-495A-864B-435683331D3D}" srcOrd="1" destOrd="0" parTransId="{6F0B2812-F136-4AF6-ABEC-164F9AED060C}" sibTransId="{2AAA996B-B6DA-4015-BC39-663988203AF3}"/>
    <dgm:cxn modelId="{7AC0D2A6-316E-44EA-89E3-BBD8C32F40C8}" type="presOf" srcId="{F18B28E0-0485-450F-8009-D68FA629EDB0}" destId="{95674654-9F5A-49FB-81F0-F4C99AFD5670}" srcOrd="0" destOrd="0" presId="urn:microsoft.com/office/officeart/2005/8/layout/hList6"/>
    <dgm:cxn modelId="{80DCBDB2-8B06-4368-BCD1-77C1A4A85CCA}" type="presOf" srcId="{437F945F-89DB-44F8-BB23-A91F384F7A5B}" destId="{FF9ACC43-B5A4-4C44-A64F-D1FDB61C3897}" srcOrd="0" destOrd="0" presId="urn:microsoft.com/office/officeart/2005/8/layout/hList6"/>
    <dgm:cxn modelId="{732C11EC-7C1B-4DDB-A228-903D2A99010D}" type="presOf" srcId="{DE764A1C-F8D7-495A-864B-435683331D3D}" destId="{9C8A3883-B372-4714-A9E8-3252D9FD60E5}" srcOrd="0" destOrd="0" presId="urn:microsoft.com/office/officeart/2005/8/layout/hList6"/>
    <dgm:cxn modelId="{70F197ED-D2EF-4313-8736-08267D1CC98B}" srcId="{F18B28E0-0485-450F-8009-D68FA629EDB0}" destId="{A74EFB34-28D6-48D5-9713-61F611DC367C}" srcOrd="0" destOrd="0" parTransId="{EF3660BE-BBF2-4108-9A83-2C47CA8B0EE2}" sibTransId="{1FE464FB-6095-4124-A895-7F9625028AE2}"/>
    <dgm:cxn modelId="{D22F2DF2-2616-440C-BA6C-54EAFB716335}" type="presParOf" srcId="{95674654-9F5A-49FB-81F0-F4C99AFD5670}" destId="{6FA96A91-14C9-4393-A7C2-80AA96ECC2C2}" srcOrd="0" destOrd="0" presId="urn:microsoft.com/office/officeart/2005/8/layout/hList6"/>
    <dgm:cxn modelId="{F0AEFABC-A25A-4FC2-AFEE-CF517C598438}" type="presParOf" srcId="{95674654-9F5A-49FB-81F0-F4C99AFD5670}" destId="{DC9302BA-203D-4BC9-94DC-FFB93264B333}" srcOrd="1" destOrd="0" presId="urn:microsoft.com/office/officeart/2005/8/layout/hList6"/>
    <dgm:cxn modelId="{EA5E0B36-EBF9-489A-8AF6-701B2DF925EA}" type="presParOf" srcId="{95674654-9F5A-49FB-81F0-F4C99AFD5670}" destId="{9C8A3883-B372-4714-A9E8-3252D9FD60E5}" srcOrd="2" destOrd="0" presId="urn:microsoft.com/office/officeart/2005/8/layout/hList6"/>
    <dgm:cxn modelId="{008C527E-BDB7-4510-8AFF-133C00DBB9D8}" type="presParOf" srcId="{95674654-9F5A-49FB-81F0-F4C99AFD5670}" destId="{A0D316D4-0C7D-4871-9015-E77FE2F356CF}" srcOrd="3" destOrd="0" presId="urn:microsoft.com/office/officeart/2005/8/layout/hList6"/>
    <dgm:cxn modelId="{6B2E7763-967A-46BC-8CBF-9C1EA8DEA9F6}" type="presParOf" srcId="{95674654-9F5A-49FB-81F0-F4C99AFD5670}" destId="{42E62ABB-EED0-4CC9-B8CA-9C03E4BE4B64}" srcOrd="4" destOrd="0" presId="urn:microsoft.com/office/officeart/2005/8/layout/hList6"/>
    <dgm:cxn modelId="{54C0E3DD-D6FD-4E97-B5B0-B531CB1DDCE9}" type="presParOf" srcId="{95674654-9F5A-49FB-81F0-F4C99AFD5670}" destId="{6D8D9D54-711F-469D-AA5A-17F5DFA1A969}" srcOrd="5" destOrd="0" presId="urn:microsoft.com/office/officeart/2005/8/layout/hList6"/>
    <dgm:cxn modelId="{5DD5092F-A82B-400B-8A69-3DC21671692B}" type="presParOf" srcId="{95674654-9F5A-49FB-81F0-F4C99AFD5670}" destId="{FF9ACC43-B5A4-4C44-A64F-D1FDB61C3897}" srcOrd="6" destOrd="0" presId="urn:microsoft.com/office/officeart/2005/8/layout/hList6"/>
  </dgm:cxnLst>
  <dgm:bg>
    <a:solidFill>
      <a:schemeClr val="accent2"/>
    </a:solidFill>
  </dgm:bg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ata8.xml><?xml version="1.0" encoding="utf-8"?>
<dgm:dataModel xmlns:dgm="http://schemas.openxmlformats.org/drawingml/2006/diagram" xmlns:a="http://schemas.openxmlformats.org/drawingml/2006/main">
  <dgm:ptLst>
    <dgm:pt modelId="{8D42E256-3438-42F6-9508-CE81AC5FF585}" type="doc">
      <dgm:prSet loTypeId="urn:microsoft.com/office/officeart/2005/8/layout/chart3" loCatId="cycle" qsTypeId="urn:microsoft.com/office/officeart/2005/8/quickstyle/3d2#1" qsCatId="3D" csTypeId="urn:microsoft.com/office/officeart/2005/8/colors/accent1_2#6" csCatId="accent1" phldr="1"/>
      <dgm:spPr/>
    </dgm:pt>
    <dgm:pt modelId="{45B53EF5-56F8-44CE-BDCE-60BD7FFBC0E1}">
      <dgm:prSet phldrT="[Text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en-GB" sz="1800" b="1">
              <a:solidFill>
                <a:sysClr val="windowText" lastClr="000000"/>
              </a:solidFill>
            </a:rPr>
            <a:t>MEMBERS LIST UPPER CASE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 tooltip="MEMBERS PROFILE"/>
          </dgm14:cNvPr>
        </a:ext>
      </dgm:extLst>
    </dgm:pt>
    <dgm:pt modelId="{F81092A3-2AD5-4C8E-83A7-5F1D2A32F71F}" type="parTrans" cxnId="{87B5E3C5-985F-48BA-8093-88DD52184731}">
      <dgm:prSet/>
      <dgm:spPr/>
      <dgm:t>
        <a:bodyPr/>
        <a:lstStyle/>
        <a:p>
          <a:endParaRPr lang="en-GB" sz="1800" b="1">
            <a:solidFill>
              <a:sysClr val="windowText" lastClr="000000"/>
            </a:solidFill>
          </a:endParaRPr>
        </a:p>
      </dgm:t>
    </dgm:pt>
    <dgm:pt modelId="{C45CCAE6-E2B4-4F24-B3D6-9D3F093CF4A8}" type="sibTrans" cxnId="{87B5E3C5-985F-48BA-8093-88DD52184731}">
      <dgm:prSet/>
      <dgm:spPr/>
      <dgm:t>
        <a:bodyPr/>
        <a:lstStyle/>
        <a:p>
          <a:endParaRPr lang="en-GB" sz="1800" b="1">
            <a:solidFill>
              <a:sysClr val="windowText" lastClr="000000"/>
            </a:solidFill>
          </a:endParaRPr>
        </a:p>
      </dgm:t>
    </dgm:pt>
    <dgm:pt modelId="{B9295978-F7D3-483B-9971-DABE26A8B52E}">
      <dgm:prSet phldrT="[Text]" custT="1"/>
      <dgm:spPr/>
      <dgm:t>
        <a:bodyPr/>
        <a:lstStyle/>
        <a:p>
          <a:r>
            <a:rPr lang="en-GB" sz="1800" b="1">
              <a:solidFill>
                <a:sysClr val="windowText" lastClr="000000"/>
              </a:solidFill>
            </a:rPr>
            <a:t>BRANCH PASTORS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 tooltip="BRANCH PASTORS"/>
          </dgm14:cNvPr>
        </a:ext>
      </dgm:extLst>
    </dgm:pt>
    <dgm:pt modelId="{625064F2-36B4-47C9-BBAD-BD698F9F0780}" type="parTrans" cxnId="{E0124568-114C-4F72-9B0A-715F646816E7}">
      <dgm:prSet/>
      <dgm:spPr/>
      <dgm:t>
        <a:bodyPr/>
        <a:lstStyle/>
        <a:p>
          <a:endParaRPr lang="en-GB" sz="1800" b="1">
            <a:solidFill>
              <a:sysClr val="windowText" lastClr="000000"/>
            </a:solidFill>
          </a:endParaRPr>
        </a:p>
      </dgm:t>
    </dgm:pt>
    <dgm:pt modelId="{85383DF6-AEFE-4435-8833-147ACA1D84AD}" type="sibTrans" cxnId="{E0124568-114C-4F72-9B0A-715F646816E7}">
      <dgm:prSet/>
      <dgm:spPr/>
      <dgm:t>
        <a:bodyPr/>
        <a:lstStyle/>
        <a:p>
          <a:endParaRPr lang="en-GB" sz="1800" b="1">
            <a:solidFill>
              <a:sysClr val="windowText" lastClr="000000"/>
            </a:solidFill>
          </a:endParaRPr>
        </a:p>
      </dgm:t>
    </dgm:pt>
    <dgm:pt modelId="{E50F2EDC-0CE7-472E-9022-369D99F31F86}">
      <dgm:prSet phldrT="[Text]" custT="1"/>
      <dgm:spPr>
        <a:solidFill>
          <a:schemeClr val="accent4"/>
        </a:solidFill>
      </dgm:spPr>
      <dgm:t>
        <a:bodyPr/>
        <a:lstStyle/>
        <a:p>
          <a:r>
            <a:rPr lang="en-GB" sz="1800" b="1">
              <a:solidFill>
                <a:sysClr val="windowText" lastClr="000000"/>
              </a:solidFill>
            </a:rPr>
            <a:t>ELDERS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 tooltip="ELDERS"/>
          </dgm14:cNvPr>
        </a:ext>
      </dgm:extLst>
    </dgm:pt>
    <dgm:pt modelId="{3E9AD5D3-0375-49E0-9BBE-6604F2A7EB58}" type="sibTrans" cxnId="{BEC5A51C-7A16-4E3D-AC78-70C01D3032CD}">
      <dgm:prSet/>
      <dgm:spPr/>
      <dgm:t>
        <a:bodyPr/>
        <a:lstStyle/>
        <a:p>
          <a:endParaRPr lang="en-GB" sz="1800" b="1">
            <a:solidFill>
              <a:sysClr val="windowText" lastClr="000000"/>
            </a:solidFill>
          </a:endParaRPr>
        </a:p>
      </dgm:t>
    </dgm:pt>
    <dgm:pt modelId="{9CD6A628-CA4D-4F78-AA90-1649F3A916CB}" type="parTrans" cxnId="{BEC5A51C-7A16-4E3D-AC78-70C01D3032CD}">
      <dgm:prSet/>
      <dgm:spPr/>
      <dgm:t>
        <a:bodyPr/>
        <a:lstStyle/>
        <a:p>
          <a:endParaRPr lang="en-GB" sz="1800" b="1">
            <a:solidFill>
              <a:sysClr val="windowText" lastClr="000000"/>
            </a:solidFill>
          </a:endParaRPr>
        </a:p>
      </dgm:t>
    </dgm:pt>
    <dgm:pt modelId="{D48B8005-4965-4612-9C85-39A7EEFC7661}" type="pres">
      <dgm:prSet presAssocID="{8D42E256-3438-42F6-9508-CE81AC5FF585}" presName="compositeShape" presStyleCnt="0">
        <dgm:presLayoutVars>
          <dgm:chMax val="7"/>
          <dgm:dir/>
          <dgm:resizeHandles val="exact"/>
        </dgm:presLayoutVars>
      </dgm:prSet>
      <dgm:spPr/>
    </dgm:pt>
    <dgm:pt modelId="{74360494-0936-487E-B36A-3B7ABAFBB55B}" type="pres">
      <dgm:prSet presAssocID="{8D42E256-3438-42F6-9508-CE81AC5FF585}" presName="wedge1" presStyleLbl="node1" presStyleIdx="0" presStyleCnt="3" custLinFactNeighborX="-5169" custLinFactNeighborY="3034"/>
      <dgm:spPr/>
    </dgm:pt>
    <dgm:pt modelId="{38C457AC-433F-4A9A-B9E0-212BA1F547E6}" type="pres">
      <dgm:prSet presAssocID="{8D42E256-3438-42F6-9508-CE81AC5FF585}" presName="wedge1Tx" presStyleLbl="node1" presStyleIdx="0" presStyleCnt="3">
        <dgm:presLayoutVars>
          <dgm:chMax val="0"/>
          <dgm:chPref val="0"/>
          <dgm:bulletEnabled val="1"/>
        </dgm:presLayoutVars>
      </dgm:prSet>
      <dgm:spPr/>
    </dgm:pt>
    <dgm:pt modelId="{D948080A-308D-4EB9-A98A-F0D89807BC65}" type="pres">
      <dgm:prSet presAssocID="{8D42E256-3438-42F6-9508-CE81AC5FF585}" presName="wedge2" presStyleLbl="node1" presStyleIdx="1" presStyleCnt="3" custLinFactNeighborY="1854"/>
      <dgm:spPr/>
    </dgm:pt>
    <dgm:pt modelId="{4AFBA80C-F3EC-401C-8F24-35B82649C6EA}" type="pres">
      <dgm:prSet presAssocID="{8D42E256-3438-42F6-9508-CE81AC5FF585}" presName="wedge2Tx" presStyleLbl="node1" presStyleIdx="1" presStyleCnt="3">
        <dgm:presLayoutVars>
          <dgm:chMax val="0"/>
          <dgm:chPref val="0"/>
          <dgm:bulletEnabled val="1"/>
        </dgm:presLayoutVars>
      </dgm:prSet>
      <dgm:spPr/>
    </dgm:pt>
    <dgm:pt modelId="{76C7BB85-8A31-4014-BC24-686A09451E51}" type="pres">
      <dgm:prSet presAssocID="{8D42E256-3438-42F6-9508-CE81AC5FF585}" presName="wedge3" presStyleLbl="node1" presStyleIdx="2" presStyleCnt="3" custLinFactNeighborX="-1102"/>
      <dgm:spPr/>
    </dgm:pt>
    <dgm:pt modelId="{5637400C-8D82-4DA5-AF93-FC062D10E9E6}" type="pres">
      <dgm:prSet presAssocID="{8D42E256-3438-42F6-9508-CE81AC5FF585}" presName="wedge3Tx" presStyleLbl="node1" presStyleIdx="2" presStyleCnt="3">
        <dgm:presLayoutVars>
          <dgm:chMax val="0"/>
          <dgm:chPref val="0"/>
          <dgm:bulletEnabled val="1"/>
        </dgm:presLayoutVars>
      </dgm:prSet>
      <dgm:spPr/>
    </dgm:pt>
  </dgm:ptLst>
  <dgm:cxnLst>
    <dgm:cxn modelId="{BEC5A51C-7A16-4E3D-AC78-70C01D3032CD}" srcId="{8D42E256-3438-42F6-9508-CE81AC5FF585}" destId="{E50F2EDC-0CE7-472E-9022-369D99F31F86}" srcOrd="2" destOrd="0" parTransId="{9CD6A628-CA4D-4F78-AA90-1649F3A916CB}" sibTransId="{3E9AD5D3-0375-49E0-9BBE-6604F2A7EB58}"/>
    <dgm:cxn modelId="{30B74926-132F-4515-BB62-7453D4618E9F}" type="presOf" srcId="{B9295978-F7D3-483B-9971-DABE26A8B52E}" destId="{D948080A-308D-4EB9-A98A-F0D89807BC65}" srcOrd="0" destOrd="0" presId="urn:microsoft.com/office/officeart/2005/8/layout/chart3"/>
    <dgm:cxn modelId="{DF0AED2A-93C9-42DB-92E0-1617C20627DD}" type="presOf" srcId="{B9295978-F7D3-483B-9971-DABE26A8B52E}" destId="{4AFBA80C-F3EC-401C-8F24-35B82649C6EA}" srcOrd="1" destOrd="0" presId="urn:microsoft.com/office/officeart/2005/8/layout/chart3"/>
    <dgm:cxn modelId="{32F85B40-8831-445D-A1A8-40854A340754}" type="presOf" srcId="{E50F2EDC-0CE7-472E-9022-369D99F31F86}" destId="{5637400C-8D82-4DA5-AF93-FC062D10E9E6}" srcOrd="1" destOrd="0" presId="urn:microsoft.com/office/officeart/2005/8/layout/chart3"/>
    <dgm:cxn modelId="{E0124568-114C-4F72-9B0A-715F646816E7}" srcId="{8D42E256-3438-42F6-9508-CE81AC5FF585}" destId="{B9295978-F7D3-483B-9971-DABE26A8B52E}" srcOrd="1" destOrd="0" parTransId="{625064F2-36B4-47C9-BBAD-BD698F9F0780}" sibTransId="{85383DF6-AEFE-4435-8833-147ACA1D84AD}"/>
    <dgm:cxn modelId="{3098056E-045E-48B7-94E1-082F91BF36DC}" type="presOf" srcId="{45B53EF5-56F8-44CE-BDCE-60BD7FFBC0E1}" destId="{74360494-0936-487E-B36A-3B7ABAFBB55B}" srcOrd="0" destOrd="0" presId="urn:microsoft.com/office/officeart/2005/8/layout/chart3"/>
    <dgm:cxn modelId="{F5BCAC8D-8F49-49E1-B8B2-C71C35A717BE}" type="presOf" srcId="{45B53EF5-56F8-44CE-BDCE-60BD7FFBC0E1}" destId="{38C457AC-433F-4A9A-B9E0-212BA1F547E6}" srcOrd="1" destOrd="0" presId="urn:microsoft.com/office/officeart/2005/8/layout/chart3"/>
    <dgm:cxn modelId="{9BB215B3-6CA6-4BE2-BFB5-A9F091F41CD9}" type="presOf" srcId="{8D42E256-3438-42F6-9508-CE81AC5FF585}" destId="{D48B8005-4965-4612-9C85-39A7EEFC7661}" srcOrd="0" destOrd="0" presId="urn:microsoft.com/office/officeart/2005/8/layout/chart3"/>
    <dgm:cxn modelId="{87B5E3C5-985F-48BA-8093-88DD52184731}" srcId="{8D42E256-3438-42F6-9508-CE81AC5FF585}" destId="{45B53EF5-56F8-44CE-BDCE-60BD7FFBC0E1}" srcOrd="0" destOrd="0" parTransId="{F81092A3-2AD5-4C8E-83A7-5F1D2A32F71F}" sibTransId="{C45CCAE6-E2B4-4F24-B3D6-9D3F093CF4A8}"/>
    <dgm:cxn modelId="{45D596D9-8336-41CB-8A78-76D8DF816432}" type="presOf" srcId="{E50F2EDC-0CE7-472E-9022-369D99F31F86}" destId="{76C7BB85-8A31-4014-BC24-686A09451E51}" srcOrd="0" destOrd="0" presId="urn:microsoft.com/office/officeart/2005/8/layout/chart3"/>
    <dgm:cxn modelId="{9F73E0B6-9C2C-4F38-84E4-382625C438BB}" type="presParOf" srcId="{D48B8005-4965-4612-9C85-39A7EEFC7661}" destId="{74360494-0936-487E-B36A-3B7ABAFBB55B}" srcOrd="0" destOrd="0" presId="urn:microsoft.com/office/officeart/2005/8/layout/chart3"/>
    <dgm:cxn modelId="{B9605216-9CDB-4DDE-B9BC-F2FA30B0511B}" type="presParOf" srcId="{D48B8005-4965-4612-9C85-39A7EEFC7661}" destId="{38C457AC-433F-4A9A-B9E0-212BA1F547E6}" srcOrd="1" destOrd="0" presId="urn:microsoft.com/office/officeart/2005/8/layout/chart3"/>
    <dgm:cxn modelId="{6876ECC1-36C1-4D17-8D5B-2AC6AEAC0C5F}" type="presParOf" srcId="{D48B8005-4965-4612-9C85-39A7EEFC7661}" destId="{D948080A-308D-4EB9-A98A-F0D89807BC65}" srcOrd="2" destOrd="0" presId="urn:microsoft.com/office/officeart/2005/8/layout/chart3"/>
    <dgm:cxn modelId="{FAE1F026-8BD5-456B-8C74-122B71156297}" type="presParOf" srcId="{D48B8005-4965-4612-9C85-39A7EEFC7661}" destId="{4AFBA80C-F3EC-401C-8F24-35B82649C6EA}" srcOrd="3" destOrd="0" presId="urn:microsoft.com/office/officeart/2005/8/layout/chart3"/>
    <dgm:cxn modelId="{FAF56B1A-6396-47A6-83B9-3C69937B9D26}" type="presParOf" srcId="{D48B8005-4965-4612-9C85-39A7EEFC7661}" destId="{76C7BB85-8A31-4014-BC24-686A09451E51}" srcOrd="4" destOrd="0" presId="urn:microsoft.com/office/officeart/2005/8/layout/chart3"/>
    <dgm:cxn modelId="{BF120169-31EB-417A-AF1D-2A9FF5F65279}" type="presParOf" srcId="{D48B8005-4965-4612-9C85-39A7EEFC7661}" destId="{5637400C-8D82-4DA5-AF93-FC062D10E9E6}" srcOrd="5" destOrd="0" presId="urn:microsoft.com/office/officeart/2005/8/layout/chart3"/>
  </dgm:cxnLst>
  <dgm:bg>
    <a:solidFill>
      <a:schemeClr val="accent1">
        <a:lumMod val="60000"/>
        <a:lumOff val="40000"/>
      </a:schemeClr>
    </a:solidFill>
  </dgm:bg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62D5C46-FFB2-4073-81AB-8AA5FD50C936}">
      <dsp:nvSpPr>
        <dsp:cNvPr id="0" name=""/>
        <dsp:cNvSpPr/>
      </dsp:nvSpPr>
      <dsp:spPr>
        <a:xfrm rot="16200000">
          <a:off x="-474737" y="486371"/>
          <a:ext cx="3119003" cy="2146259"/>
        </a:xfrm>
        <a:prstGeom prst="flowChartManualOperation">
          <a:avLst/>
        </a:prstGeom>
        <a:solidFill>
          <a:srgbClr val="C00000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27000" tIns="0" rIns="127000" bIns="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000" b="1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DUES CONTRIBUTIONS</a:t>
          </a:r>
        </a:p>
      </dsp:txBody>
      <dsp:txXfrm rot="5400000">
        <a:off x="11635" y="623800"/>
        <a:ext cx="2146259" cy="1871401"/>
      </dsp:txXfrm>
    </dsp:sp>
    <dsp:sp modelId="{56DA5730-0E9D-4F06-AA87-04E3A15D1C2D}">
      <dsp:nvSpPr>
        <dsp:cNvPr id="0" name=""/>
        <dsp:cNvSpPr/>
      </dsp:nvSpPr>
      <dsp:spPr>
        <a:xfrm rot="16200000">
          <a:off x="1875048" y="386502"/>
          <a:ext cx="3119003" cy="2345997"/>
        </a:xfrm>
        <a:prstGeom prst="flowChartManualOperation">
          <a:avLst/>
        </a:prstGeom>
        <a:solidFill>
          <a:srgbClr val="00B0F0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27000" tIns="0" rIns="127000" bIns="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000" b="1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LEVY CONTRIBUTIONS</a:t>
          </a:r>
        </a:p>
      </dsp:txBody>
      <dsp:txXfrm rot="5400000">
        <a:off x="2261551" y="623800"/>
        <a:ext cx="2345997" cy="1871401"/>
      </dsp:txXfrm>
    </dsp:sp>
    <dsp:sp modelId="{86DA4029-F3D7-4E99-B6FB-688452AA48AC}">
      <dsp:nvSpPr>
        <dsp:cNvPr id="0" name=""/>
        <dsp:cNvSpPr/>
      </dsp:nvSpPr>
      <dsp:spPr>
        <a:xfrm rot="16200000">
          <a:off x="4096255" y="660750"/>
          <a:ext cx="3119003" cy="1797501"/>
        </a:xfrm>
        <a:prstGeom prst="flowChartManualOperation">
          <a:avLst/>
        </a:prstGeom>
        <a:solidFill>
          <a:srgbClr val="00B050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27000" tIns="0" rIns="127000" bIns="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000" b="1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ACCOUNTS</a:t>
          </a:r>
        </a:p>
      </dsp:txBody>
      <dsp:txXfrm rot="5400000">
        <a:off x="4757006" y="623800"/>
        <a:ext cx="1797501" cy="1871401"/>
      </dsp:txXfrm>
    </dsp:sp>
    <dsp:sp modelId="{4501A571-B9C8-4A0A-9A03-F4E51583D4D1}">
      <dsp:nvSpPr>
        <dsp:cNvPr id="0" name=""/>
        <dsp:cNvSpPr/>
      </dsp:nvSpPr>
      <dsp:spPr>
        <a:xfrm rot="16200000">
          <a:off x="5900146" y="754428"/>
          <a:ext cx="3119003" cy="1610145"/>
        </a:xfrm>
        <a:prstGeom prst="flowChartManualOperation">
          <a:avLst/>
        </a:prstGeom>
        <a:solidFill>
          <a:schemeClr val="tx1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27000" tIns="0" rIns="127000" bIns="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000" b="1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TREASURER BILL</a:t>
          </a:r>
        </a:p>
      </dsp:txBody>
      <dsp:txXfrm rot="5400000">
        <a:off x="6654575" y="623800"/>
        <a:ext cx="1610145" cy="1871401"/>
      </dsp:txXfrm>
    </dsp:sp>
    <dsp:sp modelId="{FFACA09F-BF5F-40A2-B439-BD11B1D0FA9B}">
      <dsp:nvSpPr>
        <dsp:cNvPr id="0" name=""/>
        <dsp:cNvSpPr/>
      </dsp:nvSpPr>
      <dsp:spPr>
        <a:xfrm rot="16200000">
          <a:off x="7631052" y="754428"/>
          <a:ext cx="3119003" cy="1610145"/>
        </a:xfrm>
        <a:prstGeom prst="flowChartManualOperation">
          <a:avLst/>
        </a:prstGeom>
        <a:solidFill>
          <a:schemeClr val="accent4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27000" tIns="0" rIns="127000" bIns="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000" b="1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TRADING ACCOUNTS</a:t>
          </a:r>
        </a:p>
      </dsp:txBody>
      <dsp:txXfrm rot="5400000">
        <a:off x="8385481" y="623800"/>
        <a:ext cx="1610145" cy="1871401"/>
      </dsp:txXfrm>
    </dsp:sp>
    <dsp:sp modelId="{8ACB7890-32DC-4CE4-AB8A-C9D308E87BED}">
      <dsp:nvSpPr>
        <dsp:cNvPr id="0" name=""/>
        <dsp:cNvSpPr/>
      </dsp:nvSpPr>
      <dsp:spPr>
        <a:xfrm rot="16200000">
          <a:off x="9373982" y="731605"/>
          <a:ext cx="3119003" cy="1655792"/>
        </a:xfrm>
        <a:prstGeom prst="flowChartManualOperation">
          <a:avLst/>
        </a:prstGeom>
        <a:solidFill>
          <a:srgbClr val="7030A0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27000" tIns="0" rIns="127000" bIns="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000" b="1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PERSONAL PROFILE</a:t>
          </a:r>
        </a:p>
      </dsp:txBody>
      <dsp:txXfrm rot="5400000">
        <a:off x="10105587" y="623801"/>
        <a:ext cx="1655792" cy="1871401"/>
      </dsp:txXfrm>
    </dsp:sp>
    <dsp:sp modelId="{0C1128AD-7884-4369-A507-ED0C5448D4D7}">
      <dsp:nvSpPr>
        <dsp:cNvPr id="0" name=""/>
        <dsp:cNvSpPr/>
      </dsp:nvSpPr>
      <dsp:spPr>
        <a:xfrm rot="16200000">
          <a:off x="11286933" y="608541"/>
          <a:ext cx="3119003" cy="1901919"/>
        </a:xfrm>
        <a:prstGeom prst="flowChartManualOperation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27000" tIns="0" rIns="127000" bIns="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000" b="1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RECORDS</a:t>
          </a:r>
        </a:p>
      </dsp:txBody>
      <dsp:txXfrm rot="5400000">
        <a:off x="11895475" y="623800"/>
        <a:ext cx="1901919" cy="1871401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4F9ADC92-27E0-4040-9728-CD7921A66AA6}">
      <dsp:nvSpPr>
        <dsp:cNvPr id="0" name=""/>
        <dsp:cNvSpPr/>
      </dsp:nvSpPr>
      <dsp:spPr>
        <a:xfrm>
          <a:off x="2270" y="310064"/>
          <a:ext cx="1801310" cy="108078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6680" tIns="106680" rIns="106680" bIns="10668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800" kern="1200"/>
            <a:t>YEARLY DUES FEES</a:t>
          </a:r>
        </a:p>
      </dsp:txBody>
      <dsp:txXfrm>
        <a:off x="2270" y="310064"/>
        <a:ext cx="1801310" cy="1080786"/>
      </dsp:txXfrm>
    </dsp:sp>
    <dsp:sp modelId="{4816DB07-7019-49FE-9F42-3237FEFAC7E7}">
      <dsp:nvSpPr>
        <dsp:cNvPr id="0" name=""/>
        <dsp:cNvSpPr/>
      </dsp:nvSpPr>
      <dsp:spPr>
        <a:xfrm>
          <a:off x="1983711" y="310064"/>
          <a:ext cx="1801310" cy="108078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6680" tIns="106680" rIns="106680" bIns="10668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800" kern="1200"/>
            <a:t>YEARLY DUES</a:t>
          </a:r>
        </a:p>
      </dsp:txBody>
      <dsp:txXfrm>
        <a:off x="1983711" y="310064"/>
        <a:ext cx="1801310" cy="1080786"/>
      </dsp:txXfrm>
    </dsp:sp>
    <dsp:sp modelId="{56B58AF1-8498-440E-B75B-A8BFCD0225C2}">
      <dsp:nvSpPr>
        <dsp:cNvPr id="0" name=""/>
        <dsp:cNvSpPr/>
      </dsp:nvSpPr>
      <dsp:spPr>
        <a:xfrm>
          <a:off x="3965153" y="310064"/>
          <a:ext cx="1801310" cy="108078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6680" tIns="106680" rIns="106680" bIns="10668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800" kern="1200"/>
            <a:t>MONTHLY DUES 2023</a:t>
          </a:r>
        </a:p>
      </dsp:txBody>
      <dsp:txXfrm>
        <a:off x="3965153" y="310064"/>
        <a:ext cx="1801310" cy="1080786"/>
      </dsp:txXfrm>
    </dsp:sp>
    <dsp:sp modelId="{B431F8AC-871B-45BE-819C-2F43D072C826}">
      <dsp:nvSpPr>
        <dsp:cNvPr id="0" name=""/>
        <dsp:cNvSpPr/>
      </dsp:nvSpPr>
      <dsp:spPr>
        <a:xfrm>
          <a:off x="5946594" y="310064"/>
          <a:ext cx="1801310" cy="108078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6680" tIns="106680" rIns="106680" bIns="10668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800" kern="1200"/>
            <a:t>MONTHLY DUES 2024</a:t>
          </a:r>
        </a:p>
      </dsp:txBody>
      <dsp:txXfrm>
        <a:off x="5946594" y="310064"/>
        <a:ext cx="1801310" cy="1080786"/>
      </dsp:txXfrm>
    </dsp:sp>
    <dsp:sp modelId="{30AADDBB-2069-40BC-8B88-E2B54FFD27DC}">
      <dsp:nvSpPr>
        <dsp:cNvPr id="0" name=""/>
        <dsp:cNvSpPr/>
      </dsp:nvSpPr>
      <dsp:spPr>
        <a:xfrm>
          <a:off x="2270" y="1570981"/>
          <a:ext cx="1801310" cy="108078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6680" tIns="106680" rIns="106680" bIns="10668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800" kern="1200"/>
            <a:t>MONTHLY DUES 2025</a:t>
          </a:r>
        </a:p>
      </dsp:txBody>
      <dsp:txXfrm>
        <a:off x="2270" y="1570981"/>
        <a:ext cx="1801310" cy="1080786"/>
      </dsp:txXfrm>
    </dsp:sp>
    <dsp:sp modelId="{9B1D4A00-93D7-4DF3-ADC7-05D86F244C13}">
      <dsp:nvSpPr>
        <dsp:cNvPr id="0" name=""/>
        <dsp:cNvSpPr/>
      </dsp:nvSpPr>
      <dsp:spPr>
        <a:xfrm>
          <a:off x="1983711" y="1570981"/>
          <a:ext cx="1801310" cy="108078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6680" tIns="106680" rIns="106680" bIns="10668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800" kern="1200"/>
            <a:t>MONTHLY DUES 2026</a:t>
          </a:r>
        </a:p>
      </dsp:txBody>
      <dsp:txXfrm>
        <a:off x="1983711" y="1570981"/>
        <a:ext cx="1801310" cy="1080786"/>
      </dsp:txXfrm>
    </dsp:sp>
    <dsp:sp modelId="{3C3F115A-7D8E-4A66-B396-3A14A7867ED2}">
      <dsp:nvSpPr>
        <dsp:cNvPr id="0" name=""/>
        <dsp:cNvSpPr/>
      </dsp:nvSpPr>
      <dsp:spPr>
        <a:xfrm>
          <a:off x="3965153" y="1570981"/>
          <a:ext cx="1801310" cy="108078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6680" tIns="106680" rIns="106680" bIns="10668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800" kern="1200"/>
            <a:t>MONTHLY DUES 2027</a:t>
          </a:r>
        </a:p>
      </dsp:txBody>
      <dsp:txXfrm>
        <a:off x="3965153" y="1570981"/>
        <a:ext cx="1801310" cy="1080786"/>
      </dsp:txXfrm>
    </dsp:sp>
    <dsp:sp modelId="{891B6416-4140-4F2B-8EE9-BF30C90B5880}">
      <dsp:nvSpPr>
        <dsp:cNvPr id="0" name=""/>
        <dsp:cNvSpPr/>
      </dsp:nvSpPr>
      <dsp:spPr>
        <a:xfrm>
          <a:off x="5946594" y="1570981"/>
          <a:ext cx="1801310" cy="108078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6680" tIns="106680" rIns="106680" bIns="10668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800" kern="1200"/>
            <a:t>MONTHLY DUES 2028</a:t>
          </a:r>
        </a:p>
      </dsp:txBody>
      <dsp:txXfrm>
        <a:off x="5946594" y="1570981"/>
        <a:ext cx="1801310" cy="1080786"/>
      </dsp:txXfrm>
    </dsp:sp>
    <dsp:sp modelId="{FEF93410-DA9A-4193-ABDB-0C736EE14F96}">
      <dsp:nvSpPr>
        <dsp:cNvPr id="0" name=""/>
        <dsp:cNvSpPr/>
      </dsp:nvSpPr>
      <dsp:spPr>
        <a:xfrm>
          <a:off x="2270" y="2831899"/>
          <a:ext cx="1801310" cy="108078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6680" tIns="106680" rIns="106680" bIns="10668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800" kern="1200"/>
            <a:t>MONTHLY DUES 2029</a:t>
          </a:r>
        </a:p>
      </dsp:txBody>
      <dsp:txXfrm>
        <a:off x="2270" y="2831899"/>
        <a:ext cx="1801310" cy="1080786"/>
      </dsp:txXfrm>
    </dsp:sp>
    <dsp:sp modelId="{C7C7104E-8E42-460C-9F9C-7F39B3B4B8C3}">
      <dsp:nvSpPr>
        <dsp:cNvPr id="0" name=""/>
        <dsp:cNvSpPr/>
      </dsp:nvSpPr>
      <dsp:spPr>
        <a:xfrm>
          <a:off x="1983711" y="2831899"/>
          <a:ext cx="1801310" cy="108078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6680" tIns="106680" rIns="106680" bIns="10668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800" kern="1200"/>
            <a:t>MONTHLY DUES 2030</a:t>
          </a:r>
        </a:p>
      </dsp:txBody>
      <dsp:txXfrm>
        <a:off x="1983711" y="2831899"/>
        <a:ext cx="1801310" cy="1080786"/>
      </dsp:txXfrm>
    </dsp:sp>
    <dsp:sp modelId="{E0383D59-7838-41E7-AC1E-387B208A462F}">
      <dsp:nvSpPr>
        <dsp:cNvPr id="0" name=""/>
        <dsp:cNvSpPr/>
      </dsp:nvSpPr>
      <dsp:spPr>
        <a:xfrm>
          <a:off x="3965153" y="2831899"/>
          <a:ext cx="1801310" cy="108078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6680" tIns="106680" rIns="106680" bIns="10668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800" kern="1200"/>
            <a:t>MONTHLY DUES 2031</a:t>
          </a:r>
        </a:p>
      </dsp:txBody>
      <dsp:txXfrm>
        <a:off x="3965153" y="2831899"/>
        <a:ext cx="1801310" cy="1080786"/>
      </dsp:txXfrm>
    </dsp:sp>
    <dsp:sp modelId="{C7A9DC5D-2B90-473E-A9E9-8333EA8E90D9}">
      <dsp:nvSpPr>
        <dsp:cNvPr id="0" name=""/>
        <dsp:cNvSpPr/>
      </dsp:nvSpPr>
      <dsp:spPr>
        <a:xfrm>
          <a:off x="5946594" y="2831899"/>
          <a:ext cx="1801310" cy="108078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6680" tIns="106680" rIns="106680" bIns="10668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800" kern="1200"/>
            <a:t>MONTHLY DUES 2032</a:t>
          </a:r>
        </a:p>
      </dsp:txBody>
      <dsp:txXfrm>
        <a:off x="5946594" y="2831899"/>
        <a:ext cx="1801310" cy="1080786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43C7F779-B5E4-4720-8632-C92284A0FD98}">
      <dsp:nvSpPr>
        <dsp:cNvPr id="0" name=""/>
        <dsp:cNvSpPr/>
      </dsp:nvSpPr>
      <dsp:spPr>
        <a:xfrm>
          <a:off x="-5158301" y="-790145"/>
          <a:ext cx="6142766" cy="6142766"/>
        </a:xfrm>
        <a:prstGeom prst="blockArc">
          <a:avLst>
            <a:gd name="adj1" fmla="val 18900000"/>
            <a:gd name="adj2" fmla="val 2700000"/>
            <a:gd name="adj3" fmla="val 352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-110000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B36C12-7901-4D54-B205-642FB7769388}">
      <dsp:nvSpPr>
        <dsp:cNvPr id="0" name=""/>
        <dsp:cNvSpPr/>
      </dsp:nvSpPr>
      <dsp:spPr>
        <a:xfrm>
          <a:off x="430600" y="285063"/>
          <a:ext cx="5573763" cy="570491"/>
        </a:xfrm>
        <a:prstGeom prst="rect">
          <a:avLst/>
        </a:prstGeom>
        <a:solidFill>
          <a:srgbClr val="C00000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452828" tIns="78740" rIns="78740" bIns="78740" numCol="1" spcCol="1270" anchor="ctr" anchorCtr="0">
          <a:noAutofit/>
        </a:bodyPr>
        <a:lstStyle/>
        <a:p>
          <a:pPr marL="0" lvl="0" indent="0" algn="l" defTabSz="1377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100" kern="1200">
              <a:latin typeface="Arial" panose="020B0604020202020204" pitchFamily="34" charset="0"/>
              <a:cs typeface="Arial" panose="020B0604020202020204" pitchFamily="34" charset="0"/>
            </a:rPr>
            <a:t>SPECIAL LEVY FEE</a:t>
          </a:r>
        </a:p>
      </dsp:txBody>
      <dsp:txXfrm>
        <a:off x="430600" y="285063"/>
        <a:ext cx="5573763" cy="570491"/>
      </dsp:txXfrm>
    </dsp:sp>
    <dsp:sp modelId="{DCD606AC-AA58-43E0-A382-5C4C76F86399}">
      <dsp:nvSpPr>
        <dsp:cNvPr id="0" name=""/>
        <dsp:cNvSpPr/>
      </dsp:nvSpPr>
      <dsp:spPr>
        <a:xfrm>
          <a:off x="74042" y="213751"/>
          <a:ext cx="713114" cy="713114"/>
        </a:xfrm>
        <a:prstGeom prst="ellipse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300000" contourW="12700" prstMaterial="flat">
          <a:bevelT w="177800" h="254000"/>
          <a:bevelB w="152400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995A3F1-F006-41B5-9F3B-B1C8B538D4E4}">
      <dsp:nvSpPr>
        <dsp:cNvPr id="0" name=""/>
        <dsp:cNvSpPr/>
      </dsp:nvSpPr>
      <dsp:spPr>
        <a:xfrm>
          <a:off x="839398" y="1140527"/>
          <a:ext cx="5164965" cy="570491"/>
        </a:xfrm>
        <a:prstGeom prst="rect">
          <a:avLst/>
        </a:prstGeom>
        <a:solidFill>
          <a:srgbClr val="00B050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452828" tIns="78740" rIns="78740" bIns="78740" numCol="1" spcCol="1270" anchor="ctr" anchorCtr="0">
          <a:noAutofit/>
        </a:bodyPr>
        <a:lstStyle/>
        <a:p>
          <a:pPr marL="0" lvl="0" indent="0" algn="l" defTabSz="1377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100" kern="1200">
              <a:latin typeface="Arial" panose="020B0604020202020204" pitchFamily="34" charset="0"/>
              <a:cs typeface="Arial" panose="020B0604020202020204" pitchFamily="34" charset="0"/>
            </a:rPr>
            <a:t>SPECIAL LEVY</a:t>
          </a:r>
        </a:p>
      </dsp:txBody>
      <dsp:txXfrm>
        <a:off x="839398" y="1140527"/>
        <a:ext cx="5164965" cy="570491"/>
      </dsp:txXfrm>
    </dsp:sp>
    <dsp:sp modelId="{9409DD71-89DD-4181-9EE4-1E250D9EEB20}">
      <dsp:nvSpPr>
        <dsp:cNvPr id="0" name=""/>
        <dsp:cNvSpPr/>
      </dsp:nvSpPr>
      <dsp:spPr>
        <a:xfrm>
          <a:off x="482840" y="1069216"/>
          <a:ext cx="713114" cy="713114"/>
        </a:xfrm>
        <a:prstGeom prst="ellipse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300000" contourW="12700" prstMaterial="flat">
          <a:bevelT w="177800" h="254000"/>
          <a:bevelB w="152400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EF9A40EA-48CA-4CF6-A73B-625A8E0AFDA2}">
      <dsp:nvSpPr>
        <dsp:cNvPr id="0" name=""/>
        <dsp:cNvSpPr/>
      </dsp:nvSpPr>
      <dsp:spPr>
        <a:xfrm>
          <a:off x="964866" y="1995991"/>
          <a:ext cx="5039497" cy="570491"/>
        </a:xfrm>
        <a:prstGeom prst="rect">
          <a:avLst/>
        </a:prstGeom>
        <a:solidFill>
          <a:srgbClr val="7030A0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452828" tIns="78740" rIns="78740" bIns="78740" numCol="1" spcCol="1270" anchor="ctr" anchorCtr="0">
          <a:noAutofit/>
        </a:bodyPr>
        <a:lstStyle/>
        <a:p>
          <a:pPr marL="0" lvl="0" indent="0" algn="l" defTabSz="1377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100" kern="1200">
              <a:latin typeface="Arial" panose="020B0604020202020204" pitchFamily="34" charset="0"/>
              <a:cs typeface="Arial" panose="020B0604020202020204" pitchFamily="34" charset="0"/>
            </a:rPr>
            <a:t>LEVY DISBUSMENTS</a:t>
          </a:r>
        </a:p>
      </dsp:txBody>
      <dsp:txXfrm>
        <a:off x="964866" y="1995991"/>
        <a:ext cx="5039497" cy="570491"/>
      </dsp:txXfrm>
    </dsp:sp>
    <dsp:sp modelId="{A4454049-2AFA-4DAF-9B20-AF4EA6A0BB31}">
      <dsp:nvSpPr>
        <dsp:cNvPr id="0" name=""/>
        <dsp:cNvSpPr/>
      </dsp:nvSpPr>
      <dsp:spPr>
        <a:xfrm>
          <a:off x="608308" y="1924680"/>
          <a:ext cx="713114" cy="713114"/>
        </a:xfrm>
        <a:prstGeom prst="ellipse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300000" contourW="12700" prstMaterial="flat">
          <a:bevelT w="177800" h="254000"/>
          <a:bevelB w="152400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A403B623-C04A-4F01-9FAF-C94321188854}">
      <dsp:nvSpPr>
        <dsp:cNvPr id="0" name=""/>
        <dsp:cNvSpPr/>
      </dsp:nvSpPr>
      <dsp:spPr>
        <a:xfrm>
          <a:off x="839398" y="2851455"/>
          <a:ext cx="5164965" cy="570491"/>
        </a:xfrm>
        <a:prstGeom prst="rect">
          <a:avLst/>
        </a:prstGeom>
        <a:solidFill>
          <a:srgbClr val="00B0F0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452828" tIns="78740" rIns="78740" bIns="78740" numCol="1" spcCol="1270" anchor="ctr" anchorCtr="0">
          <a:noAutofit/>
        </a:bodyPr>
        <a:lstStyle/>
        <a:p>
          <a:pPr marL="0" lvl="0" indent="0" algn="l" defTabSz="1377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100" kern="1200">
              <a:latin typeface="Arial" panose="020B0604020202020204" pitchFamily="34" charset="0"/>
              <a:cs typeface="Arial" panose="020B0604020202020204" pitchFamily="34" charset="0"/>
            </a:rPr>
            <a:t>LEVY ACCOUNT</a:t>
          </a:r>
        </a:p>
      </dsp:txBody>
      <dsp:txXfrm>
        <a:off x="839398" y="2851455"/>
        <a:ext cx="5164965" cy="570491"/>
      </dsp:txXfrm>
    </dsp:sp>
    <dsp:sp modelId="{502A6729-CE11-417A-AC88-1B2F30D918A7}">
      <dsp:nvSpPr>
        <dsp:cNvPr id="0" name=""/>
        <dsp:cNvSpPr/>
      </dsp:nvSpPr>
      <dsp:spPr>
        <a:xfrm>
          <a:off x="482840" y="2780144"/>
          <a:ext cx="713114" cy="713114"/>
        </a:xfrm>
        <a:prstGeom prst="ellipse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300000" contourW="12700" prstMaterial="flat">
          <a:bevelT w="177800" h="254000"/>
          <a:bevelB w="152400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DF4D471F-663C-4161-94E0-E8DF87E4A90F}">
      <dsp:nvSpPr>
        <dsp:cNvPr id="0" name=""/>
        <dsp:cNvSpPr/>
      </dsp:nvSpPr>
      <dsp:spPr>
        <a:xfrm>
          <a:off x="430600" y="3706919"/>
          <a:ext cx="5573763" cy="570491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452828" tIns="78740" rIns="78740" bIns="78740" numCol="1" spcCol="1270" anchor="ctr" anchorCtr="0">
          <a:noAutofit/>
        </a:bodyPr>
        <a:lstStyle/>
        <a:p>
          <a:pPr marL="0" lvl="0" indent="0" algn="l" defTabSz="1377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100" kern="1200">
              <a:latin typeface="Arial" panose="020B0604020202020204" pitchFamily="34" charset="0"/>
              <a:cs typeface="Arial" panose="020B0604020202020204" pitchFamily="34" charset="0"/>
            </a:rPr>
            <a:t>LEVY TRAIL BALANCE</a:t>
          </a:r>
        </a:p>
      </dsp:txBody>
      <dsp:txXfrm>
        <a:off x="430600" y="3706919"/>
        <a:ext cx="5573763" cy="570491"/>
      </dsp:txXfrm>
    </dsp:sp>
    <dsp:sp modelId="{AFADB471-2A41-4688-8E40-506BC99843FA}">
      <dsp:nvSpPr>
        <dsp:cNvPr id="0" name=""/>
        <dsp:cNvSpPr/>
      </dsp:nvSpPr>
      <dsp:spPr>
        <a:xfrm>
          <a:off x="74042" y="3635608"/>
          <a:ext cx="713114" cy="713114"/>
        </a:xfrm>
        <a:prstGeom prst="ellipse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300000" contourW="12700" prstMaterial="flat">
          <a:bevelT w="177800" h="254000"/>
          <a:bevelB w="152400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E4230B28-1BA6-4B75-AE38-6431F1A75F73}">
      <dsp:nvSpPr>
        <dsp:cNvPr id="0" name=""/>
        <dsp:cNvSpPr/>
      </dsp:nvSpPr>
      <dsp:spPr>
        <a:xfrm>
          <a:off x="501104" y="3429"/>
          <a:ext cx="2073020" cy="124381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500" b="1" kern="1200"/>
            <a:t>MTN MOMO ACCOUNT</a:t>
          </a:r>
        </a:p>
      </dsp:txBody>
      <dsp:txXfrm>
        <a:off x="501104" y="3429"/>
        <a:ext cx="2073020" cy="1243812"/>
      </dsp:txXfrm>
    </dsp:sp>
    <dsp:sp modelId="{1C65CAA6-080C-4A73-BE97-AA0DAB3BCD22}">
      <dsp:nvSpPr>
        <dsp:cNvPr id="0" name=""/>
        <dsp:cNvSpPr/>
      </dsp:nvSpPr>
      <dsp:spPr>
        <a:xfrm>
          <a:off x="2781427" y="3429"/>
          <a:ext cx="2073020" cy="124381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500" b="1" kern="1200"/>
            <a:t>PAYMENT VOUCHERS</a:t>
          </a:r>
        </a:p>
      </dsp:txBody>
      <dsp:txXfrm>
        <a:off x="2781427" y="3429"/>
        <a:ext cx="2073020" cy="1243812"/>
      </dsp:txXfrm>
    </dsp:sp>
    <dsp:sp modelId="{510A3C40-B28B-4368-B709-CF03FA875904}">
      <dsp:nvSpPr>
        <dsp:cNvPr id="0" name=""/>
        <dsp:cNvSpPr/>
      </dsp:nvSpPr>
      <dsp:spPr>
        <a:xfrm>
          <a:off x="5061749" y="3429"/>
          <a:ext cx="2073020" cy="124381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500" b="1" kern="1200"/>
            <a:t>PETTY CASH ACCOUNT</a:t>
          </a:r>
        </a:p>
      </dsp:txBody>
      <dsp:txXfrm>
        <a:off x="5061749" y="3429"/>
        <a:ext cx="2073020" cy="1243812"/>
      </dsp:txXfrm>
    </dsp:sp>
    <dsp:sp modelId="{83140651-018F-43C9-A77E-ACCF53E432CD}">
      <dsp:nvSpPr>
        <dsp:cNvPr id="0" name=""/>
        <dsp:cNvSpPr/>
      </dsp:nvSpPr>
      <dsp:spPr>
        <a:xfrm>
          <a:off x="501104" y="1454543"/>
          <a:ext cx="2073020" cy="124381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500" b="1" kern="1200"/>
            <a:t>TRAIL BALANCE</a:t>
          </a:r>
        </a:p>
      </dsp:txBody>
      <dsp:txXfrm>
        <a:off x="501104" y="1454543"/>
        <a:ext cx="2073020" cy="1243812"/>
      </dsp:txXfrm>
    </dsp:sp>
    <dsp:sp modelId="{B550D769-C118-4604-A3A3-2B1DA957F664}">
      <dsp:nvSpPr>
        <dsp:cNvPr id="0" name=""/>
        <dsp:cNvSpPr/>
      </dsp:nvSpPr>
      <dsp:spPr>
        <a:xfrm>
          <a:off x="2781427" y="1454543"/>
          <a:ext cx="2073020" cy="124381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500" b="1" kern="1200"/>
            <a:t>FIDELITY BANK</a:t>
          </a:r>
        </a:p>
      </dsp:txBody>
      <dsp:txXfrm>
        <a:off x="2781427" y="1454543"/>
        <a:ext cx="2073020" cy="1243812"/>
      </dsp:txXfrm>
    </dsp:sp>
    <dsp:sp modelId="{3F485B3B-6292-49D9-A836-7025453AF6EB}">
      <dsp:nvSpPr>
        <dsp:cNvPr id="0" name=""/>
        <dsp:cNvSpPr/>
      </dsp:nvSpPr>
      <dsp:spPr>
        <a:xfrm>
          <a:off x="5061749" y="1454543"/>
          <a:ext cx="2073020" cy="124381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500" b="1" kern="1200"/>
            <a:t>BANK ACCOUNTS TEMA</a:t>
          </a:r>
        </a:p>
      </dsp:txBody>
      <dsp:txXfrm>
        <a:off x="5061749" y="1454543"/>
        <a:ext cx="2073020" cy="1243812"/>
      </dsp:txXfrm>
    </dsp:sp>
    <dsp:sp modelId="{98AAC812-8ED7-4053-8ED5-C01B6957C95C}">
      <dsp:nvSpPr>
        <dsp:cNvPr id="0" name=""/>
        <dsp:cNvSpPr/>
      </dsp:nvSpPr>
      <dsp:spPr>
        <a:xfrm>
          <a:off x="501104" y="2905658"/>
          <a:ext cx="2073020" cy="124381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b="1" kern="1200"/>
            <a:t>CHECK YOUR DUES BALANCE</a:t>
          </a:r>
          <a:endParaRPr lang="en-GB" sz="2500" b="1" kern="1200"/>
        </a:p>
      </dsp:txBody>
      <dsp:txXfrm>
        <a:off x="501104" y="2905658"/>
        <a:ext cx="2073020" cy="1243812"/>
      </dsp:txXfrm>
    </dsp:sp>
    <dsp:sp modelId="{AC1E4B10-FC37-4B33-9EF6-B2385672329E}">
      <dsp:nvSpPr>
        <dsp:cNvPr id="0" name=""/>
        <dsp:cNvSpPr/>
      </dsp:nvSpPr>
      <dsp:spPr>
        <a:xfrm>
          <a:off x="2781427" y="2905658"/>
          <a:ext cx="2073020" cy="124381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b="1" kern="1200"/>
            <a:t>CHECK YOUR LEVY BALANCE</a:t>
          </a:r>
          <a:endParaRPr lang="en-GB" sz="2500" b="1" kern="1200"/>
        </a:p>
      </dsp:txBody>
      <dsp:txXfrm>
        <a:off x="2781427" y="2905658"/>
        <a:ext cx="2073020" cy="1243812"/>
      </dsp:txXfrm>
    </dsp:sp>
    <dsp:sp modelId="{9AB67004-A097-4EDA-B45B-86F2D1A9EE84}">
      <dsp:nvSpPr>
        <dsp:cNvPr id="0" name=""/>
        <dsp:cNvSpPr/>
      </dsp:nvSpPr>
      <dsp:spPr>
        <a:xfrm>
          <a:off x="5061749" y="2905658"/>
          <a:ext cx="2073020" cy="124381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500" b="1" kern="1200"/>
            <a:t>MEMBERS SHARES DEVIDENT</a:t>
          </a:r>
        </a:p>
      </dsp:txBody>
      <dsp:txXfrm>
        <a:off x="5061749" y="2905658"/>
        <a:ext cx="2073020" cy="1243812"/>
      </dsp:txXfrm>
    </dsp:sp>
  </dsp:spTree>
</dsp:drawing>
</file>

<file path=xl/diagrams/drawing5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1997BDC-B316-48DF-8EF7-0B9675300827}">
      <dsp:nvSpPr>
        <dsp:cNvPr id="0" name=""/>
        <dsp:cNvSpPr/>
      </dsp:nvSpPr>
      <dsp:spPr>
        <a:xfrm>
          <a:off x="2555" y="301742"/>
          <a:ext cx="2027119" cy="121627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400" b="1" kern="1200"/>
            <a:t>CASH FLOW</a:t>
          </a:r>
        </a:p>
      </dsp:txBody>
      <dsp:txXfrm>
        <a:off x="2555" y="301742"/>
        <a:ext cx="2027119" cy="1216271"/>
      </dsp:txXfrm>
    </dsp:sp>
    <dsp:sp modelId="{869A0D67-1D75-4E89-BEC4-343AC4337FA7}">
      <dsp:nvSpPr>
        <dsp:cNvPr id="0" name=""/>
        <dsp:cNvSpPr/>
      </dsp:nvSpPr>
      <dsp:spPr>
        <a:xfrm>
          <a:off x="2232387" y="301742"/>
          <a:ext cx="2027119" cy="121627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400" b="1" kern="1200"/>
            <a:t>TREASURER BILL FOR MEMBERS</a:t>
          </a:r>
        </a:p>
      </dsp:txBody>
      <dsp:txXfrm>
        <a:off x="2232387" y="301742"/>
        <a:ext cx="2027119" cy="1216271"/>
      </dsp:txXfrm>
    </dsp:sp>
    <dsp:sp modelId="{3CFF8370-5BDE-4BED-90DF-911871500691}">
      <dsp:nvSpPr>
        <dsp:cNvPr id="0" name=""/>
        <dsp:cNvSpPr/>
      </dsp:nvSpPr>
      <dsp:spPr>
        <a:xfrm>
          <a:off x="4462218" y="301742"/>
          <a:ext cx="2027119" cy="121627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400" b="1" kern="1200"/>
            <a:t>SHARES HOLDING</a:t>
          </a:r>
        </a:p>
      </dsp:txBody>
      <dsp:txXfrm>
        <a:off x="4462218" y="301742"/>
        <a:ext cx="2027119" cy="1216271"/>
      </dsp:txXfrm>
    </dsp:sp>
    <dsp:sp modelId="{333DDAFB-4511-4E19-A8FE-A19AC4D537EB}">
      <dsp:nvSpPr>
        <dsp:cNvPr id="0" name=""/>
        <dsp:cNvSpPr/>
      </dsp:nvSpPr>
      <dsp:spPr>
        <a:xfrm>
          <a:off x="6692050" y="301742"/>
          <a:ext cx="2027119" cy="121627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400" b="1" kern="1200"/>
            <a:t>MEMBERS SHARES HOLDING</a:t>
          </a:r>
        </a:p>
      </dsp:txBody>
      <dsp:txXfrm>
        <a:off x="6692050" y="301742"/>
        <a:ext cx="2027119" cy="1216271"/>
      </dsp:txXfrm>
    </dsp:sp>
    <dsp:sp modelId="{8B916F2C-7303-4898-8133-66F4A2924129}">
      <dsp:nvSpPr>
        <dsp:cNvPr id="0" name=""/>
        <dsp:cNvSpPr/>
      </dsp:nvSpPr>
      <dsp:spPr>
        <a:xfrm>
          <a:off x="2555" y="1720726"/>
          <a:ext cx="2027119" cy="121627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400" b="1" kern="1200"/>
            <a:t>BOG SHARES DEVIDENT</a:t>
          </a:r>
        </a:p>
      </dsp:txBody>
      <dsp:txXfrm>
        <a:off x="2555" y="1720726"/>
        <a:ext cx="2027119" cy="1216271"/>
      </dsp:txXfrm>
    </dsp:sp>
    <dsp:sp modelId="{0C9BD009-CC6D-4BED-AD64-0E600EDA15C8}">
      <dsp:nvSpPr>
        <dsp:cNvPr id="0" name=""/>
        <dsp:cNvSpPr/>
      </dsp:nvSpPr>
      <dsp:spPr>
        <a:xfrm>
          <a:off x="2232387" y="1720726"/>
          <a:ext cx="2027119" cy="121627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400" b="1" kern="1200"/>
            <a:t>CHECK SHARES HOLDING</a:t>
          </a:r>
        </a:p>
      </dsp:txBody>
      <dsp:txXfrm>
        <a:off x="2232387" y="1720726"/>
        <a:ext cx="2027119" cy="1216271"/>
      </dsp:txXfrm>
    </dsp:sp>
    <dsp:sp modelId="{AB721784-853F-4C30-BBF0-197BE9102FC6}">
      <dsp:nvSpPr>
        <dsp:cNvPr id="0" name=""/>
        <dsp:cNvSpPr/>
      </dsp:nvSpPr>
      <dsp:spPr>
        <a:xfrm>
          <a:off x="4462218" y="1720726"/>
          <a:ext cx="2027119" cy="121627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400" b="1" kern="1200"/>
            <a:t>TREASURER BILL NO 1</a:t>
          </a:r>
        </a:p>
      </dsp:txBody>
      <dsp:txXfrm>
        <a:off x="4462218" y="1720726"/>
        <a:ext cx="2027119" cy="1216271"/>
      </dsp:txXfrm>
    </dsp:sp>
    <dsp:sp modelId="{F856FAAB-ABB9-426D-9A9F-BC146614662E}">
      <dsp:nvSpPr>
        <dsp:cNvPr id="0" name=""/>
        <dsp:cNvSpPr/>
      </dsp:nvSpPr>
      <dsp:spPr>
        <a:xfrm>
          <a:off x="6692050" y="1720726"/>
          <a:ext cx="2027119" cy="121627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400" b="1" kern="1200"/>
            <a:t>TREASURER BILL NO 2</a:t>
          </a:r>
        </a:p>
      </dsp:txBody>
      <dsp:txXfrm>
        <a:off x="6692050" y="1720726"/>
        <a:ext cx="2027119" cy="1216271"/>
      </dsp:txXfrm>
    </dsp:sp>
    <dsp:sp modelId="{4414EEDA-7F14-438E-8D49-9C24A8771141}">
      <dsp:nvSpPr>
        <dsp:cNvPr id="0" name=""/>
        <dsp:cNvSpPr/>
      </dsp:nvSpPr>
      <dsp:spPr>
        <a:xfrm>
          <a:off x="2232387" y="3139710"/>
          <a:ext cx="2027119" cy="121627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400" b="1" kern="1200"/>
            <a:t>TREASURER BILL NO 3</a:t>
          </a:r>
        </a:p>
      </dsp:txBody>
      <dsp:txXfrm>
        <a:off x="2232387" y="3139710"/>
        <a:ext cx="2027119" cy="1216271"/>
      </dsp:txXfrm>
    </dsp:sp>
    <dsp:sp modelId="{08A7F033-50F7-435D-B84A-934898B304FF}">
      <dsp:nvSpPr>
        <dsp:cNvPr id="0" name=""/>
        <dsp:cNvSpPr/>
      </dsp:nvSpPr>
      <dsp:spPr>
        <a:xfrm>
          <a:off x="4462218" y="3139710"/>
          <a:ext cx="2027119" cy="121627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400" b="1" kern="1200"/>
            <a:t>TREASURER BILL NO 4</a:t>
          </a:r>
        </a:p>
      </dsp:txBody>
      <dsp:txXfrm>
        <a:off x="4462218" y="3139710"/>
        <a:ext cx="2027119" cy="1216271"/>
      </dsp:txXfrm>
    </dsp:sp>
  </dsp:spTree>
</dsp:drawing>
</file>

<file path=xl/diagrams/drawing6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BB1106F7-EE3D-446E-BE00-D9293F85568A}">
      <dsp:nvSpPr>
        <dsp:cNvPr id="0" name=""/>
        <dsp:cNvSpPr/>
      </dsp:nvSpPr>
      <dsp:spPr>
        <a:xfrm>
          <a:off x="1321197" y="0"/>
          <a:ext cx="5286375" cy="5286375"/>
        </a:xfrm>
        <a:prstGeom prst="triangle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</dsp:sp>
    <dsp:sp modelId="{1BDB7B7E-EB1E-49C0-8B3A-C16DEBCF93AB}">
      <dsp:nvSpPr>
        <dsp:cNvPr id="0" name=""/>
        <dsp:cNvSpPr/>
      </dsp:nvSpPr>
      <dsp:spPr>
        <a:xfrm>
          <a:off x="3964384" y="529153"/>
          <a:ext cx="3436143" cy="1879141"/>
        </a:xfrm>
        <a:prstGeom prst="roundRect">
          <a:avLst/>
        </a:prstGeom>
        <a:solidFill>
          <a:schemeClr val="tx1">
            <a:alpha val="9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300000"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1920" tIns="121920" rIns="121920" bIns="121920" numCol="1" spcCol="1270" anchor="ctr" anchorCtr="0">
          <a:noAutofit/>
        </a:bodyPr>
        <a:lstStyle/>
        <a:p>
          <a:pPr marL="0" lvl="0" indent="0" algn="ctr" defTabSz="1422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3200" b="1" kern="1200">
              <a:solidFill>
                <a:schemeClr val="bg1"/>
              </a:solidFill>
            </a:rPr>
            <a:t>SPECIAL CONTRIBUTIONS</a:t>
          </a:r>
        </a:p>
      </dsp:txBody>
      <dsp:txXfrm>
        <a:off x="4056116" y="620885"/>
        <a:ext cx="3252679" cy="1695677"/>
      </dsp:txXfrm>
    </dsp:sp>
    <dsp:sp modelId="{F7AC4D41-EA49-413C-ACB0-180754F3A44B}">
      <dsp:nvSpPr>
        <dsp:cNvPr id="0" name=""/>
        <dsp:cNvSpPr/>
      </dsp:nvSpPr>
      <dsp:spPr>
        <a:xfrm>
          <a:off x="3964384" y="2643187"/>
          <a:ext cx="3436143" cy="1879141"/>
        </a:xfrm>
        <a:prstGeom prst="roundRect">
          <a:avLst/>
        </a:prstGeom>
        <a:solidFill>
          <a:schemeClr val="bg1">
            <a:lumMod val="50000"/>
            <a:alpha val="9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300000"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1920" tIns="121920" rIns="121920" bIns="121920" numCol="1" spcCol="1270" anchor="ctr" anchorCtr="0">
          <a:noAutofit/>
        </a:bodyPr>
        <a:lstStyle/>
        <a:p>
          <a:pPr marL="0" lvl="0" indent="0" algn="ctr" defTabSz="1422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3200" b="1" kern="1200">
              <a:solidFill>
                <a:schemeClr val="bg1"/>
              </a:solidFill>
            </a:rPr>
            <a:t>PETTY CASH VEHICLE</a:t>
          </a:r>
        </a:p>
      </dsp:txBody>
      <dsp:txXfrm>
        <a:off x="4056116" y="2734919"/>
        <a:ext cx="3252679" cy="1695677"/>
      </dsp:txXfrm>
    </dsp:sp>
  </dsp:spTree>
</dsp:drawing>
</file>

<file path=xl/diagrams/drawing7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FA96A91-14C9-4393-A7C2-80AA96ECC2C2}">
      <dsp:nvSpPr>
        <dsp:cNvPr id="0" name=""/>
        <dsp:cNvSpPr/>
      </dsp:nvSpPr>
      <dsp:spPr>
        <a:xfrm rot="16200000">
          <a:off x="-224036" y="227000"/>
          <a:ext cx="3362326" cy="2908325"/>
        </a:xfrm>
        <a:prstGeom prst="flowChartManualOperation">
          <a:avLst/>
        </a:prstGeom>
        <a:solidFill>
          <a:schemeClr val="tx1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77800" tIns="0" rIns="177800" bIns="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800" b="0" kern="1200" cap="none" spc="0">
              <a:ln w="0"/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MEMBERS LIST</a:t>
          </a:r>
        </a:p>
      </dsp:txBody>
      <dsp:txXfrm rot="5400000">
        <a:off x="2965" y="672464"/>
        <a:ext cx="2908325" cy="2017396"/>
      </dsp:txXfrm>
    </dsp:sp>
    <dsp:sp modelId="{9C8A3883-B372-4714-A9E8-3252D9FD60E5}">
      <dsp:nvSpPr>
        <dsp:cNvPr id="0" name=""/>
        <dsp:cNvSpPr/>
      </dsp:nvSpPr>
      <dsp:spPr>
        <a:xfrm rot="16200000">
          <a:off x="2902413" y="227000"/>
          <a:ext cx="3362326" cy="2908325"/>
        </a:xfrm>
        <a:prstGeom prst="flowChartManualOperation">
          <a:avLst/>
        </a:prstGeom>
        <a:solidFill>
          <a:srgbClr val="7030A0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77800" tIns="0" rIns="177800" bIns="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800" b="0" kern="1200" cap="none" spc="0">
              <a:ln w="0"/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PERSONAL RECORD</a:t>
          </a:r>
          <a:endParaRPr lang="en-GB" sz="2800" b="0" kern="1200" cap="none" spc="0">
            <a:ln w="0"/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</a:endParaRPr>
        </a:p>
      </dsp:txBody>
      <dsp:txXfrm rot="5400000">
        <a:off x="3129414" y="672464"/>
        <a:ext cx="2908325" cy="2017396"/>
      </dsp:txXfrm>
    </dsp:sp>
    <dsp:sp modelId="{42E62ABB-EED0-4CC9-B8CA-9C03E4BE4B64}">
      <dsp:nvSpPr>
        <dsp:cNvPr id="0" name=""/>
        <dsp:cNvSpPr/>
      </dsp:nvSpPr>
      <dsp:spPr>
        <a:xfrm rot="16200000">
          <a:off x="6028863" y="227000"/>
          <a:ext cx="3362326" cy="2908325"/>
        </a:xfrm>
        <a:prstGeom prst="flowChartManualOperation">
          <a:avLst/>
        </a:prstGeom>
        <a:solidFill>
          <a:schemeClr val="accent4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77800" tIns="0" rIns="177800" bIns="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800" b="0" kern="1200" cap="none" spc="0">
              <a:ln w="0"/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PICTURES FOR PROFILE</a:t>
          </a:r>
        </a:p>
      </dsp:txBody>
      <dsp:txXfrm rot="5400000">
        <a:off x="6255864" y="672464"/>
        <a:ext cx="2908325" cy="2017396"/>
      </dsp:txXfrm>
    </dsp:sp>
    <dsp:sp modelId="{FF9ACC43-B5A4-4C44-A64F-D1FDB61C3897}">
      <dsp:nvSpPr>
        <dsp:cNvPr id="0" name=""/>
        <dsp:cNvSpPr/>
      </dsp:nvSpPr>
      <dsp:spPr>
        <a:xfrm rot="16200000">
          <a:off x="9155313" y="227000"/>
          <a:ext cx="3362326" cy="2908325"/>
        </a:xfrm>
        <a:prstGeom prst="flowChartManualOperation">
          <a:avLst/>
        </a:prstGeom>
        <a:solidFill>
          <a:srgbClr val="C00000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52400" tIns="0" rIns="152400" bIns="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400" b="0" kern="1200" cap="none" spc="0">
              <a:ln w="0"/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REGISTRATION</a:t>
          </a:r>
          <a:r>
            <a:rPr lang="en-GB" sz="2800" b="0" kern="1200" cap="none" spc="0">
              <a:ln w="0"/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 FORM</a:t>
          </a:r>
        </a:p>
      </dsp:txBody>
      <dsp:txXfrm rot="5400000">
        <a:off x="9382314" y="672464"/>
        <a:ext cx="2908325" cy="2017396"/>
      </dsp:txXfrm>
    </dsp:sp>
  </dsp:spTree>
</dsp:drawing>
</file>

<file path=xl/diagrams/drawing8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4360494-0936-487E-B36A-3B7ABAFBB55B}">
      <dsp:nvSpPr>
        <dsp:cNvPr id="0" name=""/>
        <dsp:cNvSpPr/>
      </dsp:nvSpPr>
      <dsp:spPr>
        <a:xfrm>
          <a:off x="1430978" y="353389"/>
          <a:ext cx="3192399" cy="3192399"/>
        </a:xfrm>
        <a:prstGeom prst="pie">
          <a:avLst>
            <a:gd name="adj1" fmla="val 16200000"/>
            <a:gd name="adj2" fmla="val 1800000"/>
          </a:avLst>
        </a:prstGeom>
        <a:solidFill>
          <a:schemeClr val="accent6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800" b="1" kern="1200">
              <a:solidFill>
                <a:sysClr val="windowText" lastClr="000000"/>
              </a:solidFill>
            </a:rPr>
            <a:t>MEMBERS LIST UPPER CASE</a:t>
          </a:r>
        </a:p>
      </dsp:txBody>
      <dsp:txXfrm>
        <a:off x="3166655" y="942463"/>
        <a:ext cx="1083135" cy="1064133"/>
      </dsp:txXfrm>
    </dsp:sp>
    <dsp:sp modelId="{D948080A-308D-4EB9-A98A-F0D89807BC65}">
      <dsp:nvSpPr>
        <dsp:cNvPr id="0" name=""/>
        <dsp:cNvSpPr/>
      </dsp:nvSpPr>
      <dsp:spPr>
        <a:xfrm>
          <a:off x="1431433" y="410731"/>
          <a:ext cx="3192399" cy="3192399"/>
        </a:xfrm>
        <a:prstGeom prst="pie">
          <a:avLst>
            <a:gd name="adj1" fmla="val 1800000"/>
            <a:gd name="adj2" fmla="val 900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800" b="1" kern="1200">
              <a:solidFill>
                <a:sysClr val="windowText" lastClr="000000"/>
              </a:solidFill>
            </a:rPr>
            <a:t>BRANCH PASTORS</a:t>
          </a:r>
        </a:p>
      </dsp:txBody>
      <dsp:txXfrm>
        <a:off x="2305542" y="2424982"/>
        <a:ext cx="1444180" cy="988123"/>
      </dsp:txXfrm>
    </dsp:sp>
    <dsp:sp modelId="{76C7BB85-8A31-4014-BC24-686A09451E51}">
      <dsp:nvSpPr>
        <dsp:cNvPr id="0" name=""/>
        <dsp:cNvSpPr/>
      </dsp:nvSpPr>
      <dsp:spPr>
        <a:xfrm>
          <a:off x="1396252" y="351543"/>
          <a:ext cx="3192399" cy="3192399"/>
        </a:xfrm>
        <a:prstGeom prst="pie">
          <a:avLst>
            <a:gd name="adj1" fmla="val 9000000"/>
            <a:gd name="adj2" fmla="val 16200000"/>
          </a:avLst>
        </a:prstGeom>
        <a:solidFill>
          <a:schemeClr val="accent4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800" b="1" kern="1200">
              <a:solidFill>
                <a:sysClr val="windowText" lastClr="000000"/>
              </a:solidFill>
            </a:rPr>
            <a:t>ELDERS</a:t>
          </a:r>
        </a:p>
      </dsp:txBody>
      <dsp:txXfrm>
        <a:off x="1738295" y="978622"/>
        <a:ext cx="1083135" cy="106413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List6">
  <dgm:title val=""/>
  <dgm:desc val=""/>
  <dgm:catLst>
    <dgm:cat type="list" pri="18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ptType="node" refType="h"/>
      <dgm:constr type="w" for="ch" ptType="node" refType="w"/>
      <dgm:constr type="primFontSz" for="ch" ptType="node" op="equ"/>
      <dgm:constr type="w" for="ch" forName="sibTrans" refType="w" fact="0.075"/>
    </dgm:constrLst>
    <dgm:ruleLst/>
    <dgm:forEach name="nodesForEach" axis="ch" ptType="node">
      <dgm:layoutNode name="node">
        <dgm:varLst>
          <dgm:bulletEnabled val="1"/>
        </dgm:varLst>
        <dgm:alg type="tx"/>
        <dgm:choose name="Name4">
          <dgm:if name="Name5" func="var" arg="dir" op="equ" val="norm">
            <dgm:shape xmlns:r="http://schemas.openxmlformats.org/officeDocument/2006/relationships" rot="-90" type="flowChartManualOperation" r:blip="">
              <dgm:adjLst/>
            </dgm:shape>
          </dgm:if>
          <dgm:else name="Name6">
            <dgm:shape xmlns:r="http://schemas.openxmlformats.org/officeDocument/2006/relationships" rot="90" type="flowChartManualOperation" r:blip="">
              <dgm:adjLst/>
            </dgm:shape>
          </dgm:else>
        </dgm:choose>
        <dgm:presOf axis="desOrSelf" ptType="node"/>
        <dgm:constrLst>
          <dgm:constr type="primFontSz" val="65"/>
          <dgm:constr type="tMarg"/>
          <dgm:constr type="bMarg"/>
          <dgm:constr type="lMarg" refType="primFontSz" fact="0.5"/>
          <dgm:constr type="rMarg" refType="lMarg"/>
        </dgm:constrLst>
        <dgm:ruleLst>
          <dgm:rule type="primFontSz" val="5" fact="NaN" max="NaN"/>
        </dgm:ruleLst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default">
  <dgm:title val=""/>
  <dgm:desc val=""/>
  <dgm:catLst>
    <dgm:cat type="list" pri="4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diagram">
    <dgm:varLst>
      <dgm:dir/>
      <dgm:resizeHandles val="exact"/>
    </dgm:varLst>
    <dgm:choose name="Name0">
      <dgm:if name="Name1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node" refType="w"/>
      <dgm:constr type="h" for="ch" forName="node" refType="w" refFor="ch" refForName="node" fact="0.6"/>
      <dgm:constr type="w" for="ch" forName="sibTrans" refType="w" refFor="ch" refForName="node" fact="0.1"/>
      <dgm:constr type="sp" refType="w" refFor="ch" refForName="sibTrans"/>
      <dgm:constr type="primFontSz" for="ch" forName="node" op="equ" val="65"/>
    </dgm:constrLst>
    <dgm:ruleLst/>
    <dgm:forEach name="Name3" axis="ch" ptType="node">
      <dgm:layoutNode name="node">
        <dgm:varLst>
          <dgm:bulletEnabled val="1"/>
        </dgm:varLst>
        <dgm:alg type="tx"/>
        <dgm:shape xmlns:r="http://schemas.openxmlformats.org/officeDocument/2006/relationships" type="rect" r:blip="">
          <dgm:adjLst/>
        </dgm:shape>
        <dgm:presOf axis="desOrSelf" ptType="node"/>
        <dgm:constrLst>
          <dgm:constr type="lMarg" refType="primFontSz" fact="0.3"/>
          <dgm:constr type="rMarg" refType="primFontSz" fact="0.3"/>
          <dgm:constr type="tMarg" refType="primFontSz" fact="0.3"/>
          <dgm:constr type="bMarg" refType="primFontSz" fact="0.3"/>
        </dgm:constrLst>
        <dgm:ruleLst>
          <dgm:rule type="primFontSz" val="5" fact="NaN" max="NaN"/>
        </dgm:ruleLst>
      </dgm:layoutNode>
      <dgm:forEach name="Name4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8/layout/VerticalCurvedList">
  <dgm:title val=""/>
  <dgm:desc val=""/>
  <dgm:catLst>
    <dgm:cat type="list" pri="2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2">
          <dgm:prSet phldr="1"/>
        </dgm:pt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chMax val="7"/>
      <dgm:chPref val="7"/>
      <dgm:dir/>
    </dgm:varLst>
    <dgm:alg type="composite"/>
    <dgm:shape xmlns:r="http://schemas.openxmlformats.org/officeDocument/2006/relationships" r:blip="">
      <dgm:adjLst/>
    </dgm:shape>
    <dgm:constrLst>
      <dgm:constr type="w" for="ch" refType="h" refFor="ch" op="gte" fact="0.8"/>
    </dgm:constrLst>
    <dgm:layoutNode name="Name1">
      <dgm:alg type="composite"/>
      <dgm:shape xmlns:r="http://schemas.openxmlformats.org/officeDocument/2006/relationships" r:blip="">
        <dgm:adjLst/>
      </dgm:shape>
      <dgm:choose name="Name2">
        <dgm:if name="Name3" func="var" arg="dir" op="equ" val="norm">
          <dgm:choose name="Name4">
            <dgm:if name="Name5" axis="ch" ptType="node" func="cnt" op="equ" val="1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625"/>
                <dgm:constr type="w" for="ch" forName="accent_1" refType="h" refFor="ch" refForName="accent_1" op="equ"/>
                <dgm:constr type="ctrY" for="ch" forName="accent_1" refType="h" fact="0.5"/>
                <dgm:constr type="ctrX" for="ch" forName="accent_1" refType="h" fact="0.2253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primFontSz" for="ch" ptType="node" op="equ" val="65"/>
              </dgm:constrLst>
            </dgm:if>
            <dgm:if name="Name6" axis="ch" ptType="node" func="cnt" op="equ" val="2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3571"/>
                <dgm:constr type="w" for="ch" forName="accent_1" refType="h" refFor="ch" refForName="accent_1" op="equ"/>
                <dgm:constr type="ctrY" for="ch" forName="accent_1" refType="h" fact="0.2857"/>
                <dgm:constr type="ctrX" for="ch" forName="accent_1" refType="h" fact="0.1891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h" for="ch" forName="accent_2" refType="h" fact="0.3571"/>
                <dgm:constr type="w" for="ch" forName="accent_2" refType="h" refFor="ch" refForName="accent_2" op="equ"/>
                <dgm:constr type="ctrY" for="ch" forName="accent_2" refType="h" fact="0.7143"/>
                <dgm:constr type="ctrX" for="ch" forName="accent_2" refType="h" fact="0.1891"/>
                <dgm:constr type="l" for="ch" forName="text_2" refType="ctrX" refFor="ch" refForName="accent_2"/>
                <dgm:constr type="r" for="ch" forName="text_2" refType="w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lMarg" for="ch" forName="text_2" refType="w" refFor="ch" refForName="accent_2" fact="1.8"/>
                <dgm:constr type="primFontSz" for="ch" ptType="node" op="equ" val="65"/>
              </dgm:constrLst>
            </dgm:if>
            <dgm:if name="Name7" axis="ch" ptType="node" func="cnt" op="equ" val="3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25"/>
                <dgm:constr type="w" for="ch" forName="accent_1" refType="h" refFor="ch" refForName="accent_1" op="equ"/>
                <dgm:constr type="ctrY" for="ch" forName="accent_1" refType="h" fact="0.2"/>
                <dgm:constr type="ctrX" for="ch" forName="accent_1" refType="h" fact="0.1526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h" for="ch" forName="accent_2" refType="h" fact="0.25"/>
                <dgm:constr type="w" for="ch" forName="accent_2" refType="h" refFor="ch" refForName="accent_2" op="equ"/>
                <dgm:constr type="ctrY" for="ch" forName="accent_2" refType="h" fact="0.5"/>
                <dgm:constr type="ctrX" for="ch" forName="accent_2" refType="h" fact="0.2253"/>
                <dgm:constr type="l" for="ch" forName="text_2" refType="ctrX" refFor="ch" refForName="accent_2"/>
                <dgm:constr type="r" for="ch" forName="text_2" refType="w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lMarg" for="ch" forName="text_2" refType="w" refFor="ch" refForName="accent_2" fact="1.8"/>
                <dgm:constr type="h" for="ch" forName="accent_3" refType="h" fact="0.25"/>
                <dgm:constr type="w" for="ch" forName="accent_3" refType="h" refFor="ch" refForName="accent_3" op="equ"/>
                <dgm:constr type="ctrY" for="ch" forName="accent_3" refType="h" fact="0.8"/>
                <dgm:constr type="ctrX" for="ch" forName="accent_3" refType="h" fact="0.1526"/>
                <dgm:constr type="l" for="ch" forName="text_3" refType="ctrX" refFor="ch" refForName="accent_3"/>
                <dgm:constr type="r" for="ch" forName="text_3" refType="w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lMarg" for="ch" forName="text_3" refType="w" refFor="ch" refForName="accent_3" fact="1.8"/>
                <dgm:constr type="primFontSz" for="ch" ptType="node" op="equ" val="65"/>
              </dgm:constrLst>
            </dgm:if>
            <dgm:if name="Name8" axis="ch" ptType="node" func="cnt" op="equ" val="4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1923"/>
                <dgm:constr type="w" for="ch" forName="accent_1" refType="h" refFor="ch" refForName="accent_1" op="equ"/>
                <dgm:constr type="ctrY" for="ch" forName="accent_1" refType="h" fact="0.1538"/>
                <dgm:constr type="ctrX" for="ch" forName="accent_1" refType="h" fact="0.1268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h" for="ch" forName="accent_2" refType="h" fact="0.1923"/>
                <dgm:constr type="w" for="ch" forName="accent_2" refType="h" refFor="ch" refForName="accent_2" op="equ"/>
                <dgm:constr type="ctrY" for="ch" forName="accent_2" refType="h" fact="0.3846"/>
                <dgm:constr type="ctrX" for="ch" forName="accent_2" refType="h" fact="0.215"/>
                <dgm:constr type="l" for="ch" forName="text_2" refType="ctrX" refFor="ch" refForName="accent_2"/>
                <dgm:constr type="r" for="ch" forName="text_2" refType="w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lMarg" for="ch" forName="text_2" refType="w" refFor="ch" refForName="accent_2" fact="1.8"/>
                <dgm:constr type="h" for="ch" forName="accent_3" refType="h" fact="0.1923"/>
                <dgm:constr type="w" for="ch" forName="accent_3" refType="h" refFor="ch" refForName="accent_3" op="equ"/>
                <dgm:constr type="ctrY" for="ch" forName="accent_3" refType="h" fact="0.6154"/>
                <dgm:constr type="ctrX" for="ch" forName="accent_3" refType="h" fact="0.215"/>
                <dgm:constr type="l" for="ch" forName="text_3" refType="ctrX" refFor="ch" refForName="accent_3"/>
                <dgm:constr type="r" for="ch" forName="text_3" refType="w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lMarg" for="ch" forName="text_3" refType="w" refFor="ch" refForName="accent_3" fact="1.8"/>
                <dgm:constr type="h" for="ch" forName="accent_4" refType="h" fact="0.1923"/>
                <dgm:constr type="w" for="ch" forName="accent_4" refType="h" refFor="ch" refForName="accent_4" op="equ"/>
                <dgm:constr type="ctrY" for="ch" forName="accent_4" refType="h" fact="0.8462"/>
                <dgm:constr type="ctrX" for="ch" forName="accent_4" refType="h" fact="0.1268"/>
                <dgm:constr type="l" for="ch" forName="text_4" refType="ctrX" refFor="ch" refForName="accent_4"/>
                <dgm:constr type="r" for="ch" forName="text_4" refType="w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lMarg" for="ch" forName="text_4" refType="w" refFor="ch" refForName="accent_4" fact="1.8"/>
                <dgm:constr type="primFontSz" for="ch" ptType="node" op="equ" val="65"/>
              </dgm:constrLst>
            </dgm:if>
            <dgm:if name="Name9" axis="ch" ptType="node" func="cnt" op="equ" val="5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1563"/>
                <dgm:constr type="w" for="ch" forName="accent_1" refType="h" refFor="ch" refForName="accent_1" op="equ"/>
                <dgm:constr type="ctrY" for="ch" forName="accent_1" refType="h" fact="0.125"/>
                <dgm:constr type="ctrX" for="ch" forName="accent_1" refType="h" fact="0.1082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h" for="ch" forName="accent_2" refType="h" fact="0.1563"/>
                <dgm:constr type="w" for="ch" forName="accent_2" refType="h" refFor="ch" refForName="accent_2" op="equ"/>
                <dgm:constr type="ctrY" for="ch" forName="accent_2" refType="h" fact="0.3125"/>
                <dgm:constr type="ctrX" for="ch" forName="accent_2" refType="h" fact="0.1978"/>
                <dgm:constr type="l" for="ch" forName="text_2" refType="ctrX" refFor="ch" refForName="accent_2"/>
                <dgm:constr type="r" for="ch" forName="text_2" refType="w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lMarg" for="ch" forName="text_2" refType="w" refFor="ch" refForName="accent_2" fact="1.8"/>
                <dgm:constr type="h" for="ch" forName="accent_3" refType="h" fact="0.1563"/>
                <dgm:constr type="w" for="ch" forName="accent_3" refType="h" refFor="ch" refForName="accent_3" op="equ"/>
                <dgm:constr type="ctrY" for="ch" forName="accent_3" refType="h" fact="0.5"/>
                <dgm:constr type="ctrX" for="ch" forName="accent_3" refType="h" fact="0.2253"/>
                <dgm:constr type="l" for="ch" forName="text_3" refType="ctrX" refFor="ch" refForName="accent_3"/>
                <dgm:constr type="r" for="ch" forName="text_3" refType="w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lMarg" for="ch" forName="text_3" refType="w" refFor="ch" refForName="accent_3" fact="1.8"/>
                <dgm:constr type="h" for="ch" forName="accent_4" refType="h" fact="0.1563"/>
                <dgm:constr type="w" for="ch" forName="accent_4" refType="h" refFor="ch" refForName="accent_4" op="equ"/>
                <dgm:constr type="ctrY" for="ch" forName="accent_4" refType="h" fact="0.6875"/>
                <dgm:constr type="ctrX" for="ch" forName="accent_4" refType="h" fact="0.1978"/>
                <dgm:constr type="l" for="ch" forName="text_4" refType="ctrX" refFor="ch" refForName="accent_4"/>
                <dgm:constr type="r" for="ch" forName="text_4" refType="w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lMarg" for="ch" forName="text_4" refType="w" refFor="ch" refForName="accent_4" fact="1.8"/>
                <dgm:constr type="h" for="ch" forName="accent_5" refType="h" fact="0.1563"/>
                <dgm:constr type="w" for="ch" forName="accent_5" refType="h" refFor="ch" refForName="accent_5" op="equ"/>
                <dgm:constr type="ctrY" for="ch" forName="accent_5" refType="h" fact="0.875"/>
                <dgm:constr type="ctrX" for="ch" forName="accent_5" refType="h" fact="0.1082"/>
                <dgm:constr type="l" for="ch" forName="text_5" refType="ctrX" refFor="ch" refForName="accent_5"/>
                <dgm:constr type="r" for="ch" forName="text_5" refType="w"/>
                <dgm:constr type="w" for="ch" forName="text_5" refType="h" refFor="ch" refForName="text_5" op="gte"/>
                <dgm:constr type="h" for="ch" forName="text_5" refType="h" refFor="ch" refForName="accent_5" fact="0.8"/>
                <dgm:constr type="ctrY" for="ch" forName="text_5" refType="ctrY" refFor="ch" refForName="accent_5"/>
                <dgm:constr type="lMarg" for="ch" forName="text_5" refType="w" refFor="ch" refForName="accent_5" fact="1.8"/>
                <dgm:constr type="primFontSz" for="ch" ptType="node" op="equ" val="65"/>
              </dgm:constrLst>
            </dgm:if>
            <dgm:if name="Name10" axis="ch" ptType="node" func="cnt" op="equ" val="6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1316"/>
                <dgm:constr type="w" for="ch" forName="accent_1" refType="h" refFor="ch" refForName="accent_1" op="equ"/>
                <dgm:constr type="ctrY" for="ch" forName="accent_1" refType="h" fact="0.1053"/>
                <dgm:constr type="ctrX" for="ch" forName="accent_1" refType="h" fact="0.0943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h" for="ch" forName="accent_2" refType="h" fact="0.1316"/>
                <dgm:constr type="w" for="ch" forName="accent_2" refType="h" refFor="ch" refForName="accent_2" op="equ"/>
                <dgm:constr type="ctrY" for="ch" forName="accent_2" refType="h" fact="0.2632"/>
                <dgm:constr type="ctrX" for="ch" forName="accent_2" refType="h" fact="0.1809"/>
                <dgm:constr type="l" for="ch" forName="text_2" refType="ctrX" refFor="ch" refForName="accent_2"/>
                <dgm:constr type="r" for="ch" forName="text_2" refType="w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lMarg" for="ch" forName="text_2" refType="w" refFor="ch" refForName="accent_2" fact="1.8"/>
                <dgm:constr type="h" for="ch" forName="accent_3" refType="h" fact="0.1316"/>
                <dgm:constr type="w" for="ch" forName="accent_3" refType="h" refFor="ch" refForName="accent_3" op="equ"/>
                <dgm:constr type="ctrY" for="ch" forName="accent_3" refType="h" fact="0.4211"/>
                <dgm:constr type="ctrX" for="ch" forName="accent_3" refType="h" fact="0.2205"/>
                <dgm:constr type="l" for="ch" forName="text_3" refType="ctrX" refFor="ch" refForName="accent_3"/>
                <dgm:constr type="r" for="ch" forName="text_3" refType="w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lMarg" for="ch" forName="text_3" refType="w" refFor="ch" refForName="accent_3" fact="1.8"/>
                <dgm:constr type="h" for="ch" forName="accent_4" refType="h" fact="0.1316"/>
                <dgm:constr type="w" for="ch" forName="accent_4" refType="h" refFor="ch" refForName="accent_4" op="equ"/>
                <dgm:constr type="ctrY" for="ch" forName="accent_4" refType="h" fact="0.5789"/>
                <dgm:constr type="ctrX" for="ch" forName="accent_4" refType="h" fact="0.2205"/>
                <dgm:constr type="l" for="ch" forName="text_4" refType="ctrX" refFor="ch" refForName="accent_4"/>
                <dgm:constr type="r" for="ch" forName="text_4" refType="w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lMarg" for="ch" forName="text_4" refType="w" refFor="ch" refForName="accent_4" fact="1.8"/>
                <dgm:constr type="h" for="ch" forName="accent_5" refType="h" fact="0.1316"/>
                <dgm:constr type="w" for="ch" forName="accent_5" refType="h" refFor="ch" refForName="accent_5" op="equ"/>
                <dgm:constr type="ctrY" for="ch" forName="accent_5" refType="h" fact="0.7368"/>
                <dgm:constr type="ctrX" for="ch" forName="accent_5" refType="h" fact="0.1809"/>
                <dgm:constr type="l" for="ch" forName="text_5" refType="ctrX" refFor="ch" refForName="accent_5"/>
                <dgm:constr type="r" for="ch" forName="text_5" refType="w"/>
                <dgm:constr type="w" for="ch" forName="text_5" refType="h" refFor="ch" refForName="text_5" op="gte"/>
                <dgm:constr type="h" for="ch" forName="text_5" refType="h" refFor="ch" refForName="accent_5" fact="0.8"/>
                <dgm:constr type="ctrY" for="ch" forName="text_5" refType="ctrY" refFor="ch" refForName="accent_5"/>
                <dgm:constr type="lMarg" for="ch" forName="text_5" refType="w" refFor="ch" refForName="accent_5" fact="1.8"/>
                <dgm:constr type="h" for="ch" forName="accent_6" refType="h" fact="0.1316"/>
                <dgm:constr type="w" for="ch" forName="accent_6" refType="h" refFor="ch" refForName="accent_6" op="equ"/>
                <dgm:constr type="ctrY" for="ch" forName="accent_6" refType="h" fact="0.8947"/>
                <dgm:constr type="ctrX" for="ch" forName="accent_6" refType="h" fact="0.0943"/>
                <dgm:constr type="l" for="ch" forName="text_6" refType="ctrX" refFor="ch" refForName="accent_6"/>
                <dgm:constr type="r" for="ch" forName="text_6" refType="w"/>
                <dgm:constr type="w" for="ch" forName="text_6" refType="h" refFor="ch" refForName="text_6" op="gte"/>
                <dgm:constr type="h" for="ch" forName="text_6" refType="h" refFor="ch" refForName="accent_6" fact="0.8"/>
                <dgm:constr type="ctrY" for="ch" forName="text_6" refType="ctrY" refFor="ch" refForName="accent_6"/>
                <dgm:constr type="lMarg" for="ch" forName="text_6" refType="w" refFor="ch" refForName="accent_6" fact="1.8"/>
                <dgm:constr type="primFontSz" for="ch" ptType="node" op="equ" val="65"/>
              </dgm:constrLst>
            </dgm:if>
            <dgm:else name="Name11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1136"/>
                <dgm:constr type="w" for="ch" forName="accent_1" refType="h" refFor="ch" refForName="accent_1" op="equ"/>
                <dgm:constr type="ctrY" for="ch" forName="accent_1" refType="h" fact="0.0909"/>
                <dgm:constr type="ctrX" for="ch" forName="accent_1" refType="h" fact="0.0835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h" for="ch" forName="accent_2" refType="h" fact="0.1136"/>
                <dgm:constr type="w" for="ch" forName="accent_2" refType="h" refFor="ch" refForName="accent_2" op="equ"/>
                <dgm:constr type="ctrY" for="ch" forName="accent_2" refType="h" fact="0.2273"/>
                <dgm:constr type="ctrX" for="ch" forName="accent_2" refType="h" fact="0.1658"/>
                <dgm:constr type="l" for="ch" forName="text_2" refType="ctrX" refFor="ch" refForName="accent_2"/>
                <dgm:constr type="r" for="ch" forName="text_2" refType="w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lMarg" for="ch" forName="text_2" refType="w" refFor="ch" refForName="accent_2" fact="1.8"/>
                <dgm:constr type="h" for="ch" forName="accent_3" refType="h" fact="0.1136"/>
                <dgm:constr type="w" for="ch" forName="accent_3" refType="h" refFor="ch" refForName="accent_3" op="equ"/>
                <dgm:constr type="ctrY" for="ch" forName="accent_3" refType="h" fact="0.3636"/>
                <dgm:constr type="ctrX" for="ch" forName="accent_3" refType="h" fact="0.2109"/>
                <dgm:constr type="l" for="ch" forName="text_3" refType="ctrX" refFor="ch" refForName="accent_3"/>
                <dgm:constr type="r" for="ch" forName="text_3" refType="w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lMarg" for="ch" forName="text_3" refType="w" refFor="ch" refForName="accent_3" fact="1.8"/>
                <dgm:constr type="h" for="ch" forName="accent_4" refType="h" fact="0.1136"/>
                <dgm:constr type="w" for="ch" forName="accent_4" refType="h" refFor="ch" refForName="accent_4" op="equ"/>
                <dgm:constr type="ctrY" for="ch" forName="accent_4" refType="h" fact="0.5"/>
                <dgm:constr type="ctrX" for="ch" forName="accent_4" refType="h" fact="0.2253"/>
                <dgm:constr type="l" for="ch" forName="text_4" refType="ctrX" refFor="ch" refForName="accent_4"/>
                <dgm:constr type="r" for="ch" forName="text_4" refType="w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lMarg" for="ch" forName="text_4" refType="w" refFor="ch" refForName="accent_4" fact="1.8"/>
                <dgm:constr type="h" for="ch" forName="accent_5" refType="h" fact="0.1136"/>
                <dgm:constr type="w" for="ch" forName="accent_5" refType="h" refFor="ch" refForName="accent_5" op="equ"/>
                <dgm:constr type="ctrY" for="ch" forName="accent_5" refType="h" fact="0.6364"/>
                <dgm:constr type="ctrX" for="ch" forName="accent_5" refType="h" fact="0.2109"/>
                <dgm:constr type="l" for="ch" forName="text_5" refType="ctrX" refFor="ch" refForName="accent_5"/>
                <dgm:constr type="r" for="ch" forName="text_5" refType="w"/>
                <dgm:constr type="w" for="ch" forName="text_5" refType="h" refFor="ch" refForName="text_5" op="gte"/>
                <dgm:constr type="h" for="ch" forName="text_5" refType="h" refFor="ch" refForName="accent_5" fact="0.8"/>
                <dgm:constr type="ctrY" for="ch" forName="text_5" refType="ctrY" refFor="ch" refForName="accent_5"/>
                <dgm:constr type="lMarg" for="ch" forName="text_5" refType="w" refFor="ch" refForName="accent_5" fact="1.8"/>
                <dgm:constr type="h" for="ch" forName="accent_6" refType="h" fact="0.1136"/>
                <dgm:constr type="w" for="ch" forName="accent_6" refType="h" refFor="ch" refForName="accent_6" op="equ"/>
                <dgm:constr type="ctrY" for="ch" forName="accent_6" refType="h" fact="0.7727"/>
                <dgm:constr type="ctrX" for="ch" forName="accent_6" refType="h" fact="0.1658"/>
                <dgm:constr type="l" for="ch" forName="text_6" refType="ctrX" refFor="ch" refForName="accent_6"/>
                <dgm:constr type="r" for="ch" forName="text_6" refType="w"/>
                <dgm:constr type="w" for="ch" forName="text_6" refType="h" refFor="ch" refForName="text_6" op="gte"/>
                <dgm:constr type="h" for="ch" forName="text_6" refType="h" refFor="ch" refForName="accent_6" fact="0.8"/>
                <dgm:constr type="ctrY" for="ch" forName="text_6" refType="ctrY" refFor="ch" refForName="accent_6"/>
                <dgm:constr type="lMarg" for="ch" forName="text_6" refType="w" refFor="ch" refForName="accent_6" fact="1.8"/>
                <dgm:constr type="h" for="ch" forName="accent_7" refType="h" fact="0.1136"/>
                <dgm:constr type="w" for="ch" forName="accent_7" refType="h" refFor="ch" refForName="accent_7" op="equ"/>
                <dgm:constr type="ctrY" for="ch" forName="accent_7" refType="h" fact="0.9091"/>
                <dgm:constr type="ctrX" for="ch" forName="accent_7" refType="h" fact="0.0835"/>
                <dgm:constr type="l" for="ch" forName="text_7" refType="ctrX" refFor="ch" refForName="accent_7"/>
                <dgm:constr type="r" for="ch" forName="text_7" refType="w"/>
                <dgm:constr type="w" for="ch" forName="text_7" refType="h" refFor="ch" refForName="text_7" op="gte"/>
                <dgm:constr type="h" for="ch" forName="text_7" refType="h" refFor="ch" refForName="accent_7" fact="0.8"/>
                <dgm:constr type="ctrY" for="ch" forName="text_7" refType="ctrY" refFor="ch" refForName="accent_7"/>
                <dgm:constr type="lMarg" for="ch" forName="text_7" refType="w" refFor="ch" refForName="accent_7" fact="1.8"/>
                <dgm:constr type="primFontSz" for="ch" ptType="node" op="equ" val="65"/>
              </dgm:constrLst>
            </dgm:else>
          </dgm:choose>
        </dgm:if>
        <dgm:else name="Name12">
          <dgm:choose name="Name13">
            <dgm:if name="Name14" axis="ch" ptType="node" func="cnt" op="equ" val="1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625"/>
                <dgm:constr type="w" for="ch" forName="accent_1" refType="h" refFor="ch" refForName="accent_1" op="equ"/>
                <dgm:constr type="ctrY" for="ch" forName="accent_1" refType="h" fact="0.5"/>
                <dgm:constr type="ctrX" for="ch" forName="accent_1" refType="w"/>
                <dgm:constr type="ctrXOff" for="ch" forName="accent_1" refType="h" fact="-0.2253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primFontSz" for="ch" ptType="node" op="equ" val="65"/>
              </dgm:constrLst>
            </dgm:if>
            <dgm:if name="Name15" axis="ch" ptType="node" func="cnt" op="equ" val="2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3571"/>
                <dgm:constr type="w" for="ch" forName="accent_1" refType="h" refFor="ch" refForName="accent_1" op="equ"/>
                <dgm:constr type="ctrY" for="ch" forName="accent_1" refType="h" fact="0.2857"/>
                <dgm:constr type="ctrX" for="ch" forName="accent_1" refType="w"/>
                <dgm:constr type="ctrXOff" for="ch" forName="accent_1" refType="h" fact="-0.1891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h" for="ch" forName="accent_2" refType="h" fact="0.3571"/>
                <dgm:constr type="w" for="ch" forName="accent_2" refType="h" refFor="ch" refForName="accent_2" op="equ"/>
                <dgm:constr type="ctrY" for="ch" forName="accent_2" refType="h" fact="0.7143"/>
                <dgm:constr type="ctrX" for="ch" forName="accent_2" refType="w"/>
                <dgm:constr type="ctrXOff" for="ch" forName="accent_2" refType="h" fact="-0.1891"/>
                <dgm:constr type="r" for="ch" forName="text_2" refType="ctrX" refFor="ch" refForName="accent_2"/>
                <dgm:constr type="rOff" for="ch" forName="text_2" refType="ctrXOff" refFor="ch" refForName="accent_2"/>
                <dgm:constr type="l" for="ch" forName="text_2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rMarg" for="ch" forName="text_2" refType="w" refFor="ch" refForName="accent_2" fact="1.8"/>
                <dgm:constr type="primFontSz" for="ch" ptType="node" op="equ" val="65"/>
              </dgm:constrLst>
            </dgm:if>
            <dgm:if name="Name16" axis="ch" ptType="node" func="cnt" op="equ" val="3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25"/>
                <dgm:constr type="w" for="ch" forName="accent_1" refType="h" refFor="ch" refForName="accent_1" op="equ"/>
                <dgm:constr type="ctrY" for="ch" forName="accent_1" refType="h" fact="0.2"/>
                <dgm:constr type="ctrX" for="ch" forName="accent_1" refType="w"/>
                <dgm:constr type="ctrXOff" for="ch" forName="accent_1" refType="h" fact="-0.1526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h" for="ch" forName="accent_2" refType="h" fact="0.25"/>
                <dgm:constr type="w" for="ch" forName="accent_2" refType="h" refFor="ch" refForName="accent_2" op="equ"/>
                <dgm:constr type="ctrY" for="ch" forName="accent_2" refType="h" fact="0.5"/>
                <dgm:constr type="ctrX" for="ch" forName="accent_2" refType="w"/>
                <dgm:constr type="ctrXOff" for="ch" forName="accent_2" refType="h" fact="-0.2253"/>
                <dgm:constr type="r" for="ch" forName="text_2" refType="ctrX" refFor="ch" refForName="accent_2"/>
                <dgm:constr type="rOff" for="ch" forName="text_2" refType="ctrXOff" refFor="ch" refForName="accent_2"/>
                <dgm:constr type="l" for="ch" forName="text_2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rMarg" for="ch" forName="text_2" refType="w" refFor="ch" refForName="accent_2" fact="1.8"/>
                <dgm:constr type="h" for="ch" forName="accent_3" refType="h" fact="0.25"/>
                <dgm:constr type="w" for="ch" forName="accent_3" refType="h" refFor="ch" refForName="accent_3" op="equ"/>
                <dgm:constr type="ctrY" for="ch" forName="accent_3" refType="h" fact="0.8"/>
                <dgm:constr type="ctrX" for="ch" forName="accent_3" refType="w"/>
                <dgm:constr type="ctrXOff" for="ch" forName="accent_3" refType="h" fact="-0.1526"/>
                <dgm:constr type="r" for="ch" forName="text_3" refType="ctrX" refFor="ch" refForName="accent_3"/>
                <dgm:constr type="rOff" for="ch" forName="text_3" refType="ctrXOff" refFor="ch" refForName="accent_3"/>
                <dgm:constr type="l" for="ch" forName="text_3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rMarg" for="ch" forName="text_3" refType="w" refFor="ch" refForName="accent_3" fact="1.8"/>
                <dgm:constr type="primFontSz" for="ch" ptType="node" op="equ" val="65"/>
              </dgm:constrLst>
            </dgm:if>
            <dgm:if name="Name17" axis="ch" ptType="node" func="cnt" op="equ" val="4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1923"/>
                <dgm:constr type="w" for="ch" forName="accent_1" refType="h" refFor="ch" refForName="accent_1" op="equ"/>
                <dgm:constr type="ctrY" for="ch" forName="accent_1" refType="h" fact="0.1538"/>
                <dgm:constr type="ctrX" for="ch" forName="accent_1" refType="w"/>
                <dgm:constr type="ctrXOff" for="ch" forName="accent_1" refType="h" fact="-0.1268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h" for="ch" forName="accent_2" refType="h" fact="0.1923"/>
                <dgm:constr type="w" for="ch" forName="accent_2" refType="h" refFor="ch" refForName="accent_2" op="equ"/>
                <dgm:constr type="ctrY" for="ch" forName="accent_2" refType="h" fact="0.3846"/>
                <dgm:constr type="ctrX" for="ch" forName="accent_2" refType="w"/>
                <dgm:constr type="ctrXOff" for="ch" forName="accent_2" refType="h" fact="-0.215"/>
                <dgm:constr type="r" for="ch" forName="text_2" refType="ctrX" refFor="ch" refForName="accent_2"/>
                <dgm:constr type="rOff" for="ch" forName="text_2" refType="ctrXOff" refFor="ch" refForName="accent_2"/>
                <dgm:constr type="l" for="ch" forName="text_2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rMarg" for="ch" forName="text_2" refType="w" refFor="ch" refForName="accent_2" fact="1.8"/>
                <dgm:constr type="h" for="ch" forName="accent_3" refType="h" fact="0.1923"/>
                <dgm:constr type="w" for="ch" forName="accent_3" refType="h" refFor="ch" refForName="accent_3" op="equ"/>
                <dgm:constr type="ctrY" for="ch" forName="accent_3" refType="h" fact="0.6154"/>
                <dgm:constr type="ctrX" for="ch" forName="accent_3" refType="w"/>
                <dgm:constr type="ctrXOff" for="ch" forName="accent_3" refType="h" fact="-0.215"/>
                <dgm:constr type="r" for="ch" forName="text_3" refType="ctrX" refFor="ch" refForName="accent_3"/>
                <dgm:constr type="rOff" for="ch" forName="text_3" refType="ctrXOff" refFor="ch" refForName="accent_3"/>
                <dgm:constr type="l" for="ch" forName="text_3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rMarg" for="ch" forName="text_3" refType="w" refFor="ch" refForName="accent_3" fact="1.8"/>
                <dgm:constr type="h" for="ch" forName="accent_4" refType="h" fact="0.1923"/>
                <dgm:constr type="w" for="ch" forName="accent_4" refType="h" refFor="ch" refForName="accent_4" op="equ"/>
                <dgm:constr type="ctrY" for="ch" forName="accent_4" refType="h" fact="0.8462"/>
                <dgm:constr type="ctrX" for="ch" forName="accent_4" refType="w"/>
                <dgm:constr type="ctrXOff" for="ch" forName="accent_4" refType="h" fact="-0.1268"/>
                <dgm:constr type="r" for="ch" forName="text_4" refType="ctrX" refFor="ch" refForName="accent_4"/>
                <dgm:constr type="rOff" for="ch" forName="text_4" refType="ctrXOff" refFor="ch" refForName="accent_4"/>
                <dgm:constr type="l" for="ch" forName="text_4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rMarg" for="ch" forName="text_4" refType="w" refFor="ch" refForName="accent_4" fact="1.8"/>
                <dgm:constr type="primFontSz" for="ch" ptType="node" op="equ" val="65"/>
              </dgm:constrLst>
            </dgm:if>
            <dgm:if name="Name18" axis="ch" ptType="node" func="cnt" op="equ" val="5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1563"/>
                <dgm:constr type="w" for="ch" forName="accent_1" refType="h" refFor="ch" refForName="accent_1" op="equ"/>
                <dgm:constr type="ctrY" for="ch" forName="accent_1" refType="h" fact="0.125"/>
                <dgm:constr type="ctrX" for="ch" forName="accent_1" refType="w"/>
                <dgm:constr type="ctrXOff" for="ch" forName="accent_1" refType="h" fact="-0.1082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h" for="ch" forName="accent_2" refType="h" fact="0.1563"/>
                <dgm:constr type="w" for="ch" forName="accent_2" refType="h" refFor="ch" refForName="accent_2" op="equ"/>
                <dgm:constr type="ctrY" for="ch" forName="accent_2" refType="h" fact="0.3125"/>
                <dgm:constr type="ctrX" for="ch" forName="accent_2" refType="w"/>
                <dgm:constr type="ctrXOff" for="ch" forName="accent_2" refType="h" fact="-0.1978"/>
                <dgm:constr type="r" for="ch" forName="text_2" refType="ctrX" refFor="ch" refForName="accent_2"/>
                <dgm:constr type="rOff" for="ch" forName="text_2" refType="ctrXOff" refFor="ch" refForName="accent_2"/>
                <dgm:constr type="l" for="ch" forName="text_2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rMarg" for="ch" forName="text_2" refType="w" refFor="ch" refForName="accent_2" fact="1.8"/>
                <dgm:constr type="h" for="ch" forName="accent_3" refType="h" fact="0.1563"/>
                <dgm:constr type="w" for="ch" forName="accent_3" refType="h" refFor="ch" refForName="accent_3" op="equ"/>
                <dgm:constr type="ctrY" for="ch" forName="accent_3" refType="h" fact="0.5"/>
                <dgm:constr type="ctrX" for="ch" forName="accent_3" refType="w"/>
                <dgm:constr type="ctrXOff" for="ch" forName="accent_3" refType="h" fact="-0.2253"/>
                <dgm:constr type="r" for="ch" forName="text_3" refType="ctrX" refFor="ch" refForName="accent_3"/>
                <dgm:constr type="rOff" for="ch" forName="text_3" refType="ctrXOff" refFor="ch" refForName="accent_3"/>
                <dgm:constr type="l" for="ch" forName="text_3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rMarg" for="ch" forName="text_3" refType="w" refFor="ch" refForName="accent_3" fact="1.8"/>
                <dgm:constr type="h" for="ch" forName="accent_4" refType="h" fact="0.1563"/>
                <dgm:constr type="w" for="ch" forName="accent_4" refType="h" refFor="ch" refForName="accent_4" op="equ"/>
                <dgm:constr type="ctrY" for="ch" forName="accent_4" refType="h" fact="0.6875"/>
                <dgm:constr type="ctrX" for="ch" forName="accent_4" refType="w"/>
                <dgm:constr type="ctrXOff" for="ch" forName="accent_4" refType="h" fact="-0.1978"/>
                <dgm:constr type="r" for="ch" forName="text_4" refType="ctrX" refFor="ch" refForName="accent_4"/>
                <dgm:constr type="rOff" for="ch" forName="text_4" refType="ctrXOff" refFor="ch" refForName="accent_4"/>
                <dgm:constr type="l" for="ch" forName="text_4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rMarg" for="ch" forName="text_4" refType="w" refFor="ch" refForName="accent_4" fact="1.8"/>
                <dgm:constr type="h" for="ch" forName="accent_5" refType="h" fact="0.1563"/>
                <dgm:constr type="w" for="ch" forName="accent_5" refType="h" refFor="ch" refForName="accent_5" op="equ"/>
                <dgm:constr type="ctrY" for="ch" forName="accent_5" refType="h" fact="0.875"/>
                <dgm:constr type="ctrX" for="ch" forName="accent_5" refType="w"/>
                <dgm:constr type="ctrXOff" for="ch" forName="accent_5" refType="h" fact="-0.1082"/>
                <dgm:constr type="r" for="ch" forName="text_5" refType="ctrX" refFor="ch" refForName="accent_5"/>
                <dgm:constr type="rOff" for="ch" forName="text_5" refType="ctrXOff" refFor="ch" refForName="accent_5"/>
                <dgm:constr type="l" for="ch" forName="text_5"/>
                <dgm:constr type="w" for="ch" forName="text_5" refType="h" refFor="ch" refForName="text_5" op="gte"/>
                <dgm:constr type="h" for="ch" forName="text_5" refType="h" refFor="ch" refForName="accent_5" fact="0.8"/>
                <dgm:constr type="ctrY" for="ch" forName="text_5" refType="ctrY" refFor="ch" refForName="accent_5"/>
                <dgm:constr type="rMarg" for="ch" forName="text_5" refType="w" refFor="ch" refForName="accent_5" fact="1.8"/>
                <dgm:constr type="primFontSz" for="ch" ptType="node" op="equ" val="65"/>
              </dgm:constrLst>
            </dgm:if>
            <dgm:if name="Name19" axis="ch" ptType="node" func="cnt" op="equ" val="6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1316"/>
                <dgm:constr type="w" for="ch" forName="accent_1" refType="h" refFor="ch" refForName="accent_1" op="equ"/>
                <dgm:constr type="ctrY" for="ch" forName="accent_1" refType="h" fact="0.1053"/>
                <dgm:constr type="ctrX" for="ch" forName="accent_1" refType="w"/>
                <dgm:constr type="ctrXOff" for="ch" forName="accent_1" refType="h" fact="-0.0943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h" for="ch" forName="accent_2" refType="h" fact="0.1316"/>
                <dgm:constr type="w" for="ch" forName="accent_2" refType="h" refFor="ch" refForName="accent_2" op="equ"/>
                <dgm:constr type="ctrY" for="ch" forName="accent_2" refType="h" fact="0.2632"/>
                <dgm:constr type="ctrX" for="ch" forName="accent_2" refType="w"/>
                <dgm:constr type="ctrXOff" for="ch" forName="accent_2" refType="h" fact="-0.1809"/>
                <dgm:constr type="r" for="ch" forName="text_2" refType="ctrX" refFor="ch" refForName="accent_2"/>
                <dgm:constr type="rOff" for="ch" forName="text_2" refType="ctrXOff" refFor="ch" refForName="accent_2"/>
                <dgm:constr type="l" for="ch" forName="text_2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rMarg" for="ch" forName="text_2" refType="w" refFor="ch" refForName="accent_2" fact="1.8"/>
                <dgm:constr type="h" for="ch" forName="accent_3" refType="h" fact="0.1316"/>
                <dgm:constr type="w" for="ch" forName="accent_3" refType="h" refFor="ch" refForName="accent_3" op="equ"/>
                <dgm:constr type="ctrY" for="ch" forName="accent_3" refType="h" fact="0.4211"/>
                <dgm:constr type="ctrX" for="ch" forName="accent_3" refType="w"/>
                <dgm:constr type="ctrXOff" for="ch" forName="accent_3" refType="h" fact="-0.2205"/>
                <dgm:constr type="r" for="ch" forName="text_3" refType="ctrX" refFor="ch" refForName="accent_3"/>
                <dgm:constr type="rOff" for="ch" forName="text_3" refType="ctrXOff" refFor="ch" refForName="accent_3"/>
                <dgm:constr type="l" for="ch" forName="text_3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rMarg" for="ch" forName="text_3" refType="w" refFor="ch" refForName="accent_3" fact="1.8"/>
                <dgm:constr type="h" for="ch" forName="accent_4" refType="h" fact="0.1316"/>
                <dgm:constr type="w" for="ch" forName="accent_4" refType="h" refFor="ch" refForName="accent_4" op="equ"/>
                <dgm:constr type="ctrY" for="ch" forName="accent_4" refType="h" fact="0.5789"/>
                <dgm:constr type="ctrX" for="ch" forName="accent_4" refType="w"/>
                <dgm:constr type="ctrXOff" for="ch" forName="accent_4" refType="h" fact="-0.2205"/>
                <dgm:constr type="r" for="ch" forName="text_4" refType="ctrX" refFor="ch" refForName="accent_4"/>
                <dgm:constr type="rOff" for="ch" forName="text_4" refType="ctrXOff" refFor="ch" refForName="accent_4"/>
                <dgm:constr type="l" for="ch" forName="text_4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rMarg" for="ch" forName="text_4" refType="w" refFor="ch" refForName="accent_4" fact="1.8"/>
                <dgm:constr type="h" for="ch" forName="accent_5" refType="h" fact="0.1316"/>
                <dgm:constr type="w" for="ch" forName="accent_5" refType="h" refFor="ch" refForName="accent_5" op="equ"/>
                <dgm:constr type="ctrY" for="ch" forName="accent_5" refType="h" fact="0.7368"/>
                <dgm:constr type="ctrX" for="ch" forName="accent_5" refType="w"/>
                <dgm:constr type="ctrXOff" for="ch" forName="accent_5" refType="h" fact="-0.1809"/>
                <dgm:constr type="r" for="ch" forName="text_5" refType="ctrX" refFor="ch" refForName="accent_5"/>
                <dgm:constr type="rOff" for="ch" forName="text_5" refType="ctrXOff" refFor="ch" refForName="accent_5"/>
                <dgm:constr type="l" for="ch" forName="text_5"/>
                <dgm:constr type="w" for="ch" forName="text_5" refType="h" refFor="ch" refForName="text_5" op="gte"/>
                <dgm:constr type="h" for="ch" forName="text_5" refType="h" refFor="ch" refForName="accent_5" fact="0.8"/>
                <dgm:constr type="ctrY" for="ch" forName="text_5" refType="ctrY" refFor="ch" refForName="accent_5"/>
                <dgm:constr type="rMarg" for="ch" forName="text_5" refType="w" refFor="ch" refForName="accent_5" fact="1.8"/>
                <dgm:constr type="h" for="ch" forName="accent_6" refType="h" fact="0.1316"/>
                <dgm:constr type="w" for="ch" forName="accent_6" refType="h" refFor="ch" refForName="accent_6" op="equ"/>
                <dgm:constr type="ctrY" for="ch" forName="accent_6" refType="h" fact="0.8947"/>
                <dgm:constr type="ctrX" for="ch" forName="accent_6" refType="w"/>
                <dgm:constr type="ctrXOff" for="ch" forName="accent_6" refType="h" fact="-0.0943"/>
                <dgm:constr type="r" for="ch" forName="text_6" refType="ctrX" refFor="ch" refForName="accent_6"/>
                <dgm:constr type="rOff" for="ch" forName="text_6" refType="ctrXOff" refFor="ch" refForName="accent_6"/>
                <dgm:constr type="l" for="ch" forName="text_6"/>
                <dgm:constr type="w" for="ch" forName="text_6" refType="h" refFor="ch" refForName="text_6" op="gte"/>
                <dgm:constr type="h" for="ch" forName="text_6" refType="h" refFor="ch" refForName="accent_6" fact="0.8"/>
                <dgm:constr type="ctrY" for="ch" forName="text_6" refType="ctrY" refFor="ch" refForName="accent_6"/>
                <dgm:constr type="rMarg" for="ch" forName="text_6" refType="w" refFor="ch" refForName="accent_6" fact="1.8"/>
                <dgm:constr type="primFontSz" for="ch" ptType="node" op="equ" val="65"/>
              </dgm:constrLst>
            </dgm:if>
            <dgm:else name="Name20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1136"/>
                <dgm:constr type="w" for="ch" forName="accent_1" refType="h" refFor="ch" refForName="accent_1" op="equ"/>
                <dgm:constr type="ctrY" for="ch" forName="accent_1" refType="h" fact="0.0909"/>
                <dgm:constr type="ctrX" for="ch" forName="accent_1" refType="w"/>
                <dgm:constr type="ctrXOff" for="ch" forName="accent_1" refType="h" fact="-0.0835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h" for="ch" forName="accent_2" refType="h" fact="0.1136"/>
                <dgm:constr type="w" for="ch" forName="accent_2" refType="h" refFor="ch" refForName="accent_2" op="equ"/>
                <dgm:constr type="ctrY" for="ch" forName="accent_2" refType="h" fact="0.2273"/>
                <dgm:constr type="ctrX" for="ch" forName="accent_2" refType="w"/>
                <dgm:constr type="ctrXOff" for="ch" forName="accent_2" refType="h" fact="-0.1658"/>
                <dgm:constr type="r" for="ch" forName="text_2" refType="ctrX" refFor="ch" refForName="accent_2"/>
                <dgm:constr type="rOff" for="ch" forName="text_2" refType="ctrXOff" refFor="ch" refForName="accent_2"/>
                <dgm:constr type="l" for="ch" forName="text_2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rMarg" for="ch" forName="text_2" refType="w" refFor="ch" refForName="accent_2" fact="1.8"/>
                <dgm:constr type="h" for="ch" forName="accent_3" refType="h" fact="0.1136"/>
                <dgm:constr type="w" for="ch" forName="accent_3" refType="h" refFor="ch" refForName="accent_3" op="equ"/>
                <dgm:constr type="ctrY" for="ch" forName="accent_3" refType="h" fact="0.3636"/>
                <dgm:constr type="ctrX" for="ch" forName="accent_3" refType="w"/>
                <dgm:constr type="ctrXOff" for="ch" forName="accent_3" refType="h" fact="-0.2109"/>
                <dgm:constr type="r" for="ch" forName="text_3" refType="ctrX" refFor="ch" refForName="accent_3"/>
                <dgm:constr type="rOff" for="ch" forName="text_3" refType="ctrXOff" refFor="ch" refForName="accent_3"/>
                <dgm:constr type="l" for="ch" forName="text_3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rMarg" for="ch" forName="text_3" refType="w" refFor="ch" refForName="accent_3" fact="1.8"/>
                <dgm:constr type="h" for="ch" forName="accent_4" refType="h" fact="0.1136"/>
                <dgm:constr type="w" for="ch" forName="accent_4" refType="h" refFor="ch" refForName="accent_4" op="equ"/>
                <dgm:constr type="ctrY" for="ch" forName="accent_4" refType="h" fact="0.5"/>
                <dgm:constr type="ctrX" for="ch" forName="accent_4" refType="w"/>
                <dgm:constr type="ctrXOff" for="ch" forName="accent_4" refType="h" fact="-0.2253"/>
                <dgm:constr type="r" for="ch" forName="text_4" refType="ctrX" refFor="ch" refForName="accent_4"/>
                <dgm:constr type="rOff" for="ch" forName="text_4" refType="ctrXOff" refFor="ch" refForName="accent_4"/>
                <dgm:constr type="l" for="ch" forName="text_4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rMarg" for="ch" forName="text_4" refType="w" refFor="ch" refForName="accent_4" fact="1.8"/>
                <dgm:constr type="h" for="ch" forName="accent_5" refType="h" fact="0.1136"/>
                <dgm:constr type="w" for="ch" forName="accent_5" refType="h" refFor="ch" refForName="accent_5" op="equ"/>
                <dgm:constr type="ctrY" for="ch" forName="accent_5" refType="h" fact="0.6364"/>
                <dgm:constr type="ctrX" for="ch" forName="accent_5" refType="w"/>
                <dgm:constr type="ctrXOff" for="ch" forName="accent_5" refType="h" fact="-0.2109"/>
                <dgm:constr type="r" for="ch" forName="text_5" refType="ctrX" refFor="ch" refForName="accent_5"/>
                <dgm:constr type="rOff" for="ch" forName="text_5" refType="ctrXOff" refFor="ch" refForName="accent_5"/>
                <dgm:constr type="l" for="ch" forName="text_5"/>
                <dgm:constr type="w" for="ch" forName="text_5" refType="h" refFor="ch" refForName="text_5" op="gte"/>
                <dgm:constr type="h" for="ch" forName="text_5" refType="h" refFor="ch" refForName="accent_5" fact="0.8"/>
                <dgm:constr type="ctrY" for="ch" forName="text_5" refType="ctrY" refFor="ch" refForName="accent_5"/>
                <dgm:constr type="rMarg" for="ch" forName="text_5" refType="w" refFor="ch" refForName="accent_5" fact="1.8"/>
                <dgm:constr type="h" for="ch" forName="accent_6" refType="h" fact="0.1136"/>
                <dgm:constr type="w" for="ch" forName="accent_6" refType="h" refFor="ch" refForName="accent_6" op="equ"/>
                <dgm:constr type="ctrY" for="ch" forName="accent_6" refType="h" fact="0.7727"/>
                <dgm:constr type="ctrX" for="ch" forName="accent_6" refType="w"/>
                <dgm:constr type="ctrXOff" for="ch" forName="accent_6" refType="h" fact="-0.1658"/>
                <dgm:constr type="r" for="ch" forName="text_6" refType="ctrX" refFor="ch" refForName="accent_6"/>
                <dgm:constr type="rOff" for="ch" forName="text_6" refType="ctrXOff" refFor="ch" refForName="accent_6"/>
                <dgm:constr type="l" for="ch" forName="text_6"/>
                <dgm:constr type="w" for="ch" forName="text_6" refType="h" refFor="ch" refForName="text_6" op="gte"/>
                <dgm:constr type="h" for="ch" forName="text_6" refType="h" refFor="ch" refForName="accent_6" fact="0.8"/>
                <dgm:constr type="ctrY" for="ch" forName="text_6" refType="ctrY" refFor="ch" refForName="accent_6"/>
                <dgm:constr type="rMarg" for="ch" forName="text_6" refType="w" refFor="ch" refForName="accent_6" fact="1.8"/>
                <dgm:constr type="h" for="ch" forName="accent_7" refType="h" fact="0.1136"/>
                <dgm:constr type="w" for="ch" forName="accent_7" refType="h" refFor="ch" refForName="accent_7" op="equ"/>
                <dgm:constr type="ctrY" for="ch" forName="accent_7" refType="h" fact="0.9091"/>
                <dgm:constr type="ctrX" for="ch" forName="accent_7" refType="w"/>
                <dgm:constr type="ctrXOff" for="ch" forName="accent_7" refType="h" fact="-0.0835"/>
                <dgm:constr type="r" for="ch" forName="text_7" refType="ctrX" refFor="ch" refForName="accent_7"/>
                <dgm:constr type="rOff" for="ch" forName="text_7" refType="ctrXOff" refFor="ch" refForName="accent_7"/>
                <dgm:constr type="l" for="ch" forName="text_7"/>
                <dgm:constr type="w" for="ch" forName="text_7" refType="h" refFor="ch" refForName="text_7" op="gte"/>
                <dgm:constr type="h" for="ch" forName="text_7" refType="h" refFor="ch" refForName="accent_7" fact="0.8"/>
                <dgm:constr type="ctrY" for="ch" forName="text_7" refType="ctrY" refFor="ch" refForName="accent_7"/>
                <dgm:constr type="rMarg" for="ch" forName="text_7" refType="w" refFor="ch" refForName="accent_7" fact="1.8"/>
                <dgm:constr type="primFontSz" for="ch" ptType="node" op="equ" val="65"/>
              </dgm:constrLst>
            </dgm:else>
          </dgm:choose>
        </dgm:else>
      </dgm:choose>
      <dgm:layoutNode name="cycle">
        <dgm:choose name="Name21">
          <dgm:if name="Name22" func="var" arg="dir" op="equ" val="norm">
            <dgm:alg type="cycle">
              <dgm:param type="stAng" val="45"/>
              <dgm:param type="spanAng" val="90"/>
            </dgm:alg>
          </dgm:if>
          <dgm:else name="Name23">
            <dgm:alg type="cycle">
              <dgm:param type="stAng" val="225"/>
              <dgm:param type="spanAng" val="90"/>
            </dgm:alg>
          </dgm:else>
        </dgm:choose>
        <dgm:shape xmlns:r="http://schemas.openxmlformats.org/officeDocument/2006/relationships" r:blip="">
          <dgm:adjLst/>
        </dgm:shape>
        <dgm:presOf/>
        <dgm:constrLst>
          <dgm:constr type="w" for="ch" val="1"/>
          <dgm:constr type="h" for="ch" val="1"/>
          <dgm:constr type="diam" for="ch" forName="conn" refType="diam"/>
        </dgm:constrLst>
        <dgm:layoutNode name="srcNode">
          <dgm:alg type="sp"/>
          <dgm:shape xmlns:r="http://schemas.openxmlformats.org/officeDocument/2006/relationships" type="rect" r:blip="" hideGeom="1">
            <dgm:adjLst/>
          </dgm:shape>
          <dgm:presOf/>
        </dgm:layoutNode>
        <dgm:layoutNode name="conn" styleLbl="parChTrans1D2">
          <dgm:alg type="conn">
            <dgm:param type="connRout" val="curve"/>
            <dgm:param type="srcNode" val="srcNode"/>
            <dgm:param type="dstNode" val="dstNode"/>
            <dgm:param type="begPts" val="ctr"/>
            <dgm:param type="endPts" val="ctr"/>
            <dgm:param type="endSty" val="noArr"/>
          </dgm:alg>
          <dgm:shape xmlns:r="http://schemas.openxmlformats.org/officeDocument/2006/relationships" type="conn" r:blip="">
            <dgm:adjLst/>
          </dgm:shape>
          <dgm:presOf axis="desOrSelf" ptType="sibTrans" hideLastTrans="0" st="0" cnt="1"/>
          <dgm:constrLst>
            <dgm:constr type="begPad"/>
            <dgm:constr type="endPad"/>
          </dgm:constrLst>
        </dgm:layoutNode>
        <dgm:layoutNode name="extraNode">
          <dgm:alg type="sp"/>
          <dgm:shape xmlns:r="http://schemas.openxmlformats.org/officeDocument/2006/relationships" type="rect" r:blip="" hideGeom="1">
            <dgm:adjLst/>
          </dgm:shape>
          <dgm:presOf/>
        </dgm:layoutNode>
        <dgm:layoutNode name="dstNode">
          <dgm:alg type="sp"/>
          <dgm:shape xmlns:r="http://schemas.openxmlformats.org/officeDocument/2006/relationships" type="rect" r:blip="" hideGeom="1">
            <dgm:adjLst/>
          </dgm:shape>
          <dgm:presOf/>
        </dgm:layoutNode>
      </dgm:layoutNode>
      <dgm:forEach name="wrapper" axis="self" ptType="parTrans">
        <dgm:forEach name="wrapper2" axis="self" ptType="sibTrans" st="2">
          <dgm:forEach name="accentRepeat" axis="self">
            <dgm:layoutNode name="accentRepeatNode" styleLbl="solidFgAcc1">
              <dgm:alg type="sp"/>
              <dgm:shape xmlns:r="http://schemas.openxmlformats.org/officeDocument/2006/relationships" type="ellipse" r:blip="">
                <dgm:adjLst/>
              </dgm:shape>
              <dgm:presOf/>
            </dgm:layoutNode>
          </dgm:forEach>
        </dgm:forEach>
      </dgm:forEach>
      <dgm:forEach name="Name24" axis="ch" ptType="node" cnt="1">
        <dgm:layoutNode name="text_1" styleLbl="node1">
          <dgm:varLst>
            <dgm:bulletEnabled val="1"/>
          </dgm:varLst>
          <dgm:choose name="Name25">
            <dgm:if name="Name26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27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1">
          <dgm:alg type="sp"/>
          <dgm:shape xmlns:r="http://schemas.openxmlformats.org/officeDocument/2006/relationships" r:blip="">
            <dgm:adjLst/>
          </dgm:shape>
          <dgm:presOf/>
          <dgm:constrLst/>
          <dgm:forEach name="Name28" ref="accentRepeat"/>
        </dgm:layoutNode>
      </dgm:forEach>
      <dgm:forEach name="Name29" axis="ch" ptType="node" st="2" cnt="1">
        <dgm:layoutNode name="text_2" styleLbl="node1">
          <dgm:varLst>
            <dgm:bulletEnabled val="1"/>
          </dgm:varLst>
          <dgm:choose name="Name30">
            <dgm:if name="Name31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32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2">
          <dgm:alg type="sp"/>
          <dgm:shape xmlns:r="http://schemas.openxmlformats.org/officeDocument/2006/relationships" r:blip="">
            <dgm:adjLst/>
          </dgm:shape>
          <dgm:presOf/>
          <dgm:constrLst/>
          <dgm:forEach name="Name33" ref="accentRepeat"/>
        </dgm:layoutNode>
      </dgm:forEach>
      <dgm:forEach name="Name34" axis="ch" ptType="node" st="3" cnt="1">
        <dgm:layoutNode name="text_3" styleLbl="node1">
          <dgm:varLst>
            <dgm:bulletEnabled val="1"/>
          </dgm:varLst>
          <dgm:choose name="Name35">
            <dgm:if name="Name36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37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3">
          <dgm:alg type="sp"/>
          <dgm:shape xmlns:r="http://schemas.openxmlformats.org/officeDocument/2006/relationships" r:blip="">
            <dgm:adjLst/>
          </dgm:shape>
          <dgm:presOf/>
          <dgm:constrLst/>
          <dgm:forEach name="Name38" ref="accentRepeat"/>
        </dgm:layoutNode>
      </dgm:forEach>
      <dgm:forEach name="Name39" axis="ch" ptType="node" st="4" cnt="1">
        <dgm:layoutNode name="text_4" styleLbl="node1">
          <dgm:varLst>
            <dgm:bulletEnabled val="1"/>
          </dgm:varLst>
          <dgm:choose name="Name40">
            <dgm:if name="Name41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42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4">
          <dgm:alg type="sp"/>
          <dgm:shape xmlns:r="http://schemas.openxmlformats.org/officeDocument/2006/relationships" r:blip="">
            <dgm:adjLst/>
          </dgm:shape>
          <dgm:presOf/>
          <dgm:constrLst/>
          <dgm:forEach name="Name43" ref="accentRepeat"/>
        </dgm:layoutNode>
      </dgm:forEach>
      <dgm:forEach name="Name44" axis="ch" ptType="node" st="5" cnt="1">
        <dgm:layoutNode name="text_5" styleLbl="node1">
          <dgm:varLst>
            <dgm:bulletEnabled val="1"/>
          </dgm:varLst>
          <dgm:choose name="Name45">
            <dgm:if name="Name46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47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5">
          <dgm:alg type="sp"/>
          <dgm:shape xmlns:r="http://schemas.openxmlformats.org/officeDocument/2006/relationships" r:blip="">
            <dgm:adjLst/>
          </dgm:shape>
          <dgm:presOf/>
          <dgm:constrLst/>
          <dgm:forEach name="Name48" ref="accentRepeat"/>
        </dgm:layoutNode>
      </dgm:forEach>
      <dgm:forEach name="Name49" axis="ch" ptType="node" st="6" cnt="1">
        <dgm:layoutNode name="text_6" styleLbl="node1">
          <dgm:varLst>
            <dgm:bulletEnabled val="1"/>
          </dgm:varLst>
          <dgm:choose name="Name50">
            <dgm:if name="Name51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52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6">
          <dgm:alg type="sp"/>
          <dgm:shape xmlns:r="http://schemas.openxmlformats.org/officeDocument/2006/relationships" r:blip="">
            <dgm:adjLst/>
          </dgm:shape>
          <dgm:presOf/>
          <dgm:constrLst/>
          <dgm:forEach name="Name53" ref="accentRepeat"/>
        </dgm:layoutNode>
      </dgm:forEach>
      <dgm:forEach name="Name54" axis="ch" ptType="node" st="7" cnt="1">
        <dgm:layoutNode name="text_7" styleLbl="node1">
          <dgm:varLst>
            <dgm:bulletEnabled val="1"/>
          </dgm:varLst>
          <dgm:choose name="Name55">
            <dgm:if name="Name56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57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7">
          <dgm:alg type="sp"/>
          <dgm:shape xmlns:r="http://schemas.openxmlformats.org/officeDocument/2006/relationships" r:blip="">
            <dgm:adjLst/>
          </dgm:shape>
          <dgm:presOf/>
          <dgm:constrLst/>
          <dgm:forEach name="Name58" ref="accentRepeat"/>
        </dgm:layoutNode>
      </dgm:forEach>
    </dgm:layoutNode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default">
  <dgm:title val=""/>
  <dgm:desc val=""/>
  <dgm:catLst>
    <dgm:cat type="list" pri="4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diagram">
    <dgm:varLst>
      <dgm:dir/>
      <dgm:resizeHandles val="exact"/>
    </dgm:varLst>
    <dgm:choose name="Name0">
      <dgm:if name="Name1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node" refType="w"/>
      <dgm:constr type="h" for="ch" forName="node" refType="w" refFor="ch" refForName="node" fact="0.6"/>
      <dgm:constr type="w" for="ch" forName="sibTrans" refType="w" refFor="ch" refForName="node" fact="0.1"/>
      <dgm:constr type="sp" refType="w" refFor="ch" refForName="sibTrans"/>
      <dgm:constr type="primFontSz" for="ch" forName="node" op="equ" val="65"/>
    </dgm:constrLst>
    <dgm:ruleLst/>
    <dgm:forEach name="Name3" axis="ch" ptType="node">
      <dgm:layoutNode name="node">
        <dgm:varLst>
          <dgm:bulletEnabled val="1"/>
        </dgm:varLst>
        <dgm:alg type="tx"/>
        <dgm:shape xmlns:r="http://schemas.openxmlformats.org/officeDocument/2006/relationships" type="rect" r:blip="">
          <dgm:adjLst/>
        </dgm:shape>
        <dgm:presOf axis="desOrSelf" ptType="node"/>
        <dgm:constrLst>
          <dgm:constr type="lMarg" refType="primFontSz" fact="0.3"/>
          <dgm:constr type="rMarg" refType="primFontSz" fact="0.3"/>
          <dgm:constr type="tMarg" refType="primFontSz" fact="0.3"/>
          <dgm:constr type="bMarg" refType="primFontSz" fact="0.3"/>
        </dgm:constrLst>
        <dgm:ruleLst>
          <dgm:rule type="primFontSz" val="5" fact="NaN" max="NaN"/>
        </dgm:ruleLst>
      </dgm:layoutNode>
      <dgm:forEach name="Name4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5.xml><?xml version="1.0" encoding="utf-8"?>
<dgm:layoutDef xmlns:dgm="http://schemas.openxmlformats.org/drawingml/2006/diagram" xmlns:a="http://schemas.openxmlformats.org/drawingml/2006/main" uniqueId="urn:microsoft.com/office/officeart/2005/8/layout/default">
  <dgm:title val=""/>
  <dgm:desc val=""/>
  <dgm:catLst>
    <dgm:cat type="list" pri="4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diagram">
    <dgm:varLst>
      <dgm:dir/>
      <dgm:resizeHandles val="exact"/>
    </dgm:varLst>
    <dgm:choose name="Name0">
      <dgm:if name="Name1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node" refType="w"/>
      <dgm:constr type="h" for="ch" forName="node" refType="w" refFor="ch" refForName="node" fact="0.6"/>
      <dgm:constr type="w" for="ch" forName="sibTrans" refType="w" refFor="ch" refForName="node" fact="0.1"/>
      <dgm:constr type="sp" refType="w" refFor="ch" refForName="sibTrans"/>
      <dgm:constr type="primFontSz" for="ch" forName="node" op="equ" val="65"/>
    </dgm:constrLst>
    <dgm:ruleLst/>
    <dgm:forEach name="Name3" axis="ch" ptType="node">
      <dgm:layoutNode name="node">
        <dgm:varLst>
          <dgm:bulletEnabled val="1"/>
        </dgm:varLst>
        <dgm:alg type="tx"/>
        <dgm:shape xmlns:r="http://schemas.openxmlformats.org/officeDocument/2006/relationships" type="rect" r:blip="">
          <dgm:adjLst/>
        </dgm:shape>
        <dgm:presOf axis="desOrSelf" ptType="node"/>
        <dgm:constrLst>
          <dgm:constr type="lMarg" refType="primFontSz" fact="0.3"/>
          <dgm:constr type="rMarg" refType="primFontSz" fact="0.3"/>
          <dgm:constr type="tMarg" refType="primFontSz" fact="0.3"/>
          <dgm:constr type="bMarg" refType="primFontSz" fact="0.3"/>
        </dgm:constrLst>
        <dgm:ruleLst>
          <dgm:rule type="primFontSz" val="5" fact="NaN" max="NaN"/>
        </dgm:ruleLst>
      </dgm:layoutNode>
      <dgm:forEach name="Name4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6.xml><?xml version="1.0" encoding="utf-8"?>
<dgm:layoutDef xmlns:dgm="http://schemas.openxmlformats.org/drawingml/2006/diagram" xmlns:a="http://schemas.openxmlformats.org/drawingml/2006/main" uniqueId="urn:microsoft.com/office/officeart/2005/8/layout/pyramid2">
  <dgm:title val=""/>
  <dgm:desc val=""/>
  <dgm:catLst>
    <dgm:cat type="pyramid" pri="3000"/>
    <dgm:cat type="list" pri="21000"/>
    <dgm:cat type="convert" pri="17000"/>
  </dgm:catLst>
  <dgm:sampData useDef="1">
    <dgm:dataModel>
      <dgm:ptLst/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compositeShape">
    <dgm:alg type="composite"/>
    <dgm:shape xmlns:r="http://schemas.openxmlformats.org/officeDocument/2006/relationships" r:blip="">
      <dgm:adjLst/>
    </dgm:shape>
    <dgm:presOf/>
    <dgm:varLst>
      <dgm:dir/>
      <dgm:resizeHandles/>
    </dgm:varLst>
    <dgm:choose name="Name0">
      <dgm:if name="Name1" func="var" arg="dir" op="equ" val="norm">
        <dgm:constrLst>
          <dgm:constr type="w" for="ch" forName="pyramid" refType="h"/>
          <dgm:constr type="h" for="ch" forName="pyramid" refType="h"/>
          <dgm:constr type="h" for="ch" forName="theList" refType="h" fact="0.8"/>
          <dgm:constr type="w" for="ch" forName="theList" refType="h" fact="0.65"/>
          <dgm:constr type="ctrY" for="ch" forName="theList" refType="h" refFor="ch" refForName="pyramid" fact="0.5"/>
          <dgm:constr type="l" for="ch" forName="theList" refType="w" refFor="ch" refForName="pyramid" fact="0.5"/>
          <dgm:constr type="h" for="des" forName="aSpace" refType="h" fact="0.1"/>
        </dgm:constrLst>
      </dgm:if>
      <dgm:else name="Name2">
        <dgm:constrLst>
          <dgm:constr type="w" for="ch" forName="pyramid" refType="h"/>
          <dgm:constr type="h" for="ch" forName="pyramid" refType="h"/>
          <dgm:constr type="h" for="ch" forName="theList" refType="h" fact="0.8"/>
          <dgm:constr type="w" for="ch" forName="theList" refType="h" fact="0.65"/>
          <dgm:constr type="ctrY" for="ch" forName="theList" refType="h" refFor="ch" refForName="pyramid" fact="0.5"/>
          <dgm:constr type="r" for="ch" forName="theList" refType="w" refFor="ch" refForName="pyramid" fact="0.5"/>
          <dgm:constr type="h" for="des" forName="aSpace" refType="h" fact="0.1"/>
        </dgm:constrLst>
      </dgm:else>
    </dgm:choose>
    <dgm:ruleLst/>
    <dgm:choose name="Name3">
      <dgm:if name="Name4" axis="ch" ptType="node" func="cnt" op="gte" val="1">
        <dgm:layoutNode name="pyramid" styleLbl="node1">
          <dgm:alg type="sp"/>
          <dgm:shape xmlns:r="http://schemas.openxmlformats.org/officeDocument/2006/relationships" type="triangle" r:blip="">
            <dgm:adjLst/>
          </dgm:shape>
          <dgm:presOf/>
          <dgm:constrLst/>
          <dgm:ruleLst/>
        </dgm:layoutNode>
        <dgm:layoutNode name="theList">
          <dgm:alg type="lin">
            <dgm:param type="linDir" val="fromT"/>
          </dgm:alg>
          <dgm:shape xmlns:r="http://schemas.openxmlformats.org/officeDocument/2006/relationships" r:blip="">
            <dgm:adjLst/>
          </dgm:shape>
          <dgm:presOf/>
          <dgm:constrLst>
            <dgm:constr type="w" for="ch" forName="aNode" refType="w"/>
            <dgm:constr type="h" for="ch" forName="aNode" refType="h"/>
            <dgm:constr type="primFontSz" for="ch" ptType="node" op="equ"/>
          </dgm:constrLst>
          <dgm:ruleLst/>
          <dgm:forEach name="aNodeForEach" axis="ch" ptType="node">
            <dgm:layoutNode name="aNode" styleLbl="fgAcc1">
              <dgm:varLst>
                <dgm:bulletEnabled val="1"/>
              </dgm:varLst>
              <dgm:alg type="tx"/>
              <dgm:shape xmlns:r="http://schemas.openxmlformats.org/officeDocument/2006/relationships" type="roundRect" r:blip="">
                <dgm:adjLst/>
              </dgm:shape>
              <dgm:presOf axis="desOrSelf" ptType="node"/>
              <dgm:constrLst>
                <dgm:constr type="primFontSz" val="65"/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  <dgm:layoutNode name="a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layoutNode>
      </dgm:if>
      <dgm:else name="Name5"/>
    </dgm:choose>
  </dgm:layoutNode>
</dgm:layoutDef>
</file>

<file path=xl/diagrams/layout7.xml><?xml version="1.0" encoding="utf-8"?>
<dgm:layoutDef xmlns:dgm="http://schemas.openxmlformats.org/drawingml/2006/diagram" xmlns:a="http://schemas.openxmlformats.org/drawingml/2006/main" uniqueId="urn:microsoft.com/office/officeart/2005/8/layout/hList6">
  <dgm:title val=""/>
  <dgm:desc val=""/>
  <dgm:catLst>
    <dgm:cat type="list" pri="18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ptType="node" refType="h"/>
      <dgm:constr type="w" for="ch" ptType="node" refType="w"/>
      <dgm:constr type="primFontSz" for="ch" ptType="node" op="equ"/>
      <dgm:constr type="w" for="ch" forName="sibTrans" refType="w" fact="0.075"/>
    </dgm:constrLst>
    <dgm:ruleLst/>
    <dgm:forEach name="nodesForEach" axis="ch" ptType="node">
      <dgm:layoutNode name="node">
        <dgm:varLst>
          <dgm:bulletEnabled val="1"/>
        </dgm:varLst>
        <dgm:alg type="tx"/>
        <dgm:choose name="Name4">
          <dgm:if name="Name5" func="var" arg="dir" op="equ" val="norm">
            <dgm:shape xmlns:r="http://schemas.openxmlformats.org/officeDocument/2006/relationships" rot="-90" type="flowChartManualOperation" r:blip="">
              <dgm:adjLst/>
            </dgm:shape>
          </dgm:if>
          <dgm:else name="Name6">
            <dgm:shape xmlns:r="http://schemas.openxmlformats.org/officeDocument/2006/relationships" rot="90" type="flowChartManualOperation" r:blip="">
              <dgm:adjLst/>
            </dgm:shape>
          </dgm:else>
        </dgm:choose>
        <dgm:presOf axis="desOrSelf" ptType="node"/>
        <dgm:constrLst>
          <dgm:constr type="primFontSz" val="65"/>
          <dgm:constr type="tMarg"/>
          <dgm:constr type="bMarg"/>
          <dgm:constr type="lMarg" refType="primFontSz" fact="0.5"/>
          <dgm:constr type="rMarg" refType="lMarg"/>
        </dgm:constrLst>
        <dgm:ruleLst>
          <dgm:rule type="primFontSz" val="5" fact="NaN" max="NaN"/>
        </dgm:ruleLst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8.xml><?xml version="1.0" encoding="utf-8"?>
<dgm:layoutDef xmlns:dgm="http://schemas.openxmlformats.org/drawingml/2006/diagram" xmlns:a="http://schemas.openxmlformats.org/drawingml/2006/main" uniqueId="urn:microsoft.com/office/officeart/2005/8/layout/chart3">
  <dgm:title val=""/>
  <dgm:desc val=""/>
  <dgm:catLst>
    <dgm:cat type="relationship" pri="27000"/>
    <dgm:cat type="cycle" pri="8000"/>
  </dgm:catLst>
  <dgm:sampData useDef="1">
    <dgm:dataModel>
      <dgm:ptLst/>
      <dgm:bg/>
      <dgm:whole/>
    </dgm:dataModel>
  </dgm:sampData>
  <dgm:styleData useDef="1">
    <dgm:dataModel>
      <dgm:ptLst/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ompositeShape">
    <dgm:varLst>
      <dgm:chMax val="7"/>
      <dgm:dir/>
      <dgm:resizeHandles val="exact"/>
    </dgm:varLst>
    <dgm:alg type="composite">
      <dgm:param type="horzAlign" val="ctr"/>
      <dgm:param type="vertAlign" val="mid"/>
      <dgm:param type="ar" val="1"/>
    </dgm:alg>
    <dgm:presOf/>
    <dgm:shape xmlns:r="http://schemas.openxmlformats.org/officeDocument/2006/relationships" r:blip="">
      <dgm:adjLst/>
    </dgm:shape>
    <dgm:choose name="Name0">
      <dgm:if name="Name1" axis="ch" ptType="node" func="cnt" op="equ" val="1">
        <dgm:constrLst>
          <dgm:constr type="l" for="ch" forName="wedge1" refType="w" fact="0.08"/>
          <dgm:constr type="t" for="ch" forName="wedge1" refType="w" fact="0.08"/>
          <dgm:constr type="w" for="ch" forName="wedge1" refType="w" fact="0.84"/>
          <dgm:constr type="h" for="ch" forName="wedge1" refType="h" fact="0.84"/>
          <dgm:constr type="l" for="ch" forName="wedge1Tx" refType="w" fact="0.205"/>
          <dgm:constr type="t" for="ch" forName="wedge1Tx" refType="h" fact="0.205"/>
          <dgm:constr type="w" for="ch" forName="wedge1Tx" refType="w" fact="0.59"/>
          <dgm:constr type="h" for="ch" forName="wedge1Tx" refType="h" fact="0.59"/>
          <dgm:constr type="primFontSz" for="ch" ptType="node" op="equ"/>
        </dgm:constrLst>
      </dgm:if>
      <dgm:if name="Name2" axis="ch" ptType="node" func="cnt" op="equ" val="2">
        <dgm:constrLst>
          <dgm:constr type="l" for="ch" forName="wedge1" refType="w" fact="0.1"/>
          <dgm:constr type="t" for="ch" forName="wedge1" refType="w" fact="0.08"/>
          <dgm:constr type="w" for="ch" forName="wedge1" refType="w" fact="0.84"/>
          <dgm:constr type="h" for="ch" forName="wedge1" refType="h" fact="0.84"/>
          <dgm:constr type="l" for="ch" forName="wedge1Tx" refType="w" fact="0.52"/>
          <dgm:constr type="t" for="ch" forName="wedge1Tx" refType="h" fact="0.205"/>
          <dgm:constr type="w" for="ch" forName="wedge1Tx" refType="w" fact="0.295"/>
          <dgm:constr type="h" for="ch" forName="wedge1Tx" refType="h" fact="0.59"/>
          <dgm:constr type="l" for="ch" forName="wedge2" refType="w" fact="0.08"/>
          <dgm:constr type="t" for="ch" forName="wedge2" refType="w" fact="0.08"/>
          <dgm:constr type="w" for="ch" forName="wedge2" refType="w" fact="0.84"/>
          <dgm:constr type="h" for="ch" forName="wedge2" refType="h" fact="0.84"/>
          <dgm:constr type="l" for="ch" forName="wedge2Tx" refType="w" fact="0.2"/>
          <dgm:constr type="t" for="ch" forName="wedge2Tx" refType="h" fact="0.205"/>
          <dgm:constr type="w" for="ch" forName="wedge2Tx" refType="w" fact="0.295"/>
          <dgm:constr type="h" for="ch" forName="wedge2Tx" refType="h" fact="0.59"/>
          <dgm:constr type="primFontSz" for="ch" ptType="node" op="equ"/>
        </dgm:constrLst>
      </dgm:if>
      <dgm:if name="Name3" axis="ch" ptType="node" func="cnt" op="equ" val="3">
        <dgm:choose name="Name4">
          <dgm:if name="Name5" func="var" arg="dir" op="equ" val="norm">
            <dgm:constrLst>
              <dgm:constr type="l" for="ch" forName="wedge1" refType="w" fact="0.1233"/>
              <dgm:constr type="t" for="ch" forName="wedge1" refType="w" fact="0.055"/>
              <dgm:constr type="w" for="ch" forName="wedge1" refType="w" fact="0.84"/>
              <dgm:constr type="h" for="ch" forName="wedge1" refType="h" fact="0.84"/>
              <dgm:constr type="l" for="ch" forName="wedge1Tx" refType="w" fact="0.58"/>
              <dgm:constr type="t" for="ch" forName="wedge1Tx" refType="h" fact="0.21"/>
              <dgm:constr type="w" for="ch" forName="wedge1Tx" refType="w" fact="0.285"/>
              <dgm:constr type="h" for="ch" forName="wedge1Tx" refType="h" fact="0.28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31"/>
              <dgm:constr type="t" for="ch" forName="wedge2Tx" refType="h" fact="0.61"/>
              <dgm:constr type="w" for="ch" forName="wedge2Tx" refType="w" fact="0.38"/>
              <dgm:constr type="h" for="ch" forName="wedge2Tx" refType="h" fact="0.26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17"/>
              <dgm:constr type="t" for="ch" forName="wedge3Tx" refType="h" fact="0.245"/>
              <dgm:constr type="w" for="ch" forName="wedge3Tx" refType="w" fact="0.285"/>
              <dgm:constr type="h" for="ch" forName="wedge3Tx" refType="h" fact="0.28"/>
              <dgm:constr type="primFontSz" for="ch" ptType="node" op="equ"/>
            </dgm:constrLst>
          </dgm:if>
          <dgm:else name="Name6">
            <dgm:constrLst>
              <dgm:constr type="l" for="ch" forName="wedge1" refType="w" fact="0.08"/>
              <dgm:constr type="t" for="ch" forName="wedge1" refType="w" fact="0.08"/>
              <dgm:constr type="w" for="ch" forName="wedge1" refType="w" fact="0.84"/>
              <dgm:constr type="h" for="ch" forName="wedge1" refType="h" fact="0.84"/>
              <dgm:constr type="l" for="ch" forName="wedge1Tx" refType="w" fact="0.545"/>
              <dgm:constr type="t" for="ch" forName="wedge1Tx" refType="h" fact="0.245"/>
              <dgm:constr type="w" for="ch" forName="wedge1Tx" refType="w" fact="0.285"/>
              <dgm:constr type="h" for="ch" forName="wedge1Tx" refType="h" fact="0.28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31"/>
              <dgm:constr type="t" for="ch" forName="wedge2Tx" refType="h" fact="0.61"/>
              <dgm:constr type="w" for="ch" forName="wedge2Tx" refType="w" fact="0.38"/>
              <dgm:constr type="h" for="ch" forName="wedge2Tx" refType="h" fact="0.26"/>
              <dgm:constr type="l" for="ch" forName="wedge3" refType="w" fact="0.0367"/>
              <dgm:constr type="t" for="ch" forName="wedge3" refType="w" fact="0.055"/>
              <dgm:constr type="w" for="ch" forName="wedge3" refType="w" fact="0.84"/>
              <dgm:constr type="h" for="ch" forName="wedge3" refType="h" fact="0.84"/>
              <dgm:constr type="l" for="ch" forName="wedge3Tx" refType="w" fact="0.14"/>
              <dgm:constr type="t" for="ch" forName="wedge3Tx" refType="h" fact="0.21"/>
              <dgm:constr type="w" for="ch" forName="wedge3Tx" refType="w" fact="0.285"/>
              <dgm:constr type="h" for="ch" forName="wedge3Tx" refType="h" fact="0.28"/>
              <dgm:constr type="primFontSz" for="ch" ptType="node" op="equ"/>
            </dgm:constrLst>
          </dgm:else>
        </dgm:choose>
      </dgm:if>
      <dgm:if name="Name7" axis="ch" ptType="node" func="cnt" op="equ" val="4">
        <dgm:choose name="Name8">
          <dgm:if name="Name9" func="var" arg="dir" op="equ" val="norm">
            <dgm:constrLst>
              <dgm:constr type="l" for="ch" forName="wedge1" refType="w" fact="0.1154"/>
              <dgm:constr type="t" for="ch" forName="wedge1" refType="w" fact="0.0446"/>
              <dgm:constr type="w" for="ch" forName="wedge1" refType="w" fact="0.84"/>
              <dgm:constr type="h" for="ch" forName="wedge1" refType="h" fact="0.84"/>
              <dgm:constr type="l" for="ch" forName="wedge1Tx" refType="w" fact="0.545"/>
              <dgm:constr type="t" for="ch" forName="wedge1Tx" refType="h" fact="0.2"/>
              <dgm:constr type="w" for="ch" forName="wedge1Tx" refType="w" fact="0.31"/>
              <dgm:constr type="h" for="ch" forName="wedge1Tx" refType="h" fact="0.25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515"/>
              <dgm:constr type="t" for="ch" forName="wedge2Tx" refType="h" fact="0.515"/>
              <dgm:constr type="w" for="ch" forName="wedge2Tx" refType="w" fact="0.31"/>
              <dgm:constr type="h" for="ch" forName="wedge2Tx" refType="h" fact="0.25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175"/>
              <dgm:constr type="t" for="ch" forName="wedge3Tx" refType="h" fact="0.515"/>
              <dgm:constr type="w" for="ch" forName="wedge3Tx" refType="w" fact="0.31"/>
              <dgm:constr type="h" for="ch" forName="wedge3Tx" refType="h" fact="0.25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175"/>
              <dgm:constr type="t" for="ch" forName="wedge4Tx" refType="h" fact="0.235"/>
              <dgm:constr type="w" for="ch" forName="wedge4Tx" refType="w" fact="0.31"/>
              <dgm:constr type="h" for="ch" forName="wedge4Tx" refType="h" fact="0.25"/>
              <dgm:constr type="primFontSz" for="ch" ptType="node" op="equ"/>
            </dgm:constrLst>
          </dgm:if>
          <dgm:else name="Name10">
            <dgm:constrLst>
              <dgm:constr type="l" for="ch" forName="wedge1" refType="w" fact="0.08"/>
              <dgm:constr type="t" for="ch" forName="wedge1" refType="w" fact="0.08"/>
              <dgm:constr type="w" for="ch" forName="wedge1" refType="w" fact="0.84"/>
              <dgm:constr type="h" for="ch" forName="wedge1" refType="h" fact="0.84"/>
              <dgm:constr type="l" for="ch" forName="wedge1Tx" refType="w" fact="0.515"/>
              <dgm:constr type="t" for="ch" forName="wedge1Tx" refType="h" fact="0.235"/>
              <dgm:constr type="w" for="ch" forName="wedge1Tx" refType="w" fact="0.31"/>
              <dgm:constr type="h" for="ch" forName="wedge1Tx" refType="h" fact="0.25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515"/>
              <dgm:constr type="t" for="ch" forName="wedge2Tx" refType="h" fact="0.515"/>
              <dgm:constr type="w" for="ch" forName="wedge2Tx" refType="w" fact="0.31"/>
              <dgm:constr type="h" for="ch" forName="wedge2Tx" refType="h" fact="0.25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175"/>
              <dgm:constr type="t" for="ch" forName="wedge3Tx" refType="h" fact="0.515"/>
              <dgm:constr type="w" for="ch" forName="wedge3Tx" refType="w" fact="0.31"/>
              <dgm:constr type="h" for="ch" forName="wedge3Tx" refType="h" fact="0.25"/>
              <dgm:constr type="l" for="ch" forName="wedge4" refType="w" fact="0.0446"/>
              <dgm:constr type="t" for="ch" forName="wedge4" refType="h" fact="0.0446"/>
              <dgm:constr type="w" for="ch" forName="wedge4" refType="w" fact="0.84"/>
              <dgm:constr type="h" for="ch" forName="wedge4" refType="h" fact="0.84"/>
              <dgm:constr type="l" for="ch" forName="wedge4Tx" refType="w" fact="0.145"/>
              <dgm:constr type="t" for="ch" forName="wedge4Tx" refType="h" fact="0.2"/>
              <dgm:constr type="w" for="ch" forName="wedge4Tx" refType="w" fact="0.31"/>
              <dgm:constr type="h" for="ch" forName="wedge4Tx" refType="h" fact="0.25"/>
              <dgm:constr type="primFontSz" for="ch" ptType="node" op="equ"/>
            </dgm:constrLst>
          </dgm:else>
        </dgm:choose>
      </dgm:if>
      <dgm:if name="Name11" axis="ch" ptType="node" func="cnt" op="equ" val="5">
        <dgm:choose name="Name12">
          <dgm:if name="Name13" func="var" arg="dir" op="equ" val="norm">
            <dgm:constrLst>
              <dgm:constr type="l" for="ch" forName="wedge1" refType="w" fact="0.1094"/>
              <dgm:constr type="t" for="ch" forName="wedge1" refType="w" fact="0.0395"/>
              <dgm:constr type="w" for="ch" forName="wedge1" refType="w" fact="0.84"/>
              <dgm:constr type="h" for="ch" forName="wedge1" refType="h" fact="0.84"/>
              <dgm:constr type="l" for="ch" forName="wedge1Tx" refType="w" fact="0.54"/>
              <dgm:constr type="t" for="ch" forName="wedge1Tx" refType="h" fact="0.165"/>
              <dgm:constr type="w" for="ch" forName="wedge1Tx" refType="w" fact="0.285"/>
              <dgm:constr type="h" for="ch" forName="wedge1Tx" refType="h" fact="0.195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629"/>
              <dgm:constr type="t" for="ch" forName="wedge2Tx" refType="h" fact="0.46"/>
              <dgm:constr type="w" for="ch" forName="wedge2Tx" refType="w" fact="0.25"/>
              <dgm:constr type="h" for="ch" forName="wedge2Tx" refType="h" fact="0.211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35"/>
              <dgm:constr type="t" for="ch" forName="wedge3Tx" refType="h" fact="0.71"/>
              <dgm:constr type="w" for="ch" forName="wedge3Tx" refType="w" fact="0.3"/>
              <dgm:constr type="h" for="ch" forName="wedge3Tx" refType="h" fact="0.18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12"/>
              <dgm:constr type="t" for="ch" forName="wedge4Tx" refType="h" fact="0.46"/>
              <dgm:constr type="w" for="ch" forName="wedge4Tx" refType="w" fact="0.25"/>
              <dgm:constr type="h" for="ch" forName="wedge4Tx" refType="h" fact="0.211"/>
              <dgm:constr type="l" for="ch" forName="wedge5" refType="w" fact="0.08"/>
              <dgm:constr type="t" for="ch" forName="wedge5" refType="h" fact="0.08"/>
              <dgm:constr type="w" for="ch" forName="wedge5" refType="w" fact="0.84"/>
              <dgm:constr type="h" for="ch" forName="wedge5" refType="h" fact="0.84"/>
              <dgm:constr type="l" for="ch" forName="wedge5Tx" refType="w" fact="0.2025"/>
              <dgm:constr type="t" for="ch" forName="wedge5Tx" refType="h" fact="0.208"/>
              <dgm:constr type="w" for="ch" forName="wedge5Tx" refType="w" fact="0.285"/>
              <dgm:constr type="h" for="ch" forName="wedge5Tx" refType="h" fact="0.195"/>
              <dgm:constr type="primFontSz" for="ch" ptType="node" op="equ"/>
            </dgm:constrLst>
          </dgm:if>
          <dgm:else name="Name14">
            <dgm:constrLst>
              <dgm:constr type="l" for="ch" forName="wedge1" refType="w" fact="0.08"/>
              <dgm:constr type="t" for="ch" forName="wedge1" refType="w" fact="0.08"/>
              <dgm:constr type="w" for="ch" forName="wedge1" refType="w" fact="0.84"/>
              <dgm:constr type="h" for="ch" forName="wedge1" refType="h" fact="0.84"/>
              <dgm:constr type="l" for="ch" forName="wedge1Tx" refType="w" fact="0.51"/>
              <dgm:constr type="t" for="ch" forName="wedge1Tx" refType="h" fact="0.208"/>
              <dgm:constr type="w" for="ch" forName="wedge1Tx" refType="w" fact="0.285"/>
              <dgm:constr type="h" for="ch" forName="wedge1Tx" refType="h" fact="0.195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629"/>
              <dgm:constr type="t" for="ch" forName="wedge2Tx" refType="h" fact="0.46"/>
              <dgm:constr type="w" for="ch" forName="wedge2Tx" refType="w" fact="0.25"/>
              <dgm:constr type="h" for="ch" forName="wedge2Tx" refType="h" fact="0.211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35"/>
              <dgm:constr type="t" for="ch" forName="wedge3Tx" refType="h" fact="0.71"/>
              <dgm:constr type="w" for="ch" forName="wedge3Tx" refType="w" fact="0.3"/>
              <dgm:constr type="h" for="ch" forName="wedge3Tx" refType="h" fact="0.18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12"/>
              <dgm:constr type="t" for="ch" forName="wedge4Tx" refType="h" fact="0.46"/>
              <dgm:constr type="w" for="ch" forName="wedge4Tx" refType="w" fact="0.25"/>
              <dgm:constr type="h" for="ch" forName="wedge4Tx" refType="h" fact="0.211"/>
              <dgm:constr type="l" for="ch" forName="wedge5" refType="w" fact="0.0506"/>
              <dgm:constr type="t" for="ch" forName="wedge5" refType="h" fact="0.0395"/>
              <dgm:constr type="w" for="ch" forName="wedge5" refType="w" fact="0.84"/>
              <dgm:constr type="h" for="ch" forName="wedge5" refType="h" fact="0.84"/>
              <dgm:constr type="l" for="ch" forName="wedge5Tx" refType="w" fact="0.18"/>
              <dgm:constr type="t" for="ch" forName="wedge5Tx" refType="h" fact="0.165"/>
              <dgm:constr type="w" for="ch" forName="wedge5Tx" refType="w" fact="0.285"/>
              <dgm:constr type="h" for="ch" forName="wedge5Tx" refType="h" fact="0.195"/>
              <dgm:constr type="primFontSz" for="ch" ptType="node" op="equ"/>
            </dgm:constrLst>
          </dgm:else>
        </dgm:choose>
      </dgm:if>
      <dgm:if name="Name15" axis="ch" ptType="node" func="cnt" op="equ" val="6">
        <dgm:choose name="Name16">
          <dgm:if name="Name17" func="var" arg="dir" op="equ" val="norm">
            <dgm:constrLst>
              <dgm:constr type="l" for="ch" forName="wedge1" refType="w" fact="0.105"/>
              <dgm:constr type="t" for="ch" forName="wedge1" refType="w" fact="0.0367"/>
              <dgm:constr type="w" for="ch" forName="wedge1" refType="w" fact="0.84"/>
              <dgm:constr type="h" for="ch" forName="wedge1" refType="h" fact="0.84"/>
              <dgm:constr type="l" for="ch" forName="wedge1Tx" refType="w" fact="0.534"/>
              <dgm:constr type="t" for="ch" forName="wedge1Tx" refType="h" fact="0.1267"/>
              <dgm:constr type="w" for="ch" forName="wedge1Tx" refType="w" fact="0.245"/>
              <dgm:constr type="h" for="ch" forName="wedge1Tx" refType="h" fact="0.18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655"/>
              <dgm:constr type="t" for="ch" forName="wedge2Tx" refType="h" fact="0.415"/>
              <dgm:constr type="w" for="ch" forName="wedge2Tx" refType="w" fact="0.254"/>
              <dgm:constr type="h" for="ch" forName="wedge2Tx" refType="h" fact="0.17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509"/>
              <dgm:constr type="t" for="ch" forName="wedge3Tx" refType="h" fact="0.65"/>
              <dgm:constr type="w" for="ch" forName="wedge3Tx" refType="w" fact="0.245"/>
              <dgm:constr type="h" for="ch" forName="wedge3Tx" refType="h" fact="0.18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246"/>
              <dgm:constr type="t" for="ch" forName="wedge4Tx" refType="h" fact="0.65"/>
              <dgm:constr type="w" for="ch" forName="wedge4Tx" refType="w" fact="0.245"/>
              <dgm:constr type="h" for="ch" forName="wedge4Tx" refType="h" fact="0.18"/>
              <dgm:constr type="l" for="ch" forName="wedge5" refType="w" fact="0.08"/>
              <dgm:constr type="t" for="ch" forName="wedge5" refType="h" fact="0.08"/>
              <dgm:constr type="w" for="ch" forName="wedge5" refType="w" fact="0.84"/>
              <dgm:constr type="h" for="ch" forName="wedge5" refType="h" fact="0.84"/>
              <dgm:constr type="l" for="ch" forName="wedge5Tx" refType="w" fact="0.093"/>
              <dgm:constr type="t" for="ch" forName="wedge5Tx" refType="h" fact="0.415"/>
              <dgm:constr type="w" for="ch" forName="wedge5Tx" refType="w" fact="0.254"/>
              <dgm:constr type="h" for="ch" forName="wedge5Tx" refType="h" fact="0.17"/>
              <dgm:constr type="l" for="ch" forName="wedge6" refType="w" fact="0.08"/>
              <dgm:constr type="t" for="ch" forName="wedge6" refType="h" fact="0.08"/>
              <dgm:constr type="w" for="ch" forName="wedge6" refType="w" fact="0.84"/>
              <dgm:constr type="h" for="ch" forName="wedge6" refType="h" fact="0.84"/>
              <dgm:constr type="l" for="ch" forName="wedge6Tx" refType="w" fact="0.246"/>
              <dgm:constr type="t" for="ch" forName="wedge6Tx" refType="h" fact="0.17"/>
              <dgm:constr type="w" for="ch" forName="wedge6Tx" refType="w" fact="0.245"/>
              <dgm:constr type="h" for="ch" forName="wedge6Tx" refType="h" fact="0.18"/>
              <dgm:constr type="primFontSz" for="ch" ptType="node" op="equ"/>
            </dgm:constrLst>
          </dgm:if>
          <dgm:else name="Name18">
            <dgm:constrLst>
              <dgm:constr type="l" for="ch" forName="wedge1" refType="w" fact="0.08"/>
              <dgm:constr type="t" for="ch" forName="wedge1" refType="w" fact="0.08"/>
              <dgm:constr type="w" for="ch" forName="wedge1" refType="w" fact="0.84"/>
              <dgm:constr type="h" for="ch" forName="wedge1" refType="h" fact="0.84"/>
              <dgm:constr type="l" for="ch" forName="wedge1Tx" refType="w" fact="0.509"/>
              <dgm:constr type="t" for="ch" forName="wedge1Tx" refType="h" fact="0.17"/>
              <dgm:constr type="w" for="ch" forName="wedge1Tx" refType="w" fact="0.245"/>
              <dgm:constr type="h" for="ch" forName="wedge1Tx" refType="h" fact="0.18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655"/>
              <dgm:constr type="t" for="ch" forName="wedge2Tx" refType="h" fact="0.415"/>
              <dgm:constr type="w" for="ch" forName="wedge2Tx" refType="w" fact="0.254"/>
              <dgm:constr type="h" for="ch" forName="wedge2Tx" refType="h" fact="0.17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509"/>
              <dgm:constr type="t" for="ch" forName="wedge3Tx" refType="h" fact="0.65"/>
              <dgm:constr type="w" for="ch" forName="wedge3Tx" refType="w" fact="0.245"/>
              <dgm:constr type="h" for="ch" forName="wedge3Tx" refType="h" fact="0.18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246"/>
              <dgm:constr type="t" for="ch" forName="wedge4Tx" refType="h" fact="0.65"/>
              <dgm:constr type="w" for="ch" forName="wedge4Tx" refType="w" fact="0.245"/>
              <dgm:constr type="h" for="ch" forName="wedge4Tx" refType="h" fact="0.18"/>
              <dgm:constr type="l" for="ch" forName="wedge5" refType="w" fact="0.08"/>
              <dgm:constr type="t" for="ch" forName="wedge5" refType="h" fact="0.08"/>
              <dgm:constr type="w" for="ch" forName="wedge5" refType="w" fact="0.84"/>
              <dgm:constr type="h" for="ch" forName="wedge5" refType="h" fact="0.84"/>
              <dgm:constr type="l" for="ch" forName="wedge5Tx" refType="w" fact="0.093"/>
              <dgm:constr type="t" for="ch" forName="wedge5Tx" refType="h" fact="0.415"/>
              <dgm:constr type="w" for="ch" forName="wedge5Tx" refType="w" fact="0.254"/>
              <dgm:constr type="h" for="ch" forName="wedge5Tx" refType="h" fact="0.17"/>
              <dgm:constr type="l" for="ch" forName="wedge6" refType="w" fact="0.055"/>
              <dgm:constr type="t" for="ch" forName="wedge6" refType="h" fact="0.0367"/>
              <dgm:constr type="w" for="ch" forName="wedge6" refType="w" fact="0.84"/>
              <dgm:constr type="h" for="ch" forName="wedge6" refType="h" fact="0.84"/>
              <dgm:constr type="l" for="ch" forName="wedge6Tx" refType="w" fact="0.221"/>
              <dgm:constr type="t" for="ch" forName="wedge6Tx" refType="h" fact="0.1267"/>
              <dgm:constr type="w" for="ch" forName="wedge6Tx" refType="w" fact="0.245"/>
              <dgm:constr type="h" for="ch" forName="wedge6Tx" refType="h" fact="0.18"/>
              <dgm:constr type="primFontSz" for="ch" ptType="node" op="equ"/>
            </dgm:constrLst>
          </dgm:else>
        </dgm:choose>
      </dgm:if>
      <dgm:else name="Name19">
        <dgm:choose name="Name20">
          <dgm:if name="Name21" func="var" arg="dir" op="equ" val="norm">
            <dgm:constrLst>
              <dgm:constr type="l" for="ch" forName="wedge1" refType="w" fact="0.1017"/>
              <dgm:constr type="t" for="ch" forName="wedge1" refType="w" fact="0.035"/>
              <dgm:constr type="w" for="ch" forName="wedge1" refType="w" fact="0.84"/>
              <dgm:constr type="h" for="ch" forName="wedge1" refType="h" fact="0.84"/>
              <dgm:constr type="l" for="ch" forName="wedge1Tx" refType="w" fact="0.53"/>
              <dgm:constr type="t" for="ch" forName="wedge1Tx" refType="h" fact="0.115"/>
              <dgm:constr type="w" for="ch" forName="wedge1Tx" refType="w" fact="0.23"/>
              <dgm:constr type="h" for="ch" forName="wedge1Tx" refType="h" fact="0.145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655"/>
              <dgm:constr type="t" for="ch" forName="wedge2Tx" refType="h" fact="0.38"/>
              <dgm:constr type="w" for="ch" forName="wedge2Tx" refType="w" fact="0.244"/>
              <dgm:constr type="h" for="ch" forName="wedge2Tx" refType="h" fact="0.155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62"/>
              <dgm:constr type="t" for="ch" forName="wedge3Tx" refType="h" fact="0.58"/>
              <dgm:constr type="w" for="ch" forName="wedge3Tx" refType="w" fact="0.22"/>
              <dgm:constr type="h" for="ch" forName="wedge3Tx" refType="h" fact="0.16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3875"/>
              <dgm:constr type="t" for="ch" forName="wedge4Tx" refType="h" fact="0.74"/>
              <dgm:constr type="w" for="ch" forName="wedge4Tx" refType="w" fact="0.225"/>
              <dgm:constr type="h" for="ch" forName="wedge4Tx" refType="h" fact="0.16"/>
              <dgm:constr type="l" for="ch" forName="wedge5" refType="w" fact="0.08"/>
              <dgm:constr type="t" for="ch" forName="wedge5" refType="h" fact="0.08"/>
              <dgm:constr type="w" for="ch" forName="wedge5" refType="w" fact="0.84"/>
              <dgm:constr type="h" for="ch" forName="wedge5" refType="h" fact="0.84"/>
              <dgm:constr type="l" for="ch" forName="wedge5Tx" refType="w" fact="0.16"/>
              <dgm:constr type="t" for="ch" forName="wedge5Tx" refType="h" fact="0.58"/>
              <dgm:constr type="w" for="ch" forName="wedge5Tx" refType="w" fact="0.22"/>
              <dgm:constr type="h" for="ch" forName="wedge5Tx" refType="h" fact="0.16"/>
              <dgm:constr type="l" for="ch" forName="wedge6" refType="w" fact="0.08"/>
              <dgm:constr type="t" for="ch" forName="wedge6" refType="h" fact="0.08"/>
              <dgm:constr type="w" for="ch" forName="wedge6" refType="w" fact="0.84"/>
              <dgm:constr type="h" for="ch" forName="wedge6" refType="h" fact="0.84"/>
              <dgm:constr type="l" for="ch" forName="wedge6Tx" refType="w" fact="0.101"/>
              <dgm:constr type="t" for="ch" forName="wedge6Tx" refType="h" fact="0.38"/>
              <dgm:constr type="w" for="ch" forName="wedge6Tx" refType="w" fact="0.244"/>
              <dgm:constr type="h" for="ch" forName="wedge6Tx" refType="h" fact="0.155"/>
              <dgm:constr type="l" for="ch" forName="wedge7" refType="w" fact="0.08"/>
              <dgm:constr type="t" for="ch" forName="wedge7" refType="h" fact="0.08"/>
              <dgm:constr type="w" for="ch" forName="wedge7" refType="w" fact="0.84"/>
              <dgm:constr type="h" for="ch" forName="wedge7" refType="h" fact="0.84"/>
              <dgm:constr type="l" for="ch" forName="wedge7Tx" refType="w" fact="0.262"/>
              <dgm:constr type="t" for="ch" forName="wedge7Tx" refType="h" fact="0.16"/>
              <dgm:constr type="w" for="ch" forName="wedge7Tx" refType="w" fact="0.23"/>
              <dgm:constr type="h" for="ch" forName="wedge7Tx" refType="h" fact="0.145"/>
              <dgm:constr type="primFontSz" for="ch" ptType="node" op="equ"/>
            </dgm:constrLst>
          </dgm:if>
          <dgm:else name="Name22">
            <dgm:constrLst>
              <dgm:constr type="l" for="ch" forName="wedge1" refType="w" fact="0.08"/>
              <dgm:constr type="t" for="ch" forName="wedge1" refType="w" fact="0.08"/>
              <dgm:constr type="w" for="ch" forName="wedge1" refType="w" fact="0.84"/>
              <dgm:constr type="h" for="ch" forName="wedge1" refType="h" fact="0.84"/>
              <dgm:constr type="l" for="ch" forName="wedge1Tx" refType="w" fact="0.508"/>
              <dgm:constr type="t" for="ch" forName="wedge1Tx" refType="h" fact="0.16"/>
              <dgm:constr type="w" for="ch" forName="wedge1Tx" refType="w" fact="0.23"/>
              <dgm:constr type="h" for="ch" forName="wedge1Tx" refType="h" fact="0.145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655"/>
              <dgm:constr type="t" for="ch" forName="wedge2Tx" refType="h" fact="0.38"/>
              <dgm:constr type="w" for="ch" forName="wedge2Tx" refType="w" fact="0.244"/>
              <dgm:constr type="h" for="ch" forName="wedge2Tx" refType="h" fact="0.155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62"/>
              <dgm:constr type="t" for="ch" forName="wedge3Tx" refType="h" fact="0.58"/>
              <dgm:constr type="w" for="ch" forName="wedge3Tx" refType="w" fact="0.22"/>
              <dgm:constr type="h" for="ch" forName="wedge3Tx" refType="h" fact="0.16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3875"/>
              <dgm:constr type="t" for="ch" forName="wedge4Tx" refType="h" fact="0.74"/>
              <dgm:constr type="w" for="ch" forName="wedge4Tx" refType="w" fact="0.225"/>
              <dgm:constr type="h" for="ch" forName="wedge4Tx" refType="h" fact="0.16"/>
              <dgm:constr type="l" for="ch" forName="wedge5" refType="w" fact="0.08"/>
              <dgm:constr type="t" for="ch" forName="wedge5" refType="h" fact="0.08"/>
              <dgm:constr type="w" for="ch" forName="wedge5" refType="w" fact="0.84"/>
              <dgm:constr type="h" for="ch" forName="wedge5" refType="h" fact="0.84"/>
              <dgm:constr type="l" for="ch" forName="wedge5Tx" refType="w" fact="0.16"/>
              <dgm:constr type="t" for="ch" forName="wedge5Tx" refType="h" fact="0.58"/>
              <dgm:constr type="w" for="ch" forName="wedge5Tx" refType="w" fact="0.22"/>
              <dgm:constr type="h" for="ch" forName="wedge5Tx" refType="h" fact="0.16"/>
              <dgm:constr type="l" for="ch" forName="wedge6" refType="w" fact="0.08"/>
              <dgm:constr type="t" for="ch" forName="wedge6" refType="h" fact="0.08"/>
              <dgm:constr type="w" for="ch" forName="wedge6" refType="w" fact="0.84"/>
              <dgm:constr type="h" for="ch" forName="wedge6" refType="h" fact="0.84"/>
              <dgm:constr type="l" for="ch" forName="wedge6Tx" refType="w" fact="0.101"/>
              <dgm:constr type="t" for="ch" forName="wedge6Tx" refType="h" fact="0.38"/>
              <dgm:constr type="w" for="ch" forName="wedge6Tx" refType="w" fact="0.244"/>
              <dgm:constr type="h" for="ch" forName="wedge6Tx" refType="h" fact="0.155"/>
              <dgm:constr type="l" for="ch" forName="wedge7" refType="w" fact="0.0583"/>
              <dgm:constr type="t" for="ch" forName="wedge7" refType="h" fact="0.035"/>
              <dgm:constr type="w" for="ch" forName="wedge7" refType="w" fact="0.84"/>
              <dgm:constr type="h" for="ch" forName="wedge7" refType="h" fact="0.84"/>
              <dgm:constr type="l" for="ch" forName="wedge7Tx" refType="w" fact="0.2403"/>
              <dgm:constr type="t" for="ch" forName="wedge7Tx" refType="h" fact="0.115"/>
              <dgm:constr type="w" for="ch" forName="wedge7Tx" refType="w" fact="0.23"/>
              <dgm:constr type="h" for="ch" forName="wedge7Tx" refType="h" fact="0.145"/>
              <dgm:constr type="primFontSz" for="ch" ptType="node" op="equ"/>
            </dgm:constrLst>
          </dgm:else>
        </dgm:choose>
      </dgm:else>
    </dgm:choose>
    <dgm:ruleLst/>
    <dgm:choose name="Name23">
      <dgm:if name="Name24" axis="ch" ptType="node" func="cnt" op="gte" val="1">
        <dgm:layoutNode name="wedge1">
          <dgm:alg type="sp"/>
          <dgm:choose name="Name25">
            <dgm:if name="Name26" axis="ch" ptType="node" func="cnt" op="equ" val="1">
              <dgm:shape xmlns:r="http://schemas.openxmlformats.org/officeDocument/2006/relationships" type="ellipse" r:blip="">
                <dgm:adjLst/>
              </dgm:shape>
            </dgm:if>
            <dgm:if name="Name27" axis="ch" ptType="node" func="cnt" op="equ" val="2">
              <dgm:shape xmlns:r="http://schemas.openxmlformats.org/officeDocument/2006/relationships" type="pie" r:blip="">
                <dgm:adjLst>
                  <dgm:adj idx="1" val="270"/>
                  <dgm:adj idx="2" val="90"/>
                </dgm:adjLst>
              </dgm:shape>
            </dgm:if>
            <dgm:if name="Name28" axis="ch" ptType="node" func="cnt" op="equ" val="3">
              <dgm:shape xmlns:r="http://schemas.openxmlformats.org/officeDocument/2006/relationships" type="pie" r:blip="">
                <dgm:adjLst>
                  <dgm:adj idx="1" val="270"/>
                  <dgm:adj idx="2" val="30"/>
                </dgm:adjLst>
              </dgm:shape>
            </dgm:if>
            <dgm:if name="Name29" axis="ch" ptType="node" func="cnt" op="equ" val="4">
              <dgm:shape xmlns:r="http://schemas.openxmlformats.org/officeDocument/2006/relationships" type="pie" r:blip="">
                <dgm:adjLst>
                  <dgm:adj idx="1" val="270"/>
                  <dgm:adj idx="2" val="0"/>
                </dgm:adjLst>
              </dgm:shape>
            </dgm:if>
            <dgm:if name="Name30" axis="ch" ptType="node" func="cnt" op="equ" val="5">
              <dgm:shape xmlns:r="http://schemas.openxmlformats.org/officeDocument/2006/relationships" type="pie" r:blip="">
                <dgm:adjLst>
                  <dgm:adj idx="1" val="270"/>
                  <dgm:adj idx="2" val="342"/>
                </dgm:adjLst>
              </dgm:shape>
            </dgm:if>
            <dgm:if name="Name31" axis="ch" ptType="node" func="cnt" op="equ" val="6">
              <dgm:shape xmlns:r="http://schemas.openxmlformats.org/officeDocument/2006/relationships" type="pie" r:blip="">
                <dgm:adjLst>
                  <dgm:adj idx="1" val="270"/>
                  <dgm:adj idx="2" val="330"/>
                </dgm:adjLst>
              </dgm:shape>
            </dgm:if>
            <dgm:else name="Name32">
              <dgm:shape xmlns:r="http://schemas.openxmlformats.org/officeDocument/2006/relationships" type="pie" r:blip="">
                <dgm:adjLst>
                  <dgm:adj idx="1" val="270"/>
                  <dgm:adj idx="2" val="321.4286"/>
                </dgm:adjLst>
              </dgm:shape>
            </dgm:else>
          </dgm:choose>
          <dgm:choose name="Name33">
            <dgm:if name="Name34" func="var" arg="dir" op="equ" val="norm">
              <dgm:presOf axis="ch desOrSelf" ptType="node node" st="1 1" cnt="1 0"/>
            </dgm:if>
            <dgm:else name="Name35">
              <dgm:choose name="Name36">
                <dgm:if name="Name37" axis="ch" ptType="node" func="cnt" op="equ" val="1">
                  <dgm:presOf axis="ch desOrSelf" ptType="node node" st="1 1" cnt="1 0"/>
                </dgm:if>
                <dgm:if name="Name38" axis="ch" ptType="node" func="cnt" op="equ" val="2">
                  <dgm:presOf axis="ch desOrSelf" ptType="node node" st="2 1" cnt="1 0"/>
                </dgm:if>
                <dgm:if name="Name39" axis="ch" ptType="node" func="cnt" op="equ" val="3">
                  <dgm:presOf axis="ch desOrSelf" ptType="node node" st="3 1" cnt="1 0"/>
                </dgm:if>
                <dgm:if name="Name40" axis="ch" ptType="node" func="cnt" op="equ" val="4">
                  <dgm:presOf axis="ch desOrSelf" ptType="node node" st="4 1" cnt="1 0"/>
                </dgm:if>
                <dgm:if name="Name41" axis="ch" ptType="node" func="cnt" op="equ" val="5">
                  <dgm:presOf axis="ch desOrSelf" ptType="node node" st="5 1" cnt="1 0"/>
                </dgm:if>
                <dgm:if name="Name42" axis="ch" ptType="node" func="cnt" op="equ" val="6">
                  <dgm:presOf axis="ch desOrSelf" ptType="node node" st="6 1" cnt="1 0"/>
                </dgm:if>
                <dgm:else name="Name43">
                  <dgm:presOf axis="ch desOrSelf" ptType="node node" st="7 1" cnt="1 0"/>
                </dgm:else>
              </dgm:choose>
            </dgm:else>
          </dgm:choose>
          <dgm:constrLst/>
          <dgm:ruleLst/>
        </dgm:layoutNode>
        <dgm:layoutNode name="wedge1Tx" moveWith="wedge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44">
            <dgm:if name="Name45" func="var" arg="dir" op="equ" val="norm">
              <dgm:presOf axis="ch desOrSelf" ptType="node node" st="1 1" cnt="1 0"/>
            </dgm:if>
            <dgm:else name="Name46">
              <dgm:choose name="Name47">
                <dgm:if name="Name48" axis="ch" ptType="node" func="cnt" op="equ" val="1">
                  <dgm:presOf axis="ch desOrSelf" ptType="node node" st="1 1" cnt="1 0"/>
                </dgm:if>
                <dgm:if name="Name49" axis="ch" ptType="node" func="cnt" op="equ" val="2">
                  <dgm:presOf axis="ch desOrSelf" ptType="node node" st="2 1" cnt="1 0"/>
                </dgm:if>
                <dgm:if name="Name50" axis="ch" ptType="node" func="cnt" op="equ" val="3">
                  <dgm:presOf axis="ch desOrSelf" ptType="node node" st="3 1" cnt="1 0"/>
                </dgm:if>
                <dgm:if name="Name51" axis="ch" ptType="node" func="cnt" op="equ" val="4">
                  <dgm:presOf axis="ch desOrSelf" ptType="node node" st="4 1" cnt="1 0"/>
                </dgm:if>
                <dgm:if name="Name52" axis="ch" ptType="node" func="cnt" op="equ" val="5">
                  <dgm:presOf axis="ch desOrSelf" ptType="node node" st="5 1" cnt="1 0"/>
                </dgm:if>
                <dgm:if name="Name53" axis="ch" ptType="node" func="cnt" op="equ" val="6">
                  <dgm:presOf axis="ch desOrSelf" ptType="node node" st="6 1" cnt="1 0"/>
                </dgm:if>
                <dgm:else name="Name54">
                  <dgm:presOf axis="ch desOrSelf" ptType="node node" st="7 1" cnt="1 0"/>
                </dgm:else>
              </dgm:choose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55"/>
    </dgm:choose>
    <dgm:choose name="Name56">
      <dgm:if name="Name57" axis="ch" ptType="node" func="cnt" op="gte" val="2">
        <dgm:layoutNode name="wedge2">
          <dgm:alg type="sp"/>
          <dgm:choose name="Name58">
            <dgm:if name="Name59" axis="ch" ptType="node" func="cnt" op="equ" val="2">
              <dgm:shape xmlns:r="http://schemas.openxmlformats.org/officeDocument/2006/relationships" type="pie" r:blip="">
                <dgm:adjLst>
                  <dgm:adj idx="1" val="90"/>
                  <dgm:adj idx="2" val="270"/>
                </dgm:adjLst>
              </dgm:shape>
            </dgm:if>
            <dgm:if name="Name60" axis="ch" ptType="node" func="cnt" op="equ" val="3">
              <dgm:shape xmlns:r="http://schemas.openxmlformats.org/officeDocument/2006/relationships" type="pie" r:blip="">
                <dgm:adjLst>
                  <dgm:adj idx="1" val="30"/>
                  <dgm:adj idx="2" val="150"/>
                </dgm:adjLst>
              </dgm:shape>
            </dgm:if>
            <dgm:if name="Name61" axis="ch" ptType="node" func="cnt" op="equ" val="4">
              <dgm:shape xmlns:r="http://schemas.openxmlformats.org/officeDocument/2006/relationships" type="pie" r:blip="">
                <dgm:adjLst>
                  <dgm:adj idx="1" val="0"/>
                  <dgm:adj idx="2" val="90"/>
                </dgm:adjLst>
              </dgm:shape>
            </dgm:if>
            <dgm:if name="Name62" axis="ch" ptType="node" func="cnt" op="equ" val="5">
              <dgm:shape xmlns:r="http://schemas.openxmlformats.org/officeDocument/2006/relationships" type="pie" r:blip="">
                <dgm:adjLst>
                  <dgm:adj idx="1" val="342"/>
                  <dgm:adj idx="2" val="54"/>
                </dgm:adjLst>
              </dgm:shape>
            </dgm:if>
            <dgm:if name="Name63" axis="ch" ptType="node" func="cnt" op="equ" val="6">
              <dgm:shape xmlns:r="http://schemas.openxmlformats.org/officeDocument/2006/relationships" type="pie" r:blip="">
                <dgm:adjLst>
                  <dgm:adj idx="1" val="330"/>
                  <dgm:adj idx="2" val="30"/>
                </dgm:adjLst>
              </dgm:shape>
            </dgm:if>
            <dgm:else name="Name64">
              <dgm:shape xmlns:r="http://schemas.openxmlformats.org/officeDocument/2006/relationships" type="pie" r:blip="">
                <dgm:adjLst>
                  <dgm:adj idx="1" val="321.4286"/>
                  <dgm:adj idx="2" val="12.85714"/>
                </dgm:adjLst>
              </dgm:shape>
            </dgm:else>
          </dgm:choose>
          <dgm:choose name="Name65">
            <dgm:if name="Name66" func="var" arg="dir" op="equ" val="norm">
              <dgm:presOf axis="ch desOrSelf" ptType="node node" st="2 1" cnt="1 0"/>
            </dgm:if>
            <dgm:else name="Name67">
              <dgm:choose name="Name68">
                <dgm:if name="Name69" axis="ch" ptType="node" func="cnt" op="equ" val="2">
                  <dgm:presOf axis="ch desOrSelf" ptType="node node" st="1 1" cnt="1 0"/>
                </dgm:if>
                <dgm:if name="Name70" axis="ch" ptType="node" func="cnt" op="equ" val="3">
                  <dgm:presOf axis="ch desOrSelf" ptType="node node" st="2 1" cnt="1 0"/>
                </dgm:if>
                <dgm:if name="Name71" axis="ch" ptType="node" func="cnt" op="equ" val="4">
                  <dgm:presOf axis="ch desOrSelf" ptType="node node" st="3 1" cnt="1 0"/>
                </dgm:if>
                <dgm:if name="Name72" axis="ch" ptType="node" func="cnt" op="equ" val="5">
                  <dgm:presOf axis="ch desOrSelf" ptType="node node" st="4 1" cnt="1 0"/>
                </dgm:if>
                <dgm:if name="Name73" axis="ch" ptType="node" func="cnt" op="equ" val="6">
                  <dgm:presOf axis="ch desOrSelf" ptType="node node" st="5 1" cnt="1 0"/>
                </dgm:if>
                <dgm:else name="Name74">
                  <dgm:presOf axis="ch desOrSelf" ptType="node node" st="6 1" cnt="1 0"/>
                </dgm:else>
              </dgm:choose>
            </dgm:else>
          </dgm:choose>
          <dgm:constrLst/>
          <dgm:ruleLst/>
        </dgm:layoutNode>
        <dgm:layoutNode name="wedge2Tx" moveWith="wedge2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75">
            <dgm:if name="Name76" func="var" arg="dir" op="equ" val="norm">
              <dgm:presOf axis="ch desOrSelf" ptType="node node" st="2 1" cnt="1 0"/>
            </dgm:if>
            <dgm:else name="Name77">
              <dgm:choose name="Name78">
                <dgm:if name="Name79" axis="ch" ptType="node" func="cnt" op="equ" val="2">
                  <dgm:presOf axis="ch desOrSelf" ptType="node node" st="1 1" cnt="1 0"/>
                </dgm:if>
                <dgm:if name="Name80" axis="ch" ptType="node" func="cnt" op="equ" val="3">
                  <dgm:presOf axis="ch desOrSelf" ptType="node node" st="2 1" cnt="1 0"/>
                </dgm:if>
                <dgm:if name="Name81" axis="ch" ptType="node" func="cnt" op="equ" val="4">
                  <dgm:presOf axis="ch desOrSelf" ptType="node node" st="3 1" cnt="1 0"/>
                </dgm:if>
                <dgm:if name="Name82" axis="ch" ptType="node" func="cnt" op="equ" val="5">
                  <dgm:presOf axis="ch desOrSelf" ptType="node node" st="4 1" cnt="1 0"/>
                </dgm:if>
                <dgm:if name="Name83" axis="ch" ptType="node" func="cnt" op="equ" val="6">
                  <dgm:presOf axis="ch desOrSelf" ptType="node node" st="5 1" cnt="1 0"/>
                </dgm:if>
                <dgm:else name="Name84">
                  <dgm:presOf axis="ch desOrSelf" ptType="node node" st="6 1" cnt="1 0"/>
                </dgm:else>
              </dgm:choose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85"/>
    </dgm:choose>
    <dgm:choose name="Name86">
      <dgm:if name="Name87" axis="ch" ptType="node" func="cnt" op="gte" val="3">
        <dgm:layoutNode name="wedge3">
          <dgm:alg type="sp"/>
          <dgm:choose name="Name88">
            <dgm:if name="Name89" axis="ch" ptType="node" func="cnt" op="equ" val="3">
              <dgm:shape xmlns:r="http://schemas.openxmlformats.org/officeDocument/2006/relationships" type="pie" r:blip="">
                <dgm:adjLst>
                  <dgm:adj idx="1" val="150"/>
                  <dgm:adj idx="2" val="270"/>
                </dgm:adjLst>
              </dgm:shape>
            </dgm:if>
            <dgm:if name="Name90" axis="ch" ptType="node" func="cnt" op="equ" val="4">
              <dgm:shape xmlns:r="http://schemas.openxmlformats.org/officeDocument/2006/relationships" type="pie" r:blip="">
                <dgm:adjLst>
                  <dgm:adj idx="1" val="90"/>
                  <dgm:adj idx="2" val="180"/>
                </dgm:adjLst>
              </dgm:shape>
            </dgm:if>
            <dgm:if name="Name91" axis="ch" ptType="node" func="cnt" op="equ" val="5">
              <dgm:shape xmlns:r="http://schemas.openxmlformats.org/officeDocument/2006/relationships" type="pie" r:blip="">
                <dgm:adjLst>
                  <dgm:adj idx="1" val="54"/>
                  <dgm:adj idx="2" val="126"/>
                </dgm:adjLst>
              </dgm:shape>
            </dgm:if>
            <dgm:if name="Name92" axis="ch" ptType="node" func="cnt" op="equ" val="6">
              <dgm:shape xmlns:r="http://schemas.openxmlformats.org/officeDocument/2006/relationships" type="pie" r:blip="">
                <dgm:adjLst>
                  <dgm:adj idx="1" val="30"/>
                  <dgm:adj idx="2" val="90"/>
                </dgm:adjLst>
              </dgm:shape>
            </dgm:if>
            <dgm:else name="Name93">
              <dgm:shape xmlns:r="http://schemas.openxmlformats.org/officeDocument/2006/relationships" type="pie" r:blip="">
                <dgm:adjLst>
                  <dgm:adj idx="1" val="12.85714"/>
                  <dgm:adj idx="2" val="64.28571"/>
                </dgm:adjLst>
              </dgm:shape>
            </dgm:else>
          </dgm:choose>
          <dgm:choose name="Name94">
            <dgm:if name="Name95" func="var" arg="dir" op="equ" val="norm">
              <dgm:presOf axis="ch desOrSelf" ptType="node node" st="3 1" cnt="1 0"/>
            </dgm:if>
            <dgm:else name="Name96">
              <dgm:choose name="Name97">
                <dgm:if name="Name98" axis="ch" ptType="node" func="cnt" op="equ" val="3">
                  <dgm:presOf axis="ch desOrSelf" ptType="node node" st="1 1" cnt="1 0"/>
                </dgm:if>
                <dgm:if name="Name99" axis="ch" ptType="node" func="cnt" op="equ" val="4">
                  <dgm:presOf axis="ch desOrSelf" ptType="node node" st="2 1" cnt="1 0"/>
                </dgm:if>
                <dgm:if name="Name100" axis="ch" ptType="node" func="cnt" op="equ" val="5">
                  <dgm:presOf axis="ch desOrSelf" ptType="node node" st="3 1" cnt="1 0"/>
                </dgm:if>
                <dgm:if name="Name101" axis="ch" ptType="node" func="cnt" op="equ" val="6">
                  <dgm:presOf axis="ch desOrSelf" ptType="node node" st="4 1" cnt="1 0"/>
                </dgm:if>
                <dgm:else name="Name102">
                  <dgm:presOf axis="ch desOrSelf" ptType="node node" st="5 1" cnt="1 0"/>
                </dgm:else>
              </dgm:choose>
            </dgm:else>
          </dgm:choose>
          <dgm:constrLst/>
          <dgm:ruleLst/>
        </dgm:layoutNode>
        <dgm:layoutNode name="wedge3Tx" moveWith="wedge3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103">
            <dgm:if name="Name104" func="var" arg="dir" op="equ" val="norm">
              <dgm:presOf axis="ch desOrSelf" ptType="node node" st="3 1" cnt="1 0"/>
            </dgm:if>
            <dgm:else name="Name105">
              <dgm:choose name="Name106">
                <dgm:if name="Name107" axis="ch" ptType="node" func="cnt" op="equ" val="3">
                  <dgm:presOf axis="ch desOrSelf" ptType="node node" st="1 1" cnt="1 0"/>
                </dgm:if>
                <dgm:if name="Name108" axis="ch" ptType="node" func="cnt" op="equ" val="4">
                  <dgm:presOf axis="ch desOrSelf" ptType="node node" st="2 1" cnt="1 0"/>
                </dgm:if>
                <dgm:if name="Name109" axis="ch" ptType="node" func="cnt" op="equ" val="5">
                  <dgm:presOf axis="ch desOrSelf" ptType="node node" st="3 1" cnt="1 0"/>
                </dgm:if>
                <dgm:if name="Name110" axis="ch" ptType="node" func="cnt" op="equ" val="6">
                  <dgm:presOf axis="ch desOrSelf" ptType="node node" st="4 1" cnt="1 0"/>
                </dgm:if>
                <dgm:else name="Name111">
                  <dgm:presOf axis="ch desOrSelf" ptType="node node" st="5 1" cnt="1 0"/>
                </dgm:else>
              </dgm:choose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112"/>
    </dgm:choose>
    <dgm:choose name="Name113">
      <dgm:if name="Name114" axis="ch" ptType="node" func="cnt" op="gte" val="4">
        <dgm:layoutNode name="wedge4">
          <dgm:alg type="sp"/>
          <dgm:choose name="Name115">
            <dgm:if name="Name116" axis="ch" ptType="node" func="cnt" op="equ" val="4">
              <dgm:shape xmlns:r="http://schemas.openxmlformats.org/officeDocument/2006/relationships" type="pie" r:blip="">
                <dgm:adjLst>
                  <dgm:adj idx="1" val="180"/>
                  <dgm:adj idx="2" val="270"/>
                </dgm:adjLst>
              </dgm:shape>
            </dgm:if>
            <dgm:if name="Name117" axis="ch" ptType="node" func="cnt" op="equ" val="5">
              <dgm:shape xmlns:r="http://schemas.openxmlformats.org/officeDocument/2006/relationships" type="pie" r:blip="">
                <dgm:adjLst>
                  <dgm:adj idx="1" val="126"/>
                  <dgm:adj idx="2" val="198"/>
                </dgm:adjLst>
              </dgm:shape>
            </dgm:if>
            <dgm:if name="Name118" axis="ch" ptType="node" func="cnt" op="equ" val="6">
              <dgm:shape xmlns:r="http://schemas.openxmlformats.org/officeDocument/2006/relationships" type="pie" r:blip="">
                <dgm:adjLst>
                  <dgm:adj idx="1" val="90"/>
                  <dgm:adj idx="2" val="150"/>
                </dgm:adjLst>
              </dgm:shape>
            </dgm:if>
            <dgm:else name="Name119">
              <dgm:shape xmlns:r="http://schemas.openxmlformats.org/officeDocument/2006/relationships" type="pie" r:blip="">
                <dgm:adjLst>
                  <dgm:adj idx="1" val="64.2871"/>
                  <dgm:adj idx="2" val="115.7143"/>
                </dgm:adjLst>
              </dgm:shape>
            </dgm:else>
          </dgm:choose>
          <dgm:choose name="Name120">
            <dgm:if name="Name121" func="var" arg="dir" op="equ" val="norm">
              <dgm:presOf axis="ch desOrSelf" ptType="node node" st="4 1" cnt="1 0"/>
            </dgm:if>
            <dgm:else name="Name122">
              <dgm:choose name="Name123">
                <dgm:if name="Name124" axis="ch" ptType="node" func="cnt" op="equ" val="4">
                  <dgm:presOf axis="ch desOrSelf" ptType="node node" st="1 1" cnt="1 0"/>
                </dgm:if>
                <dgm:if name="Name125" axis="ch" ptType="node" func="cnt" op="equ" val="5">
                  <dgm:presOf axis="ch desOrSelf" ptType="node node" st="2 1" cnt="1 0"/>
                </dgm:if>
                <dgm:if name="Name126" axis="ch" ptType="node" func="cnt" op="equ" val="6">
                  <dgm:presOf axis="ch desOrSelf" ptType="node node" st="3 1" cnt="1 0"/>
                </dgm:if>
                <dgm:else name="Name127">
                  <dgm:presOf axis="ch desOrSelf" ptType="node node" st="4 1" cnt="1 0"/>
                </dgm:else>
              </dgm:choose>
            </dgm:else>
          </dgm:choose>
          <dgm:constrLst/>
          <dgm:ruleLst/>
        </dgm:layoutNode>
        <dgm:layoutNode name="wedge4Tx" moveWith="wedge4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128">
            <dgm:if name="Name129" func="var" arg="dir" op="equ" val="norm">
              <dgm:presOf axis="ch desOrSelf" ptType="node node" st="4 1" cnt="1 0"/>
            </dgm:if>
            <dgm:else name="Name130">
              <dgm:choose name="Name131">
                <dgm:if name="Name132" axis="ch" ptType="node" func="cnt" op="equ" val="4">
                  <dgm:presOf axis="ch desOrSelf" ptType="node node" st="1 1" cnt="1 0"/>
                </dgm:if>
                <dgm:if name="Name133" axis="ch" ptType="node" func="cnt" op="equ" val="5">
                  <dgm:presOf axis="ch desOrSelf" ptType="node node" st="2 1" cnt="1 0"/>
                </dgm:if>
                <dgm:if name="Name134" axis="ch" ptType="node" func="cnt" op="equ" val="6">
                  <dgm:presOf axis="ch desOrSelf" ptType="node node" st="3 1" cnt="1 0"/>
                </dgm:if>
                <dgm:else name="Name135">
                  <dgm:presOf axis="ch desOrSelf" ptType="node node" st="4 1" cnt="1 0"/>
                </dgm:else>
              </dgm:choose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136"/>
    </dgm:choose>
    <dgm:choose name="Name137">
      <dgm:if name="Name138" axis="ch" ptType="node" func="cnt" op="gte" val="5">
        <dgm:layoutNode name="wedge5">
          <dgm:alg type="sp"/>
          <dgm:choose name="Name139">
            <dgm:if name="Name140" axis="ch" ptType="node" func="cnt" op="equ" val="5">
              <dgm:shape xmlns:r="http://schemas.openxmlformats.org/officeDocument/2006/relationships" type="pie" r:blip="">
                <dgm:adjLst>
                  <dgm:adj idx="1" val="198"/>
                  <dgm:adj idx="2" val="270"/>
                </dgm:adjLst>
              </dgm:shape>
            </dgm:if>
            <dgm:if name="Name141" axis="ch" ptType="node" func="cnt" op="equ" val="6">
              <dgm:shape xmlns:r="http://schemas.openxmlformats.org/officeDocument/2006/relationships" type="pie" r:blip="">
                <dgm:adjLst>
                  <dgm:adj idx="1" val="150"/>
                  <dgm:adj idx="2" val="210"/>
                </dgm:adjLst>
              </dgm:shape>
            </dgm:if>
            <dgm:else name="Name142">
              <dgm:shape xmlns:r="http://schemas.openxmlformats.org/officeDocument/2006/relationships" type="pie" r:blip="">
                <dgm:adjLst>
                  <dgm:adj idx="1" val="115.7143"/>
                  <dgm:adj idx="2" val="167.1429"/>
                </dgm:adjLst>
              </dgm:shape>
            </dgm:else>
          </dgm:choose>
          <dgm:choose name="Name143">
            <dgm:if name="Name144" func="var" arg="dir" op="equ" val="norm">
              <dgm:presOf axis="ch desOrSelf" ptType="node node" st="5 1" cnt="1 0"/>
            </dgm:if>
            <dgm:else name="Name145">
              <dgm:choose name="Name146">
                <dgm:if name="Name147" axis="ch" ptType="node" func="cnt" op="equ" val="5">
                  <dgm:presOf axis="ch desOrSelf" ptType="node node" st="1 1" cnt="1 0"/>
                </dgm:if>
                <dgm:if name="Name148" axis="ch" ptType="node" func="cnt" op="equ" val="6">
                  <dgm:presOf axis="ch desOrSelf" ptType="node node" st="2 1" cnt="1 0"/>
                </dgm:if>
                <dgm:else name="Name149">
                  <dgm:presOf axis="ch desOrSelf" ptType="node node" st="3 1" cnt="1 0"/>
                </dgm:else>
              </dgm:choose>
            </dgm:else>
          </dgm:choose>
          <dgm:constrLst/>
          <dgm:ruleLst/>
        </dgm:layoutNode>
        <dgm:layoutNode name="wedge5Tx" moveWith="wedge5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150">
            <dgm:if name="Name151" func="var" arg="dir" op="equ" val="norm">
              <dgm:presOf axis="ch desOrSelf" ptType="node node" st="5 1" cnt="1 0"/>
            </dgm:if>
            <dgm:else name="Name152">
              <dgm:choose name="Name153">
                <dgm:if name="Name154" axis="ch" ptType="node" func="cnt" op="equ" val="5">
                  <dgm:presOf axis="ch desOrSelf" ptType="node node" st="1 1" cnt="1 0"/>
                </dgm:if>
                <dgm:if name="Name155" axis="ch" ptType="node" func="cnt" op="equ" val="6">
                  <dgm:presOf axis="ch desOrSelf" ptType="node node" st="2 1" cnt="1 0"/>
                </dgm:if>
                <dgm:else name="Name156">
                  <dgm:presOf axis="ch desOrSelf" ptType="node node" st="3 1" cnt="1 0"/>
                </dgm:else>
              </dgm:choose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157"/>
    </dgm:choose>
    <dgm:choose name="Name158">
      <dgm:if name="Name159" axis="ch" ptType="node" func="cnt" op="gte" val="6">
        <dgm:layoutNode name="wedge6">
          <dgm:alg type="sp"/>
          <dgm:choose name="Name160">
            <dgm:if name="Name161" axis="ch" ptType="node" func="cnt" op="equ" val="6">
              <dgm:shape xmlns:r="http://schemas.openxmlformats.org/officeDocument/2006/relationships" type="pie" r:blip="">
                <dgm:adjLst>
                  <dgm:adj idx="1" val="210"/>
                  <dgm:adj idx="2" val="270"/>
                </dgm:adjLst>
              </dgm:shape>
            </dgm:if>
            <dgm:else name="Name162">
              <dgm:shape xmlns:r="http://schemas.openxmlformats.org/officeDocument/2006/relationships" type="pie" r:blip="">
                <dgm:adjLst>
                  <dgm:adj idx="1" val="167.1429"/>
                  <dgm:adj idx="2" val="218.5714"/>
                </dgm:adjLst>
              </dgm:shape>
            </dgm:else>
          </dgm:choose>
          <dgm:choose name="Name163">
            <dgm:if name="Name164" func="var" arg="dir" op="equ" val="norm">
              <dgm:presOf axis="ch desOrSelf" ptType="node node" st="6 1" cnt="1 0"/>
            </dgm:if>
            <dgm:else name="Name165">
              <dgm:choose name="Name166">
                <dgm:if name="Name167" axis="ch" ptType="node" func="cnt" op="equ" val="6">
                  <dgm:presOf axis="ch desOrSelf" ptType="node node" st="1 1" cnt="1 0"/>
                </dgm:if>
                <dgm:else name="Name168">
                  <dgm:presOf axis="ch desOrSelf" ptType="node node" st="2 1" cnt="1 0"/>
                </dgm:else>
              </dgm:choose>
            </dgm:else>
          </dgm:choose>
          <dgm:constrLst/>
          <dgm:ruleLst/>
        </dgm:layoutNode>
        <dgm:layoutNode name="wedge6Tx" moveWith="wedge6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169">
            <dgm:if name="Name170" func="var" arg="dir" op="equ" val="norm">
              <dgm:presOf axis="ch desOrSelf" ptType="node node" st="6 1" cnt="1 0"/>
            </dgm:if>
            <dgm:else name="Name171">
              <dgm:choose name="Name172">
                <dgm:if name="Name173" axis="ch" ptType="node" func="cnt" op="equ" val="6">
                  <dgm:presOf axis="ch desOrSelf" ptType="node node" st="1 1" cnt="1 0"/>
                </dgm:if>
                <dgm:else name="Name174">
                  <dgm:presOf axis="ch desOrSelf" ptType="node node" st="2 1" cnt="1 0"/>
                </dgm:else>
              </dgm:choose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175"/>
    </dgm:choose>
    <dgm:choose name="Name176">
      <dgm:if name="Name177" axis="ch" ptType="node" func="cnt" op="gte" val="7">
        <dgm:layoutNode name="wedge7">
          <dgm:alg type="sp"/>
          <dgm:shape xmlns:r="http://schemas.openxmlformats.org/officeDocument/2006/relationships" type="pie" r:blip="">
            <dgm:adjLst>
              <dgm:adj idx="1" val="218.5714"/>
              <dgm:adj idx="2" val="270"/>
            </dgm:adjLst>
          </dgm:shape>
          <dgm:choose name="Name178">
            <dgm:if name="Name179" func="var" arg="dir" op="equ" val="norm">
              <dgm:presOf axis="ch desOrSelf" ptType="node node" st="7 1" cnt="1 0"/>
            </dgm:if>
            <dgm:else name="Name180">
              <dgm:presOf axis="ch desOrSelf" ptType="node node" st="1 1" cnt="1 0"/>
            </dgm:else>
          </dgm:choose>
          <dgm:constrLst/>
          <dgm:ruleLst/>
        </dgm:layoutNode>
        <dgm:layoutNode name="wedge7Tx" moveWith="wedge7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181">
            <dgm:if name="Name182" func="var" arg="dir" op="equ" val="norm">
              <dgm:presOf axis="ch desOrSelf" ptType="node node" st="7 1" cnt="1 0"/>
            </dgm:if>
            <dgm:else name="Name183">
              <dgm:presOf axis="ch desOrSelf" ptType="node node" st="1 1" cnt="1 0"/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184"/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3#1">
  <dgm:title val=""/>
  <dgm:desc val=""/>
  <dgm:catLst>
    <dgm:cat type="3D" pri="11300"/>
  </dgm:catLst>
  <dgm:scene3d>
    <a:camera prst="orthographicFront"/>
    <a:lightRig rig="threePt" dir="t"/>
  </dgm:scene3d>
  <dgm:styleLbl name="node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clear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182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>
        <a:rot lat="0" lon="0" rev="0"/>
      </a:camera>
      <a:lightRig rig="contrasting" dir="t">
        <a:rot lat="0" lon="0" rev="1200000"/>
      </a:lightRig>
    </dgm:scene3d>
    <dgm:sp3d z="10000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>
        <a:rot lat="0" lon="0" rev="0"/>
      </a:camera>
      <a:lightRig rig="contrasting" dir="t">
        <a:rot lat="0" lon="0" rev="1200000"/>
      </a:lightRig>
    </dgm:scene3d>
    <dgm:sp3d z="-300000" prstMaterial="plastic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00800" h="1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>
        <a:rot lat="0" lon="0" rev="0"/>
      </a:camera>
      <a:lightRig rig="contrasting" dir="t">
        <a:rot lat="0" lon="0" rev="1200000"/>
      </a:lightRig>
    </dgm:scene3d>
    <dgm:sp3d z="-1524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3d3#2">
  <dgm:title val=""/>
  <dgm:desc val=""/>
  <dgm:catLst>
    <dgm:cat type="3D" pri="11300"/>
  </dgm:catLst>
  <dgm:scene3d>
    <a:camera prst="orthographicFront"/>
    <a:lightRig rig="threePt" dir="t"/>
  </dgm:scene3d>
  <dgm:styleLbl name="node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clear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182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>
        <a:rot lat="0" lon="0" rev="0"/>
      </a:camera>
      <a:lightRig rig="contrasting" dir="t">
        <a:rot lat="0" lon="0" rev="1200000"/>
      </a:lightRig>
    </dgm:scene3d>
    <dgm:sp3d z="10000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>
        <a:rot lat="0" lon="0" rev="0"/>
      </a:camera>
      <a:lightRig rig="contrasting" dir="t">
        <a:rot lat="0" lon="0" rev="1200000"/>
      </a:lightRig>
    </dgm:scene3d>
    <dgm:sp3d z="-300000" prstMaterial="plastic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00800" h="1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>
        <a:rot lat="0" lon="0" rev="0"/>
      </a:camera>
      <a:lightRig rig="contrasting" dir="t">
        <a:rot lat="0" lon="0" rev="1200000"/>
      </a:lightRig>
    </dgm:scene3d>
    <dgm:sp3d z="-1524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3d3#3">
  <dgm:title val=""/>
  <dgm:desc val=""/>
  <dgm:catLst>
    <dgm:cat type="3D" pri="11300"/>
  </dgm:catLst>
  <dgm:scene3d>
    <a:camera prst="orthographicFront"/>
    <a:lightRig rig="threePt" dir="t"/>
  </dgm:scene3d>
  <dgm:styleLbl name="node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clear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182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>
        <a:rot lat="0" lon="0" rev="0"/>
      </a:camera>
      <a:lightRig rig="contrasting" dir="t">
        <a:rot lat="0" lon="0" rev="1200000"/>
      </a:lightRig>
    </dgm:scene3d>
    <dgm:sp3d z="10000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>
        <a:rot lat="0" lon="0" rev="0"/>
      </a:camera>
      <a:lightRig rig="contrasting" dir="t">
        <a:rot lat="0" lon="0" rev="1200000"/>
      </a:lightRig>
    </dgm:scene3d>
    <dgm:sp3d z="-300000" prstMaterial="plastic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00800" h="1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>
        <a:rot lat="0" lon="0" rev="0"/>
      </a:camera>
      <a:lightRig rig="contrasting" dir="t">
        <a:rot lat="0" lon="0" rev="1200000"/>
      </a:lightRig>
    </dgm:scene3d>
    <dgm:sp3d z="-1524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3d3#4">
  <dgm:title val=""/>
  <dgm:desc val=""/>
  <dgm:catLst>
    <dgm:cat type="3D" pri="11300"/>
  </dgm:catLst>
  <dgm:scene3d>
    <a:camera prst="orthographicFront"/>
    <a:lightRig rig="threePt" dir="t"/>
  </dgm:scene3d>
  <dgm:styleLbl name="node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clear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182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>
        <a:rot lat="0" lon="0" rev="0"/>
      </a:camera>
      <a:lightRig rig="contrasting" dir="t">
        <a:rot lat="0" lon="0" rev="1200000"/>
      </a:lightRig>
    </dgm:scene3d>
    <dgm:sp3d z="10000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>
        <a:rot lat="0" lon="0" rev="0"/>
      </a:camera>
      <a:lightRig rig="contrasting" dir="t">
        <a:rot lat="0" lon="0" rev="1200000"/>
      </a:lightRig>
    </dgm:scene3d>
    <dgm:sp3d z="-300000" prstMaterial="plastic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00800" h="1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>
        <a:rot lat="0" lon="0" rev="0"/>
      </a:camera>
      <a:lightRig rig="contrasting" dir="t">
        <a:rot lat="0" lon="0" rev="1200000"/>
      </a:lightRig>
    </dgm:scene3d>
    <dgm:sp3d z="-1524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5.xml><?xml version="1.0" encoding="utf-8"?>
<dgm:styleDef xmlns:dgm="http://schemas.openxmlformats.org/drawingml/2006/diagram" xmlns:a="http://schemas.openxmlformats.org/drawingml/2006/main" uniqueId="urn:microsoft.com/office/officeart/2005/8/quickstyle/3d3#5">
  <dgm:title val=""/>
  <dgm:desc val=""/>
  <dgm:catLst>
    <dgm:cat type="3D" pri="11300"/>
  </dgm:catLst>
  <dgm:scene3d>
    <a:camera prst="orthographicFront"/>
    <a:lightRig rig="threePt" dir="t"/>
  </dgm:scene3d>
  <dgm:styleLbl name="node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clear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182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>
        <a:rot lat="0" lon="0" rev="0"/>
      </a:camera>
      <a:lightRig rig="contrasting" dir="t">
        <a:rot lat="0" lon="0" rev="1200000"/>
      </a:lightRig>
    </dgm:scene3d>
    <dgm:sp3d z="10000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>
        <a:rot lat="0" lon="0" rev="0"/>
      </a:camera>
      <a:lightRig rig="contrasting" dir="t">
        <a:rot lat="0" lon="0" rev="1200000"/>
      </a:lightRig>
    </dgm:scene3d>
    <dgm:sp3d z="-300000" prstMaterial="plastic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00800" h="1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>
        <a:rot lat="0" lon="0" rev="0"/>
      </a:camera>
      <a:lightRig rig="contrasting" dir="t">
        <a:rot lat="0" lon="0" rev="1200000"/>
      </a:lightRig>
    </dgm:scene3d>
    <dgm:sp3d z="-1524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6.xml><?xml version="1.0" encoding="utf-8"?>
<dgm:styleDef xmlns:dgm="http://schemas.openxmlformats.org/drawingml/2006/diagram" xmlns:a="http://schemas.openxmlformats.org/drawingml/2006/main" uniqueId="urn:microsoft.com/office/officeart/2005/8/quickstyle/3d3#6">
  <dgm:title val=""/>
  <dgm:desc val=""/>
  <dgm:catLst>
    <dgm:cat type="3D" pri="11300"/>
  </dgm:catLst>
  <dgm:scene3d>
    <a:camera prst="orthographicFront"/>
    <a:lightRig rig="threePt" dir="t"/>
  </dgm:scene3d>
  <dgm:styleLbl name="node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clear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182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>
        <a:rot lat="0" lon="0" rev="0"/>
      </a:camera>
      <a:lightRig rig="contrasting" dir="t">
        <a:rot lat="0" lon="0" rev="1200000"/>
      </a:lightRig>
    </dgm:scene3d>
    <dgm:sp3d z="10000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>
        <a:rot lat="0" lon="0" rev="0"/>
      </a:camera>
      <a:lightRig rig="contrasting" dir="t">
        <a:rot lat="0" lon="0" rev="1200000"/>
      </a:lightRig>
    </dgm:scene3d>
    <dgm:sp3d z="-300000" prstMaterial="plastic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00800" h="1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>
        <a:rot lat="0" lon="0" rev="0"/>
      </a:camera>
      <a:lightRig rig="contrasting" dir="t">
        <a:rot lat="0" lon="0" rev="1200000"/>
      </a:lightRig>
    </dgm:scene3d>
    <dgm:sp3d z="-1524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7.xml><?xml version="1.0" encoding="utf-8"?>
<dgm:styleDef xmlns:dgm="http://schemas.openxmlformats.org/drawingml/2006/diagram" xmlns:a="http://schemas.openxmlformats.org/drawingml/2006/main" uniqueId="urn:microsoft.com/office/officeart/2005/8/quickstyle/3d3#7">
  <dgm:title val=""/>
  <dgm:desc val=""/>
  <dgm:catLst>
    <dgm:cat type="3D" pri="11300"/>
  </dgm:catLst>
  <dgm:scene3d>
    <a:camera prst="orthographicFront"/>
    <a:lightRig rig="threePt" dir="t"/>
  </dgm:scene3d>
  <dgm:styleLbl name="node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clear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182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>
        <a:rot lat="0" lon="0" rev="0"/>
      </a:camera>
      <a:lightRig rig="contrasting" dir="t">
        <a:rot lat="0" lon="0" rev="1200000"/>
      </a:lightRig>
    </dgm:scene3d>
    <dgm:sp3d z="10000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>
        <a:rot lat="0" lon="0" rev="0"/>
      </a:camera>
      <a:lightRig rig="contrasting" dir="t">
        <a:rot lat="0" lon="0" rev="1200000"/>
      </a:lightRig>
    </dgm:scene3d>
    <dgm:sp3d z="-300000" prstMaterial="plastic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00800" h="1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>
        <a:rot lat="0" lon="0" rev="0"/>
      </a:camera>
      <a:lightRig rig="contrasting" dir="t">
        <a:rot lat="0" lon="0" rev="1200000"/>
      </a:lightRig>
    </dgm:scene3d>
    <dgm:sp3d z="-1524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8.xml><?xml version="1.0" encoding="utf-8"?>
<dgm:styleDef xmlns:dgm="http://schemas.openxmlformats.org/drawingml/2006/diagram" xmlns:a="http://schemas.openxmlformats.org/drawingml/2006/main" uniqueId="urn:microsoft.com/office/officeart/2005/8/quickstyle/3d2#1">
  <dgm:title val=""/>
  <dgm:desc val=""/>
  <dgm:catLst>
    <dgm:cat type="3D" pri="11200"/>
  </dgm:catLst>
  <dgm:scene3d>
    <a:camera prst="orthographicFront"/>
    <a:lightRig rig="threePt" dir="t"/>
  </dgm:scene3d>
  <dgm:styleLbl name="node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tx1"/>
      </a:fontRef>
    </dgm:style>
  </dgm:styleLbl>
  <dgm:styleLbl name="aling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>
        <a:rot lat="0" lon="0" rev="7500000"/>
      </a:lightRig>
    </dgm:scene3d>
    <dgm:sp3d z="2540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>
        <a:rot lat="0" lon="0" rev="7500000"/>
      </a:lightRig>
    </dgm:scene3d>
    <dgm:sp3d z="-1524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>
        <a:rot lat="0" lon="0" rev="7500000"/>
      </a:lightRig>
    </dgm:scene3d>
    <dgm:sp3d z="-700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>
        <a:rot lat="0" lon="0" rev="7500000"/>
      </a:lightRig>
    </dgm:scene3d>
    <dgm:sp3d z="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>
        <a:rot lat="0" lon="0" rev="7500000"/>
      </a:lightRig>
    </dgm:scene3d>
    <dgm:sp3d z="-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>
        <a:rot lat="0" lon="0" rev="7500000"/>
      </a:lightRig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>
        <a:rot lat="0" lon="0" rev="7500000"/>
      </a:lightRig>
    </dgm:scene3d>
    <dgm:sp3d extrusionH="190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>
        <a:rot lat="0" lon="0" rev="7500000"/>
      </a:lightRig>
    </dgm:scene3d>
    <dgm:sp3d prstMaterial="plastic">
      <a:bevelT w="127000" h="354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2445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0800" h="190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bevelB w="120650" h="571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>
        <a:rot lat="0" lon="0" rev="7500000"/>
      </a:lightRig>
    </dgm:scene3d>
    <dgm:sp3d z="-152400" extrusionH="63500" prstMaterial="matte">
      <a:bevelT w="144450" h="6350" prst="relaxedInset"/>
      <a:contourClr>
        <a:schemeClr val="bg1"/>
      </a:contourClr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  <a:bevelB w="88900" h="121750" prst="angle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trBgShp">
    <dgm:scene3d>
      <a:camera prst="orthographicFront"/>
      <a:lightRig rig="threePt" dir="t"/>
    </dgm:scene3d>
    <dgm:sp3d z="-1524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ACCOUNTS!A1"/><Relationship Id="rId3" Type="http://schemas.openxmlformats.org/officeDocument/2006/relationships/diagramLayout" Target="../diagrams/layout2.xml"/><Relationship Id="rId7" Type="http://schemas.openxmlformats.org/officeDocument/2006/relationships/hyperlink" Target="#'LEVY CONTRIBUTIONS'!A1"/><Relationship Id="rId12" Type="http://schemas.openxmlformats.org/officeDocument/2006/relationships/hyperlink" Target="#'TRADING ACCOUNT'!A1"/><Relationship Id="rId2" Type="http://schemas.openxmlformats.org/officeDocument/2006/relationships/diagramData" Target="../diagrams/data2.xml"/><Relationship Id="rId1" Type="http://schemas.openxmlformats.org/officeDocument/2006/relationships/hyperlink" Target="#DASHBOARD!A1"/><Relationship Id="rId6" Type="http://schemas.microsoft.com/office/2007/relationships/diagramDrawing" Target="../diagrams/drawing2.xml"/><Relationship Id="rId11" Type="http://schemas.openxmlformats.org/officeDocument/2006/relationships/hyperlink" Target="#RECORDS!A1"/><Relationship Id="rId5" Type="http://schemas.openxmlformats.org/officeDocument/2006/relationships/diagramColors" Target="../diagrams/colors2.xml"/><Relationship Id="rId10" Type="http://schemas.openxmlformats.org/officeDocument/2006/relationships/hyperlink" Target="#'PERSONAL PROFILE'!A1"/><Relationship Id="rId4" Type="http://schemas.openxmlformats.org/officeDocument/2006/relationships/diagramQuickStyle" Target="../diagrams/quickStyle2.xml"/><Relationship Id="rId9" Type="http://schemas.openxmlformats.org/officeDocument/2006/relationships/hyperlink" Target="#'TREASURER BILL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CCOUNTS!A1"/><Relationship Id="rId3" Type="http://schemas.openxmlformats.org/officeDocument/2006/relationships/diagramLayout" Target="../diagrams/layout3.xml"/><Relationship Id="rId7" Type="http://schemas.openxmlformats.org/officeDocument/2006/relationships/hyperlink" Target="#'DUES CONTRIBUTIONS'!A1"/><Relationship Id="rId12" Type="http://schemas.openxmlformats.org/officeDocument/2006/relationships/hyperlink" Target="#'TRADING ACCOUNT'!A1"/><Relationship Id="rId2" Type="http://schemas.openxmlformats.org/officeDocument/2006/relationships/diagramData" Target="../diagrams/data3.xml"/><Relationship Id="rId1" Type="http://schemas.openxmlformats.org/officeDocument/2006/relationships/hyperlink" Target="#DASHBOARD!A1"/><Relationship Id="rId6" Type="http://schemas.microsoft.com/office/2007/relationships/diagramDrawing" Target="../diagrams/drawing3.xml"/><Relationship Id="rId11" Type="http://schemas.openxmlformats.org/officeDocument/2006/relationships/hyperlink" Target="#RECORDS!A1"/><Relationship Id="rId5" Type="http://schemas.openxmlformats.org/officeDocument/2006/relationships/diagramColors" Target="../diagrams/colors3.xml"/><Relationship Id="rId10" Type="http://schemas.openxmlformats.org/officeDocument/2006/relationships/hyperlink" Target="#'PERSONAL PROFILE'!A1"/><Relationship Id="rId4" Type="http://schemas.openxmlformats.org/officeDocument/2006/relationships/diagramQuickStyle" Target="../diagrams/quickStyle3.xml"/><Relationship Id="rId9" Type="http://schemas.openxmlformats.org/officeDocument/2006/relationships/hyperlink" Target="#'TREASURER BILL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DUES CONTRIBUTIONS'!A1"/><Relationship Id="rId3" Type="http://schemas.openxmlformats.org/officeDocument/2006/relationships/diagramQuickStyle" Target="../diagrams/quickStyle4.xml"/><Relationship Id="rId7" Type="http://schemas.openxmlformats.org/officeDocument/2006/relationships/hyperlink" Target="#'LEVY CONTRIBUTIONS'!A1"/><Relationship Id="rId12" Type="http://schemas.openxmlformats.org/officeDocument/2006/relationships/hyperlink" Target="#'TRADING ACCOUNT'!A1"/><Relationship Id="rId2" Type="http://schemas.openxmlformats.org/officeDocument/2006/relationships/diagramLayout" Target="../diagrams/layout4.xml"/><Relationship Id="rId1" Type="http://schemas.openxmlformats.org/officeDocument/2006/relationships/diagramData" Target="../diagrams/data4.xml"/><Relationship Id="rId6" Type="http://schemas.openxmlformats.org/officeDocument/2006/relationships/hyperlink" Target="#DASHBOARD!A1"/><Relationship Id="rId11" Type="http://schemas.openxmlformats.org/officeDocument/2006/relationships/hyperlink" Target="#RECORDS!A1"/><Relationship Id="rId5" Type="http://schemas.microsoft.com/office/2007/relationships/diagramDrawing" Target="../diagrams/drawing4.xml"/><Relationship Id="rId10" Type="http://schemas.openxmlformats.org/officeDocument/2006/relationships/hyperlink" Target="#'PERSONAL PROFILE'!A1"/><Relationship Id="rId4" Type="http://schemas.openxmlformats.org/officeDocument/2006/relationships/diagramColors" Target="../diagrams/colors4.xml"/><Relationship Id="rId9" Type="http://schemas.openxmlformats.org/officeDocument/2006/relationships/hyperlink" Target="#'TREASURER BILL'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DUES CONTRIBUTIONS'!A1"/><Relationship Id="rId3" Type="http://schemas.openxmlformats.org/officeDocument/2006/relationships/diagramQuickStyle" Target="../diagrams/quickStyle5.xml"/><Relationship Id="rId7" Type="http://schemas.openxmlformats.org/officeDocument/2006/relationships/hyperlink" Target="#'LEVY CONTRIBUTIONS'!A1"/><Relationship Id="rId12" Type="http://schemas.openxmlformats.org/officeDocument/2006/relationships/hyperlink" Target="#'TRADING ACCOUNT'!A1"/><Relationship Id="rId2" Type="http://schemas.openxmlformats.org/officeDocument/2006/relationships/diagramLayout" Target="../diagrams/layout5.xml"/><Relationship Id="rId1" Type="http://schemas.openxmlformats.org/officeDocument/2006/relationships/diagramData" Target="../diagrams/data5.xml"/><Relationship Id="rId6" Type="http://schemas.openxmlformats.org/officeDocument/2006/relationships/hyperlink" Target="#DASHBOARD!A1"/><Relationship Id="rId11" Type="http://schemas.openxmlformats.org/officeDocument/2006/relationships/hyperlink" Target="#RECORDS!A1"/><Relationship Id="rId5" Type="http://schemas.microsoft.com/office/2007/relationships/diagramDrawing" Target="../diagrams/drawing5.xml"/><Relationship Id="rId10" Type="http://schemas.openxmlformats.org/officeDocument/2006/relationships/hyperlink" Target="#'PERSONAL PROFILE'!A1"/><Relationship Id="rId4" Type="http://schemas.openxmlformats.org/officeDocument/2006/relationships/diagramColors" Target="../diagrams/colors5.xml"/><Relationship Id="rId9" Type="http://schemas.openxmlformats.org/officeDocument/2006/relationships/hyperlink" Target="#ACCOUNTS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DUES CONTRIBUTIONS'!A1"/><Relationship Id="rId3" Type="http://schemas.openxmlformats.org/officeDocument/2006/relationships/diagramQuickStyle" Target="../diagrams/quickStyle6.xml"/><Relationship Id="rId7" Type="http://schemas.openxmlformats.org/officeDocument/2006/relationships/hyperlink" Target="#'LEVY CONTRIBUTIONS'!A1"/><Relationship Id="rId12" Type="http://schemas.openxmlformats.org/officeDocument/2006/relationships/hyperlink" Target="#RECORDS!A1"/><Relationship Id="rId2" Type="http://schemas.openxmlformats.org/officeDocument/2006/relationships/diagramLayout" Target="../diagrams/layout6.xml"/><Relationship Id="rId1" Type="http://schemas.openxmlformats.org/officeDocument/2006/relationships/diagramData" Target="../diagrams/data6.xml"/><Relationship Id="rId6" Type="http://schemas.openxmlformats.org/officeDocument/2006/relationships/hyperlink" Target="#DASHBOARD!A1"/><Relationship Id="rId11" Type="http://schemas.openxmlformats.org/officeDocument/2006/relationships/hyperlink" Target="#'PERSONAL PROFILE'!A1"/><Relationship Id="rId5" Type="http://schemas.microsoft.com/office/2007/relationships/diagramDrawing" Target="../diagrams/drawing6.xml"/><Relationship Id="rId10" Type="http://schemas.openxmlformats.org/officeDocument/2006/relationships/hyperlink" Target="#'TREASURER BILL'!A1"/><Relationship Id="rId4" Type="http://schemas.openxmlformats.org/officeDocument/2006/relationships/diagramColors" Target="../diagrams/colors6.xml"/><Relationship Id="rId9" Type="http://schemas.openxmlformats.org/officeDocument/2006/relationships/hyperlink" Target="#ACCOUNTS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DUES CONTRIBUTIONS'!A1"/><Relationship Id="rId3" Type="http://schemas.openxmlformats.org/officeDocument/2006/relationships/diagramLayout" Target="../diagrams/layout7.xml"/><Relationship Id="rId7" Type="http://schemas.openxmlformats.org/officeDocument/2006/relationships/hyperlink" Target="#'LEVY CONTRIBUTIONS'!A1"/><Relationship Id="rId12" Type="http://schemas.openxmlformats.org/officeDocument/2006/relationships/hyperlink" Target="#'TRADING ACCOUNT'!A1"/><Relationship Id="rId2" Type="http://schemas.openxmlformats.org/officeDocument/2006/relationships/diagramData" Target="../diagrams/data7.xml"/><Relationship Id="rId1" Type="http://schemas.openxmlformats.org/officeDocument/2006/relationships/hyperlink" Target="#DASHBOARD!A1"/><Relationship Id="rId6" Type="http://schemas.microsoft.com/office/2007/relationships/diagramDrawing" Target="../diagrams/drawing7.xml"/><Relationship Id="rId11" Type="http://schemas.openxmlformats.org/officeDocument/2006/relationships/hyperlink" Target="#RECORDS!A1"/><Relationship Id="rId5" Type="http://schemas.openxmlformats.org/officeDocument/2006/relationships/diagramColors" Target="../diagrams/colors7.xml"/><Relationship Id="rId10" Type="http://schemas.openxmlformats.org/officeDocument/2006/relationships/hyperlink" Target="#'TREASURER BILL'!A1"/><Relationship Id="rId4" Type="http://schemas.openxmlformats.org/officeDocument/2006/relationships/diagramQuickStyle" Target="../diagrams/quickStyle7.xml"/><Relationship Id="rId9" Type="http://schemas.openxmlformats.org/officeDocument/2006/relationships/hyperlink" Target="#ACCOUNTS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'LEVY CONTRIBUTIONS'!A1"/><Relationship Id="rId13" Type="http://schemas.openxmlformats.org/officeDocument/2006/relationships/hyperlink" Target="#'PERSONAL PROFILE'!A1"/><Relationship Id="rId3" Type="http://schemas.openxmlformats.org/officeDocument/2006/relationships/diagramLayout" Target="../diagrams/layout8.xml"/><Relationship Id="rId7" Type="http://schemas.openxmlformats.org/officeDocument/2006/relationships/hyperlink" Target="#DASHBOARD!A1"/><Relationship Id="rId12" Type="http://schemas.openxmlformats.org/officeDocument/2006/relationships/hyperlink" Target="#'TRADING ACCOUNT'!A1"/><Relationship Id="rId2" Type="http://schemas.openxmlformats.org/officeDocument/2006/relationships/diagramData" Target="../diagrams/data8.xml"/><Relationship Id="rId1" Type="http://schemas.openxmlformats.org/officeDocument/2006/relationships/hyperlink" Target="#'MEMBERS LIST UPPER CACE'!A1"/><Relationship Id="rId6" Type="http://schemas.microsoft.com/office/2007/relationships/diagramDrawing" Target="../diagrams/drawing8.xml"/><Relationship Id="rId11" Type="http://schemas.openxmlformats.org/officeDocument/2006/relationships/hyperlink" Target="#'TREASURER BILL'!A1"/><Relationship Id="rId5" Type="http://schemas.openxmlformats.org/officeDocument/2006/relationships/diagramColors" Target="../diagrams/colors8.xml"/><Relationship Id="rId10" Type="http://schemas.openxmlformats.org/officeDocument/2006/relationships/hyperlink" Target="#ACCOUNTS!A1"/><Relationship Id="rId4" Type="http://schemas.openxmlformats.org/officeDocument/2006/relationships/diagramQuickStyle" Target="../diagrams/quickStyle8.xml"/><Relationship Id="rId9" Type="http://schemas.openxmlformats.org/officeDocument/2006/relationships/hyperlink" Target="#'DUES CONTRIBUTIONS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'DUES CONTRIBUTIONS'!A1"/><Relationship Id="rId1" Type="http://schemas.openxmlformats.org/officeDocument/2006/relationships/hyperlink" Target="#DASHBOARD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'DUES CONTRIBUTIONS'!A1"/><Relationship Id="rId1" Type="http://schemas.openxmlformats.org/officeDocument/2006/relationships/hyperlink" Target="#DASHBOARD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'DUES CONTRIBUTIONS'!A1"/><Relationship Id="rId1" Type="http://schemas.openxmlformats.org/officeDocument/2006/relationships/hyperlink" Target="#DASHBOARD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'DUES CONTRIBUTIONS'!A1"/><Relationship Id="rId1" Type="http://schemas.openxmlformats.org/officeDocument/2006/relationships/hyperlink" Target="#DASHBOARD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hyperlink" Target="#'DUES CONTRIBUTIONS'!A1"/><Relationship Id="rId1" Type="http://schemas.openxmlformats.org/officeDocument/2006/relationships/hyperlink" Target="#DASHBOARD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hyperlink" Target="#'DUES CONTRIBUTIONS'!A1"/><Relationship Id="rId1" Type="http://schemas.openxmlformats.org/officeDocument/2006/relationships/hyperlink" Target="#DASHBOARD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'DUES CONTRIBUTIONS'!A1"/><Relationship Id="rId1" Type="http://schemas.openxmlformats.org/officeDocument/2006/relationships/hyperlink" Target="#DASHBOARD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hyperlink" Target="#'DUES CONTRIBUTIONS'!A1"/><Relationship Id="rId1" Type="http://schemas.openxmlformats.org/officeDocument/2006/relationships/hyperlink" Target="#DASHBOARD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'DUES CONTRIBUTIONS'!A1"/><Relationship Id="rId1" Type="http://schemas.openxmlformats.org/officeDocument/2006/relationships/hyperlink" Target="#DASHBOARD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hyperlink" Target="#'DUES CONTRIBUTIONS'!A1"/><Relationship Id="rId1" Type="http://schemas.openxmlformats.org/officeDocument/2006/relationships/hyperlink" Target="#DASHBOARD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'DUES CONTRIBUTIONS'!A1"/><Relationship Id="rId1" Type="http://schemas.openxmlformats.org/officeDocument/2006/relationships/hyperlink" Target="#DASHBOARD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hyperlink" Target="#'DUES CONTRIBUTIONS'!A1"/><Relationship Id="rId1" Type="http://schemas.openxmlformats.org/officeDocument/2006/relationships/hyperlink" Target="#DASHBOARD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hyperlink" Target="#'LEVY CONTRIBUTIONS'!A1"/><Relationship Id="rId1" Type="http://schemas.openxmlformats.org/officeDocument/2006/relationships/hyperlink" Target="#DASHBOARD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hyperlink" Target="#'LEVY CONTRIBUTIONS'!A1"/><Relationship Id="rId1" Type="http://schemas.openxmlformats.org/officeDocument/2006/relationships/hyperlink" Target="#DASHBOARD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hyperlink" Target="#'LEVY CONTRIBUTIONS'!A1"/><Relationship Id="rId1" Type="http://schemas.openxmlformats.org/officeDocument/2006/relationships/hyperlink" Target="#DASHBOARD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hyperlink" Target="#'LEVY CONTRIBUTIONS'!A1"/><Relationship Id="rId1" Type="http://schemas.openxmlformats.org/officeDocument/2006/relationships/hyperlink" Target="#DASHBOARD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'LEVY CONTRIBUTIONS'!A1"/><Relationship Id="rId1" Type="http://schemas.openxmlformats.org/officeDocument/2006/relationships/hyperlink" Target="#DASHBOARD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ACCOUNTS!A1"/><Relationship Id="rId1" Type="http://schemas.openxmlformats.org/officeDocument/2006/relationships/hyperlink" Target="#DASHBOARD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ACCOUNTS!A1"/><Relationship Id="rId1" Type="http://schemas.openxmlformats.org/officeDocument/2006/relationships/hyperlink" Target="#DASHBOARD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ACCOUNTS!A1"/><Relationship Id="rId1" Type="http://schemas.openxmlformats.org/officeDocument/2006/relationships/hyperlink" Target="#DASHBOARD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ACCOUNTS!A1"/><Relationship Id="rId1" Type="http://schemas.openxmlformats.org/officeDocument/2006/relationships/hyperlink" Target="#DASHBOARD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hyperlink" Target="#ACCOUNTS!A1"/><Relationship Id="rId1" Type="http://schemas.openxmlformats.org/officeDocument/2006/relationships/hyperlink" Target="#DASHBOARD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hyperlink" Target="#ACCOUNTS!A1"/><Relationship Id="rId1" Type="http://schemas.openxmlformats.org/officeDocument/2006/relationships/hyperlink" Target="#DASHBOARD!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hyperlink" Target="#ACCOUNTS!A1"/><Relationship Id="rId1" Type="http://schemas.openxmlformats.org/officeDocument/2006/relationships/hyperlink" Target="#DASHBOARD!A1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hyperlink" Target="#ACCOUNTS!A1"/><Relationship Id="rId1" Type="http://schemas.openxmlformats.org/officeDocument/2006/relationships/hyperlink" Target="#DASHBOARD!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hyperlink" Target="#ACCOUNTS!A1"/><Relationship Id="rId1" Type="http://schemas.openxmlformats.org/officeDocument/2006/relationships/hyperlink" Target="#DASHBOARD!A1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hyperlink" Target="#'TREASURER BILL'!A1"/><Relationship Id="rId1" Type="http://schemas.openxmlformats.org/officeDocument/2006/relationships/hyperlink" Target="#DASHBOARD!A1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hyperlink" Target="#'TREASURER BILL'!A1"/><Relationship Id="rId1" Type="http://schemas.openxmlformats.org/officeDocument/2006/relationships/hyperlink" Target="#DASHBOARD!A1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hyperlink" Target="#'TREASURER BILL'!A1"/><Relationship Id="rId1" Type="http://schemas.openxmlformats.org/officeDocument/2006/relationships/hyperlink" Target="#DASHBOARD!A1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hyperlink" Target="#'TREASURER BILL'!A1"/><Relationship Id="rId1" Type="http://schemas.openxmlformats.org/officeDocument/2006/relationships/hyperlink" Target="#DASHBOARD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hyperlink" Target="#'TREASURER BILL'!A1"/><Relationship Id="rId1" Type="http://schemas.openxmlformats.org/officeDocument/2006/relationships/hyperlink" Target="#DASHBOARD!A1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hyperlink" Target="#'TREASURER BILL'!A1"/><Relationship Id="rId1" Type="http://schemas.openxmlformats.org/officeDocument/2006/relationships/hyperlink" Target="#DASHBOARD!A1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hyperlink" Target="#'TREASURER BILL'!A1"/><Relationship Id="rId1" Type="http://schemas.openxmlformats.org/officeDocument/2006/relationships/hyperlink" Target="#DASHBOARD!A1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hyperlink" Target="#'TREASURER BILL'!A1"/><Relationship Id="rId1" Type="http://schemas.openxmlformats.org/officeDocument/2006/relationships/hyperlink" Target="#DASHBOARD!A1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hyperlink" Target="#'TREASURER BILL'!A1"/><Relationship Id="rId1" Type="http://schemas.openxmlformats.org/officeDocument/2006/relationships/hyperlink" Target="#DASHBOARD!A1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hyperlink" Target="#'TREASURER BILL'!A1"/><Relationship Id="rId1" Type="http://schemas.openxmlformats.org/officeDocument/2006/relationships/hyperlink" Target="#DASHBOARD!A1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hyperlink" Target="#'TRADING ACCOUNT'!A1"/><Relationship Id="rId1" Type="http://schemas.openxmlformats.org/officeDocument/2006/relationships/hyperlink" Target="#DASHBOARD!A1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hyperlink" Target="#'TRADING ACCOUNT'!A1"/><Relationship Id="rId1" Type="http://schemas.openxmlformats.org/officeDocument/2006/relationships/hyperlink" Target="#DASHBOARD!A1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hyperlink" Target="#'PERSONAL PROFILE'!A1"/><Relationship Id="rId1" Type="http://schemas.openxmlformats.org/officeDocument/2006/relationships/hyperlink" Target="#DASHBOARD!A1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hyperlink" Target="#'PERSONAL PROFILE'!A1"/><Relationship Id="rId1" Type="http://schemas.openxmlformats.org/officeDocument/2006/relationships/hyperlink" Target="#DASHBOARD!A1"/></Relationships>
</file>

<file path=xl/drawings/_rels/drawing49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../media/image11.jpeg"/><Relationship Id="rId18" Type="http://schemas.openxmlformats.org/officeDocument/2006/relationships/image" Target="../media/image16.jpeg"/><Relationship Id="rId26" Type="http://schemas.openxmlformats.org/officeDocument/2006/relationships/image" Target="../media/image24.png"/><Relationship Id="rId39" Type="http://schemas.openxmlformats.org/officeDocument/2006/relationships/image" Target="../media/image37.png"/><Relationship Id="rId3" Type="http://schemas.openxmlformats.org/officeDocument/2006/relationships/image" Target="../media/image1.jpeg"/><Relationship Id="rId21" Type="http://schemas.openxmlformats.org/officeDocument/2006/relationships/image" Target="../media/image19.jpeg"/><Relationship Id="rId34" Type="http://schemas.openxmlformats.org/officeDocument/2006/relationships/image" Target="../media/image32.png"/><Relationship Id="rId7" Type="http://schemas.openxmlformats.org/officeDocument/2006/relationships/image" Target="../media/image5.png"/><Relationship Id="rId12" Type="http://schemas.openxmlformats.org/officeDocument/2006/relationships/image" Target="../media/image10.png"/><Relationship Id="rId17" Type="http://schemas.openxmlformats.org/officeDocument/2006/relationships/image" Target="../media/image15.jpeg"/><Relationship Id="rId25" Type="http://schemas.openxmlformats.org/officeDocument/2006/relationships/image" Target="../media/image23.png"/><Relationship Id="rId33" Type="http://schemas.openxmlformats.org/officeDocument/2006/relationships/image" Target="../media/image31.png"/><Relationship Id="rId38" Type="http://schemas.openxmlformats.org/officeDocument/2006/relationships/image" Target="../media/image36.png"/><Relationship Id="rId2" Type="http://schemas.openxmlformats.org/officeDocument/2006/relationships/hyperlink" Target="#'PERSONAL PROFILE'!A1"/><Relationship Id="rId16" Type="http://schemas.openxmlformats.org/officeDocument/2006/relationships/image" Target="../media/image14.jpeg"/><Relationship Id="rId20" Type="http://schemas.openxmlformats.org/officeDocument/2006/relationships/image" Target="../media/image18.png"/><Relationship Id="rId29" Type="http://schemas.openxmlformats.org/officeDocument/2006/relationships/image" Target="../media/image27.png"/><Relationship Id="rId1" Type="http://schemas.openxmlformats.org/officeDocument/2006/relationships/hyperlink" Target="#DASHBOARD!A1"/><Relationship Id="rId6" Type="http://schemas.openxmlformats.org/officeDocument/2006/relationships/image" Target="../media/image4.png"/><Relationship Id="rId11" Type="http://schemas.openxmlformats.org/officeDocument/2006/relationships/image" Target="../media/image9.jpeg"/><Relationship Id="rId24" Type="http://schemas.openxmlformats.org/officeDocument/2006/relationships/image" Target="../media/image22.png"/><Relationship Id="rId32" Type="http://schemas.openxmlformats.org/officeDocument/2006/relationships/image" Target="../media/image30.png"/><Relationship Id="rId37" Type="http://schemas.openxmlformats.org/officeDocument/2006/relationships/image" Target="../media/image35.png"/><Relationship Id="rId40" Type="http://schemas.openxmlformats.org/officeDocument/2006/relationships/image" Target="../media/image38.png"/><Relationship Id="rId5" Type="http://schemas.openxmlformats.org/officeDocument/2006/relationships/image" Target="../media/image3.png"/><Relationship Id="rId15" Type="http://schemas.openxmlformats.org/officeDocument/2006/relationships/image" Target="../media/image13.jpeg"/><Relationship Id="rId23" Type="http://schemas.openxmlformats.org/officeDocument/2006/relationships/image" Target="../media/image21.png"/><Relationship Id="rId28" Type="http://schemas.openxmlformats.org/officeDocument/2006/relationships/image" Target="../media/image26.png"/><Relationship Id="rId36" Type="http://schemas.openxmlformats.org/officeDocument/2006/relationships/image" Target="../media/image34.png"/><Relationship Id="rId10" Type="http://schemas.openxmlformats.org/officeDocument/2006/relationships/image" Target="../media/image8.jpeg"/><Relationship Id="rId19" Type="http://schemas.openxmlformats.org/officeDocument/2006/relationships/image" Target="../media/image17.jpeg"/><Relationship Id="rId31" Type="http://schemas.openxmlformats.org/officeDocument/2006/relationships/image" Target="../media/image29.png"/><Relationship Id="rId4" Type="http://schemas.openxmlformats.org/officeDocument/2006/relationships/image" Target="../media/image2.jpeg"/><Relationship Id="rId9" Type="http://schemas.openxmlformats.org/officeDocument/2006/relationships/image" Target="../media/image7.jpeg"/><Relationship Id="rId14" Type="http://schemas.openxmlformats.org/officeDocument/2006/relationships/image" Target="../media/image12.jpeg"/><Relationship Id="rId22" Type="http://schemas.openxmlformats.org/officeDocument/2006/relationships/image" Target="../media/image20.png"/><Relationship Id="rId27" Type="http://schemas.openxmlformats.org/officeDocument/2006/relationships/image" Target="../media/image25.png"/><Relationship Id="rId30" Type="http://schemas.openxmlformats.org/officeDocument/2006/relationships/image" Target="../media/image28.png"/><Relationship Id="rId35" Type="http://schemas.openxmlformats.org/officeDocument/2006/relationships/image" Target="../media/image33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hyperlink" Target="#'PERSONAL PROFILE'!A1"/><Relationship Id="rId1" Type="http://schemas.openxmlformats.org/officeDocument/2006/relationships/hyperlink" Target="#DASHBOARD!A1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hyperlink" Target="#RECORDS!A1"/><Relationship Id="rId1" Type="http://schemas.openxmlformats.org/officeDocument/2006/relationships/hyperlink" Target="#DASHBOARD!A1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hyperlink" Target="#RECORDS!A1"/><Relationship Id="rId1" Type="http://schemas.openxmlformats.org/officeDocument/2006/relationships/hyperlink" Target="#DASHBOARD!A1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hyperlink" Target="#RECORDS!A1"/><Relationship Id="rId1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510887</xdr:colOff>
      <xdr:row>7</xdr:row>
      <xdr:rowOff>43296</xdr:rowOff>
    </xdr:from>
    <xdr:to>
      <xdr:col>27</xdr:col>
      <xdr:colOff>363682</xdr:colOff>
      <xdr:row>19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7</xdr:col>
      <xdr:colOff>34636</xdr:colOff>
      <xdr:row>0</xdr:row>
      <xdr:rowOff>0</xdr:rowOff>
    </xdr:from>
    <xdr:to>
      <xdr:col>15</xdr:col>
      <xdr:colOff>231486</xdr:colOff>
      <xdr:row>3</xdr:row>
      <xdr:rowOff>196272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3810000" y="0"/>
          <a:ext cx="4838122" cy="949613"/>
          <a:chOff x="1692764" y="274587"/>
          <a:chExt cx="2581257" cy="390048"/>
        </a:xfrm>
        <a:solidFill>
          <a:srgbClr val="0000FF"/>
        </a:solidFill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692764" y="274587"/>
            <a:ext cx="2581257" cy="390048"/>
          </a:xfrm>
          <a:prstGeom prst="roundRect">
            <a:avLst/>
          </a:prstGeom>
          <a:grpFill/>
          <a:sp3d z="300000" contourW="19050" prstMaterial="metal">
            <a:bevelT w="88900" h="203200"/>
            <a:bevelB w="165100" h="254000"/>
          </a:sp3d>
        </xdr:spPr>
        <xdr:style>
          <a:lnRef idx="0">
            <a:schemeClr val="accent6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8" name="Rectangle: Rounded Corners 4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1711805" y="293628"/>
            <a:ext cx="2543175" cy="351966"/>
          </a:xfrm>
          <a:prstGeom prst="rect">
            <a:avLst/>
          </a:prstGeom>
          <a:grpFill/>
          <a:sp3d z="30000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8580" tIns="68580" rIns="68580" bIns="68580" numCol="1" spcCol="1270" anchor="ctr" anchorCtr="0">
            <a:noAutofit/>
          </a:bodyPr>
          <a:lstStyle/>
          <a:p>
            <a:pPr marL="0" lvl="0" indent="0" algn="ctr" defTabSz="8001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GB" sz="2800" b="1" kern="1200">
                <a:solidFill>
                  <a:schemeClr val="bg1"/>
                </a:solidFill>
                <a:latin typeface="Arial Black" panose="020B0A04020102020204" pitchFamily="34" charset="0"/>
              </a:rPr>
              <a:t>ONUADO</a:t>
            </a:r>
            <a:r>
              <a:rPr lang="en-GB" sz="2800" b="1" kern="1200" baseline="0">
                <a:solidFill>
                  <a:schemeClr val="bg1"/>
                </a:solidFill>
                <a:latin typeface="Arial Black" panose="020B0A04020102020204" pitchFamily="34" charset="0"/>
              </a:rPr>
              <a:t> NA EYE DASHBOARD</a:t>
            </a:r>
            <a:endParaRPr lang="en-GB" sz="2800" b="1" kern="12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0</xdr:row>
      <xdr:rowOff>152400</xdr:rowOff>
    </xdr:from>
    <xdr:to>
      <xdr:col>17</xdr:col>
      <xdr:colOff>304800</xdr:colOff>
      <xdr:row>3</xdr:row>
      <xdr:rowOff>209550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3352800" y="152400"/>
          <a:ext cx="6486525" cy="742950"/>
          <a:chOff x="1692764" y="274587"/>
          <a:chExt cx="2581257" cy="390048"/>
        </a:xfrm>
        <a:solidFill>
          <a:srgbClr val="C00000"/>
        </a:solidFill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1692764" y="274587"/>
            <a:ext cx="2581257" cy="390048"/>
          </a:xfrm>
          <a:prstGeom prst="roundRect">
            <a:avLst/>
          </a:prstGeom>
          <a:grpFill/>
          <a:sp3d z="300000" contourW="19050" prstMaterial="metal">
            <a:bevelT w="88900" h="203200"/>
            <a:bevelB w="165100" h="254000"/>
          </a:sp3d>
        </xdr:spPr>
        <xdr:style>
          <a:lnRef idx="0">
            <a:schemeClr val="accent6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8" name="Rectangle: Rounded Corners 4">
            <a:hlinkClick xmlns:r="http://schemas.openxmlformats.org/officeDocument/2006/relationships" r:id="rId1" tooltip="DASHBOARD"/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>
            <a:off x="1711805" y="293628"/>
            <a:ext cx="2543175" cy="351966"/>
          </a:xfrm>
          <a:prstGeom prst="rect">
            <a:avLst/>
          </a:prstGeom>
          <a:grpFill/>
          <a:sp3d z="30000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8580" tIns="68580" rIns="68580" bIns="68580" numCol="1" spcCol="1270" anchor="ctr" anchorCtr="0">
            <a:noAutofit/>
          </a:bodyPr>
          <a:lstStyle/>
          <a:p>
            <a:pPr marL="0" lvl="0" indent="0" algn="ctr" defTabSz="8001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GB" sz="2800" b="1" kern="1200">
                <a:solidFill>
                  <a:schemeClr val="bg1"/>
                </a:solidFill>
                <a:latin typeface="Arial Black" panose="020B0A04020102020204" pitchFamily="34" charset="0"/>
              </a:rPr>
              <a:t>DUES CONTRIBUTIONS</a:t>
            </a:r>
          </a:p>
        </xdr:txBody>
      </xdr:sp>
    </xdr:grpSp>
    <xdr:clientData/>
  </xdr:twoCellAnchor>
  <xdr:twoCellAnchor>
    <xdr:from>
      <xdr:col>5</xdr:col>
      <xdr:colOff>190500</xdr:colOff>
      <xdr:row>6</xdr:row>
      <xdr:rowOff>146050</xdr:rowOff>
    </xdr:from>
    <xdr:to>
      <xdr:col>18</xdr:col>
      <xdr:colOff>387350</xdr:colOff>
      <xdr:row>25</xdr:row>
      <xdr:rowOff>25400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  <xdr:twoCellAnchor>
    <xdr:from>
      <xdr:col>1</xdr:col>
      <xdr:colOff>139700</xdr:colOff>
      <xdr:row>0</xdr:row>
      <xdr:rowOff>38100</xdr:rowOff>
    </xdr:from>
    <xdr:to>
      <xdr:col>5</xdr:col>
      <xdr:colOff>177800</xdr:colOff>
      <xdr:row>2</xdr:row>
      <xdr:rowOff>114300</xdr:rowOff>
    </xdr:to>
    <xdr:sp macro="" textlink="">
      <xdr:nvSpPr>
        <xdr:cNvPr id="14" name="Arrow: Left 13">
          <a:hlinkClick xmlns:r="http://schemas.openxmlformats.org/officeDocument/2006/relationships" r:id="rId7" tooltip="LEVY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377825" y="38100"/>
          <a:ext cx="2362200" cy="533400"/>
        </a:xfrm>
        <a:prstGeom prst="leftArrow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LEVY</a:t>
          </a:r>
        </a:p>
      </xdr:txBody>
    </xdr:sp>
    <xdr:clientData/>
  </xdr:twoCellAnchor>
  <xdr:twoCellAnchor>
    <xdr:from>
      <xdr:col>1</xdr:col>
      <xdr:colOff>133350</xdr:colOff>
      <xdr:row>2</xdr:row>
      <xdr:rowOff>152400</xdr:rowOff>
    </xdr:from>
    <xdr:to>
      <xdr:col>5</xdr:col>
      <xdr:colOff>171450</xdr:colOff>
      <xdr:row>5</xdr:row>
      <xdr:rowOff>0</xdr:rowOff>
    </xdr:to>
    <xdr:sp macro="" textlink="">
      <xdr:nvSpPr>
        <xdr:cNvPr id="2" name="Arrow: Left 1">
          <a:hlinkClick xmlns:r="http://schemas.openxmlformats.org/officeDocument/2006/relationships" r:id="rId8" tooltip="ACCOUNTS"/>
          <a:extLst>
            <a:ext uri="{FF2B5EF4-FFF2-40B4-BE49-F238E27FC236}">
              <a16:creationId xmlns:a16="http://schemas.microsoft.com/office/drawing/2014/main" id="{F58B63CE-0C86-4D89-96E3-4261206089EF}"/>
            </a:ext>
          </a:extLst>
        </xdr:cNvPr>
        <xdr:cNvSpPr/>
      </xdr:nvSpPr>
      <xdr:spPr>
        <a:xfrm>
          <a:off x="371475" y="609600"/>
          <a:ext cx="2362200" cy="5334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ACCOUNTS</a:t>
          </a:r>
        </a:p>
      </xdr:txBody>
    </xdr:sp>
    <xdr:clientData/>
  </xdr:twoCellAnchor>
  <xdr:twoCellAnchor>
    <xdr:from>
      <xdr:col>1</xdr:col>
      <xdr:colOff>133350</xdr:colOff>
      <xdr:row>5</xdr:row>
      <xdr:rowOff>47625</xdr:rowOff>
    </xdr:from>
    <xdr:to>
      <xdr:col>5</xdr:col>
      <xdr:colOff>171450</xdr:colOff>
      <xdr:row>7</xdr:row>
      <xdr:rowOff>123825</xdr:rowOff>
    </xdr:to>
    <xdr:sp macro="" textlink="">
      <xdr:nvSpPr>
        <xdr:cNvPr id="4" name="Arrow: Left 3">
          <a:hlinkClick xmlns:r="http://schemas.openxmlformats.org/officeDocument/2006/relationships" r:id="rId9" tooltip="TREASURER BILL"/>
          <a:extLst>
            <a:ext uri="{FF2B5EF4-FFF2-40B4-BE49-F238E27FC236}">
              <a16:creationId xmlns:a16="http://schemas.microsoft.com/office/drawing/2014/main" id="{DBB9B167-2C81-4C52-BE93-91D9965638EF}"/>
            </a:ext>
          </a:extLst>
        </xdr:cNvPr>
        <xdr:cNvSpPr/>
      </xdr:nvSpPr>
      <xdr:spPr>
        <a:xfrm>
          <a:off x="371475" y="1190625"/>
          <a:ext cx="2362200" cy="533400"/>
        </a:xfrm>
        <a:prstGeom prst="left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TREASURER BILL</a:t>
          </a:r>
        </a:p>
      </xdr:txBody>
    </xdr:sp>
    <xdr:clientData/>
  </xdr:twoCellAnchor>
  <xdr:twoCellAnchor>
    <xdr:from>
      <xdr:col>18</xdr:col>
      <xdr:colOff>276225</xdr:colOff>
      <xdr:row>0</xdr:row>
      <xdr:rowOff>9525</xdr:rowOff>
    </xdr:from>
    <xdr:to>
      <xdr:col>22</xdr:col>
      <xdr:colOff>314325</xdr:colOff>
      <xdr:row>2</xdr:row>
      <xdr:rowOff>85725</xdr:rowOff>
    </xdr:to>
    <xdr:sp macro="" textlink="">
      <xdr:nvSpPr>
        <xdr:cNvPr id="9" name="Arrow: Left 8">
          <a:hlinkClick xmlns:r="http://schemas.openxmlformats.org/officeDocument/2006/relationships" r:id="rId10" tooltip="PROFILE"/>
          <a:extLst>
            <a:ext uri="{FF2B5EF4-FFF2-40B4-BE49-F238E27FC236}">
              <a16:creationId xmlns:a16="http://schemas.microsoft.com/office/drawing/2014/main" id="{2CA9B419-7F39-405B-B963-EC705F764303}"/>
            </a:ext>
          </a:extLst>
        </xdr:cNvPr>
        <xdr:cNvSpPr/>
      </xdr:nvSpPr>
      <xdr:spPr>
        <a:xfrm>
          <a:off x="10391775" y="9525"/>
          <a:ext cx="2362200" cy="533400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PROFILE</a:t>
          </a:r>
        </a:p>
      </xdr:txBody>
    </xdr:sp>
    <xdr:clientData/>
  </xdr:twoCellAnchor>
  <xdr:twoCellAnchor>
    <xdr:from>
      <xdr:col>18</xdr:col>
      <xdr:colOff>276225</xdr:colOff>
      <xdr:row>2</xdr:row>
      <xdr:rowOff>114300</xdr:rowOff>
    </xdr:from>
    <xdr:to>
      <xdr:col>22</xdr:col>
      <xdr:colOff>314325</xdr:colOff>
      <xdr:row>4</xdr:row>
      <xdr:rowOff>190500</xdr:rowOff>
    </xdr:to>
    <xdr:sp macro="" textlink="">
      <xdr:nvSpPr>
        <xdr:cNvPr id="10" name="Arrow: Left 9">
          <a:hlinkClick xmlns:r="http://schemas.openxmlformats.org/officeDocument/2006/relationships" r:id="rId11" tooltip="RECORDS"/>
          <a:extLst>
            <a:ext uri="{FF2B5EF4-FFF2-40B4-BE49-F238E27FC236}">
              <a16:creationId xmlns:a16="http://schemas.microsoft.com/office/drawing/2014/main" id="{FFBAC3C6-DDC6-4B74-B82A-4A4783B7E31A}"/>
            </a:ext>
          </a:extLst>
        </xdr:cNvPr>
        <xdr:cNvSpPr/>
      </xdr:nvSpPr>
      <xdr:spPr>
        <a:xfrm>
          <a:off x="10391775" y="571500"/>
          <a:ext cx="2362200" cy="533400"/>
        </a:xfrm>
        <a:prstGeom prst="leftArrow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RECORDS</a:t>
          </a:r>
        </a:p>
      </xdr:txBody>
    </xdr:sp>
    <xdr:clientData/>
  </xdr:twoCellAnchor>
  <xdr:twoCellAnchor>
    <xdr:from>
      <xdr:col>18</xdr:col>
      <xdr:colOff>295275</xdr:colOff>
      <xdr:row>4</xdr:row>
      <xdr:rowOff>200025</xdr:rowOff>
    </xdr:from>
    <xdr:to>
      <xdr:col>22</xdr:col>
      <xdr:colOff>333375</xdr:colOff>
      <xdr:row>7</xdr:row>
      <xdr:rowOff>47625</xdr:rowOff>
    </xdr:to>
    <xdr:sp macro="" textlink="">
      <xdr:nvSpPr>
        <xdr:cNvPr id="18" name="Arrow: Left 17">
          <a:hlinkClick xmlns:r="http://schemas.openxmlformats.org/officeDocument/2006/relationships" r:id="rId12" tooltip="TRADING"/>
          <a:extLst>
            <a:ext uri="{FF2B5EF4-FFF2-40B4-BE49-F238E27FC236}">
              <a16:creationId xmlns:a16="http://schemas.microsoft.com/office/drawing/2014/main" id="{DF364A68-D266-43B1-A12A-F5FEEAC2C7FB}"/>
            </a:ext>
          </a:extLst>
        </xdr:cNvPr>
        <xdr:cNvSpPr/>
      </xdr:nvSpPr>
      <xdr:spPr>
        <a:xfrm>
          <a:off x="10410825" y="1114425"/>
          <a:ext cx="2362200" cy="533400"/>
        </a:xfrm>
        <a:prstGeom prst="left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TRADING A/C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17</xdr:col>
      <xdr:colOff>142875</xdr:colOff>
      <xdr:row>4</xdr:row>
      <xdr:rowOff>19050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AA14C0C-2A02-4444-8673-AA4250787FD2}"/>
            </a:ext>
          </a:extLst>
        </xdr:cNvPr>
        <xdr:cNvGrpSpPr/>
      </xdr:nvGrpSpPr>
      <xdr:grpSpPr>
        <a:xfrm>
          <a:off x="3724275" y="228600"/>
          <a:ext cx="5953125" cy="704850"/>
          <a:chOff x="1692764" y="274587"/>
          <a:chExt cx="2581257" cy="390048"/>
        </a:xfrm>
        <a:solidFill>
          <a:srgbClr val="C00000"/>
        </a:solidFill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200E8D09-D11E-F693-982E-9D23646CF175}"/>
              </a:ext>
            </a:extLst>
          </xdr:cNvPr>
          <xdr:cNvSpPr/>
        </xdr:nvSpPr>
        <xdr:spPr>
          <a:xfrm>
            <a:off x="1692764" y="274587"/>
            <a:ext cx="2581257" cy="390048"/>
          </a:xfrm>
          <a:prstGeom prst="roundRect">
            <a:avLst/>
          </a:prstGeom>
          <a:grpFill/>
          <a:sp3d z="300000" contourW="19050" prstMaterial="metal">
            <a:bevelT w="88900" h="203200"/>
            <a:bevelB w="165100" h="254000"/>
          </a:sp3d>
        </xdr:spPr>
        <xdr:style>
          <a:lnRef idx="0">
            <a:schemeClr val="accent6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4" name="Rectangle: Rounded Corners 4">
            <a:hlinkClick xmlns:r="http://schemas.openxmlformats.org/officeDocument/2006/relationships" r:id="rId1" tooltip="DASHBOARD"/>
            <a:extLst>
              <a:ext uri="{FF2B5EF4-FFF2-40B4-BE49-F238E27FC236}">
                <a16:creationId xmlns:a16="http://schemas.microsoft.com/office/drawing/2014/main" id="{06B33DFD-B1B9-68E8-D810-D2B6DDC51240}"/>
              </a:ext>
            </a:extLst>
          </xdr:cNvPr>
          <xdr:cNvSpPr txBox="1"/>
        </xdr:nvSpPr>
        <xdr:spPr>
          <a:xfrm>
            <a:off x="1711805" y="293628"/>
            <a:ext cx="2543175" cy="351966"/>
          </a:xfrm>
          <a:prstGeom prst="rect">
            <a:avLst/>
          </a:prstGeom>
          <a:grpFill/>
          <a:sp3d z="30000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8580" tIns="68580" rIns="68580" bIns="68580" numCol="1" spcCol="1270" anchor="ctr" anchorCtr="0">
            <a:noAutofit/>
          </a:bodyPr>
          <a:lstStyle/>
          <a:p>
            <a:pPr marL="0" lvl="0" indent="0" algn="ctr" defTabSz="8001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GB" sz="2800" b="1" kern="1200">
                <a:solidFill>
                  <a:schemeClr val="bg1"/>
                </a:solidFill>
                <a:latin typeface="Arial Black" panose="020B0A04020102020204" pitchFamily="34" charset="0"/>
              </a:rPr>
              <a:t>LEVY</a:t>
            </a:r>
            <a:r>
              <a:rPr lang="en-GB" sz="2800" b="1" kern="1200" baseline="0">
                <a:solidFill>
                  <a:schemeClr val="bg1"/>
                </a:solidFill>
                <a:latin typeface="Arial Black" panose="020B0A04020102020204" pitchFamily="34" charset="0"/>
              </a:rPr>
              <a:t> </a:t>
            </a:r>
            <a:r>
              <a:rPr lang="en-GB" sz="2800" b="1" kern="1200">
                <a:solidFill>
                  <a:schemeClr val="bg1"/>
                </a:solidFill>
                <a:latin typeface="Arial Black" panose="020B0A04020102020204" pitchFamily="34" charset="0"/>
              </a:rPr>
              <a:t>CONTRIBUTIONS</a:t>
            </a:r>
          </a:p>
        </xdr:txBody>
      </xdr:sp>
    </xdr:grpSp>
    <xdr:clientData/>
  </xdr:twoCellAnchor>
  <xdr:twoCellAnchor>
    <xdr:from>
      <xdr:col>7</xdr:col>
      <xdr:colOff>1</xdr:colOff>
      <xdr:row>6</xdr:row>
      <xdr:rowOff>209550</xdr:rowOff>
    </xdr:from>
    <xdr:to>
      <xdr:col>17</xdr:col>
      <xdr:colOff>257174</xdr:colOff>
      <xdr:row>26</xdr:row>
      <xdr:rowOff>200025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1F69A33C-CF6C-44C7-B011-3CA9EE881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  <xdr:twoCellAnchor>
    <xdr:from>
      <xdr:col>2</xdr:col>
      <xdr:colOff>257175</xdr:colOff>
      <xdr:row>0</xdr:row>
      <xdr:rowOff>15875</xdr:rowOff>
    </xdr:from>
    <xdr:to>
      <xdr:col>6</xdr:col>
      <xdr:colOff>295275</xdr:colOff>
      <xdr:row>2</xdr:row>
      <xdr:rowOff>59551</xdr:rowOff>
    </xdr:to>
    <xdr:sp macro="" textlink="">
      <xdr:nvSpPr>
        <xdr:cNvPr id="11" name="Arrow: Left 10">
          <a:hlinkClick xmlns:r="http://schemas.openxmlformats.org/officeDocument/2006/relationships" r:id="rId7" tooltip="DUES"/>
          <a:extLst>
            <a:ext uri="{FF2B5EF4-FFF2-40B4-BE49-F238E27FC236}">
              <a16:creationId xmlns:a16="http://schemas.microsoft.com/office/drawing/2014/main" id="{78A911B0-2688-4F27-AEFE-1649754B1318}"/>
            </a:ext>
          </a:extLst>
        </xdr:cNvPr>
        <xdr:cNvSpPr/>
      </xdr:nvSpPr>
      <xdr:spPr>
        <a:xfrm>
          <a:off x="1076325" y="15875"/>
          <a:ext cx="2362200" cy="500876"/>
        </a:xfrm>
        <a:prstGeom prst="leftArrow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DUES</a:t>
          </a:r>
        </a:p>
      </xdr:txBody>
    </xdr:sp>
    <xdr:clientData/>
  </xdr:twoCellAnchor>
  <xdr:twoCellAnchor>
    <xdr:from>
      <xdr:col>2</xdr:col>
      <xdr:colOff>228600</xdr:colOff>
      <xdr:row>2</xdr:row>
      <xdr:rowOff>85725</xdr:rowOff>
    </xdr:from>
    <xdr:to>
      <xdr:col>6</xdr:col>
      <xdr:colOff>266700</xdr:colOff>
      <xdr:row>4</xdr:row>
      <xdr:rowOff>161925</xdr:rowOff>
    </xdr:to>
    <xdr:sp macro="" textlink="">
      <xdr:nvSpPr>
        <xdr:cNvPr id="12" name="Arrow: Left 11">
          <a:hlinkClick xmlns:r="http://schemas.openxmlformats.org/officeDocument/2006/relationships" r:id="rId8" tooltip="ACCOUNTS"/>
          <a:extLst>
            <a:ext uri="{FF2B5EF4-FFF2-40B4-BE49-F238E27FC236}">
              <a16:creationId xmlns:a16="http://schemas.microsoft.com/office/drawing/2014/main" id="{55280819-DC5B-481D-882B-3A21ABBF2094}"/>
            </a:ext>
          </a:extLst>
        </xdr:cNvPr>
        <xdr:cNvSpPr/>
      </xdr:nvSpPr>
      <xdr:spPr>
        <a:xfrm>
          <a:off x="1047750" y="542925"/>
          <a:ext cx="2362200" cy="5334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ACCOUNTS</a:t>
          </a:r>
        </a:p>
      </xdr:txBody>
    </xdr:sp>
    <xdr:clientData/>
  </xdr:twoCellAnchor>
  <xdr:twoCellAnchor>
    <xdr:from>
      <xdr:col>2</xdr:col>
      <xdr:colOff>247650</xdr:colOff>
      <xdr:row>4</xdr:row>
      <xdr:rowOff>200024</xdr:rowOff>
    </xdr:from>
    <xdr:to>
      <xdr:col>6</xdr:col>
      <xdr:colOff>285750</xdr:colOff>
      <xdr:row>7</xdr:row>
      <xdr:rowOff>76199</xdr:rowOff>
    </xdr:to>
    <xdr:sp macro="" textlink="">
      <xdr:nvSpPr>
        <xdr:cNvPr id="13" name="Arrow: Left 12">
          <a:hlinkClick xmlns:r="http://schemas.openxmlformats.org/officeDocument/2006/relationships" r:id="rId9" tooltip="TREASURER BILL"/>
          <a:extLst>
            <a:ext uri="{FF2B5EF4-FFF2-40B4-BE49-F238E27FC236}">
              <a16:creationId xmlns:a16="http://schemas.microsoft.com/office/drawing/2014/main" id="{0A3707AC-6223-437C-8C3E-56E091F89650}"/>
            </a:ext>
          </a:extLst>
        </xdr:cNvPr>
        <xdr:cNvSpPr/>
      </xdr:nvSpPr>
      <xdr:spPr>
        <a:xfrm>
          <a:off x="1066800" y="1114424"/>
          <a:ext cx="2362200" cy="561975"/>
        </a:xfrm>
        <a:prstGeom prst="left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TREASURER BILL</a:t>
          </a:r>
        </a:p>
      </xdr:txBody>
    </xdr:sp>
    <xdr:clientData/>
  </xdr:twoCellAnchor>
  <xdr:twoCellAnchor>
    <xdr:from>
      <xdr:col>17</xdr:col>
      <xdr:colOff>381000</xdr:colOff>
      <xdr:row>0</xdr:row>
      <xdr:rowOff>0</xdr:rowOff>
    </xdr:from>
    <xdr:to>
      <xdr:col>21</xdr:col>
      <xdr:colOff>419100</xdr:colOff>
      <xdr:row>2</xdr:row>
      <xdr:rowOff>76200</xdr:rowOff>
    </xdr:to>
    <xdr:sp macro="" textlink="">
      <xdr:nvSpPr>
        <xdr:cNvPr id="14" name="Arrow: Left 13">
          <a:hlinkClick xmlns:r="http://schemas.openxmlformats.org/officeDocument/2006/relationships" r:id="rId10" tooltip="PROFILE"/>
          <a:extLst>
            <a:ext uri="{FF2B5EF4-FFF2-40B4-BE49-F238E27FC236}">
              <a16:creationId xmlns:a16="http://schemas.microsoft.com/office/drawing/2014/main" id="{9EA06017-8E2B-4D8C-9C32-60086F9B23E7}"/>
            </a:ext>
          </a:extLst>
        </xdr:cNvPr>
        <xdr:cNvSpPr/>
      </xdr:nvSpPr>
      <xdr:spPr>
        <a:xfrm>
          <a:off x="9915525" y="0"/>
          <a:ext cx="2362200" cy="533400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PROFILE</a:t>
          </a:r>
        </a:p>
      </xdr:txBody>
    </xdr:sp>
    <xdr:clientData/>
  </xdr:twoCellAnchor>
  <xdr:twoCellAnchor>
    <xdr:from>
      <xdr:col>17</xdr:col>
      <xdr:colOff>381000</xdr:colOff>
      <xdr:row>2</xdr:row>
      <xdr:rowOff>104775</xdr:rowOff>
    </xdr:from>
    <xdr:to>
      <xdr:col>21</xdr:col>
      <xdr:colOff>419100</xdr:colOff>
      <xdr:row>4</xdr:row>
      <xdr:rowOff>180975</xdr:rowOff>
    </xdr:to>
    <xdr:sp macro="" textlink="">
      <xdr:nvSpPr>
        <xdr:cNvPr id="15" name="Arrow: Left 14">
          <a:hlinkClick xmlns:r="http://schemas.openxmlformats.org/officeDocument/2006/relationships" r:id="rId11" tooltip="RECORDS"/>
          <a:extLst>
            <a:ext uri="{FF2B5EF4-FFF2-40B4-BE49-F238E27FC236}">
              <a16:creationId xmlns:a16="http://schemas.microsoft.com/office/drawing/2014/main" id="{671B2D8C-99CF-4B16-A935-4DE5A34C7B31}"/>
            </a:ext>
          </a:extLst>
        </xdr:cNvPr>
        <xdr:cNvSpPr/>
      </xdr:nvSpPr>
      <xdr:spPr>
        <a:xfrm>
          <a:off x="9915525" y="561975"/>
          <a:ext cx="2362200" cy="533400"/>
        </a:xfrm>
        <a:prstGeom prst="leftArrow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RECORDS</a:t>
          </a:r>
        </a:p>
      </xdr:txBody>
    </xdr:sp>
    <xdr:clientData/>
  </xdr:twoCellAnchor>
  <xdr:twoCellAnchor>
    <xdr:from>
      <xdr:col>17</xdr:col>
      <xdr:colOff>371475</xdr:colOff>
      <xdr:row>4</xdr:row>
      <xdr:rowOff>180975</xdr:rowOff>
    </xdr:from>
    <xdr:to>
      <xdr:col>21</xdr:col>
      <xdr:colOff>409575</xdr:colOff>
      <xdr:row>7</xdr:row>
      <xdr:rowOff>28575</xdr:rowOff>
    </xdr:to>
    <xdr:sp macro="" textlink="">
      <xdr:nvSpPr>
        <xdr:cNvPr id="17" name="Arrow: Left 16">
          <a:hlinkClick xmlns:r="http://schemas.openxmlformats.org/officeDocument/2006/relationships" r:id="rId12" tooltip="TRADING"/>
          <a:extLst>
            <a:ext uri="{FF2B5EF4-FFF2-40B4-BE49-F238E27FC236}">
              <a16:creationId xmlns:a16="http://schemas.microsoft.com/office/drawing/2014/main" id="{94433674-D4E5-4F16-8FFD-B0598ED163C9}"/>
            </a:ext>
          </a:extLst>
        </xdr:cNvPr>
        <xdr:cNvSpPr/>
      </xdr:nvSpPr>
      <xdr:spPr>
        <a:xfrm>
          <a:off x="9906000" y="1095375"/>
          <a:ext cx="2362200" cy="533400"/>
        </a:xfrm>
        <a:prstGeom prst="left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TRADING A/C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555624</xdr:colOff>
      <xdr:row>6</xdr:row>
      <xdr:rowOff>114300</xdr:rowOff>
    </xdr:from>
    <xdr:to>
      <xdr:col>18</xdr:col>
      <xdr:colOff>57149</xdr:colOff>
      <xdr:row>28</xdr:row>
      <xdr:rowOff>57150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5</xdr:col>
      <xdr:colOff>533400</xdr:colOff>
      <xdr:row>1</xdr:row>
      <xdr:rowOff>0</xdr:rowOff>
    </xdr:from>
    <xdr:to>
      <xdr:col>16</xdr:col>
      <xdr:colOff>190500</xdr:colOff>
      <xdr:row>4</xdr:row>
      <xdr:rowOff>88900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3162300" y="190500"/>
          <a:ext cx="6048375" cy="660400"/>
          <a:chOff x="1692764" y="274587"/>
          <a:chExt cx="2581257" cy="390048"/>
        </a:xfrm>
        <a:solidFill>
          <a:srgbClr val="C00000"/>
        </a:solidFill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692764" y="274587"/>
            <a:ext cx="2581257" cy="390048"/>
          </a:xfrm>
          <a:prstGeom prst="roundRect">
            <a:avLst/>
          </a:prstGeom>
          <a:grpFill/>
          <a:sp3d z="300000" contourW="19050" prstMaterial="metal">
            <a:bevelT w="88900" h="203200"/>
            <a:bevelB w="165100" h="254000"/>
          </a:sp3d>
        </xdr:spPr>
        <xdr:style>
          <a:lnRef idx="0">
            <a:schemeClr val="accent6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8" name="Rectangle: Rounded Corners 4">
            <a:hlinkClick xmlns:r="http://schemas.openxmlformats.org/officeDocument/2006/relationships" r:id="rId6" tooltip="DASHBOARD"/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>
            <a:off x="1711805" y="293628"/>
            <a:ext cx="2543175" cy="351966"/>
          </a:xfrm>
          <a:prstGeom prst="rect">
            <a:avLst/>
          </a:prstGeom>
          <a:grpFill/>
          <a:sp3d z="30000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8580" tIns="68580" rIns="68580" bIns="68580" numCol="1" spcCol="1270" anchor="ctr" anchorCtr="0">
            <a:noAutofit/>
          </a:bodyPr>
          <a:lstStyle/>
          <a:p>
            <a:pPr marL="0" lvl="0" indent="0" algn="ctr" defTabSz="8001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GB" sz="2800" b="1" kern="1200">
                <a:solidFill>
                  <a:schemeClr val="bg1"/>
                </a:solidFill>
                <a:latin typeface="Arial Black" panose="020B0A04020102020204" pitchFamily="34" charset="0"/>
              </a:rPr>
              <a:t>ACCOUNTS</a:t>
            </a:r>
          </a:p>
        </xdr:txBody>
      </xdr:sp>
    </xdr:grpSp>
    <xdr:clientData/>
  </xdr:twoCellAnchor>
  <xdr:twoCellAnchor>
    <xdr:from>
      <xdr:col>10</xdr:col>
      <xdr:colOff>266700</xdr:colOff>
      <xdr:row>4</xdr:row>
      <xdr:rowOff>63500</xdr:rowOff>
    </xdr:from>
    <xdr:to>
      <xdr:col>10</xdr:col>
      <xdr:colOff>571500</xdr:colOff>
      <xdr:row>4</xdr:row>
      <xdr:rowOff>109219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362700" y="1168400"/>
          <a:ext cx="304800" cy="4571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190500</xdr:colOff>
      <xdr:row>2</xdr:row>
      <xdr:rowOff>142875</xdr:rowOff>
    </xdr:from>
    <xdr:to>
      <xdr:col>5</xdr:col>
      <xdr:colOff>228600</xdr:colOff>
      <xdr:row>5</xdr:row>
      <xdr:rowOff>104775</xdr:rowOff>
    </xdr:to>
    <xdr:sp macro="" textlink="">
      <xdr:nvSpPr>
        <xdr:cNvPr id="10" name="Arrow: Left 9">
          <a:hlinkClick xmlns:r="http://schemas.openxmlformats.org/officeDocument/2006/relationships" r:id="rId7" tooltip="LEVY"/>
          <a:extLst>
            <a:ext uri="{FF2B5EF4-FFF2-40B4-BE49-F238E27FC236}">
              <a16:creationId xmlns:a16="http://schemas.microsoft.com/office/drawing/2014/main" id="{5DECF28E-0B56-47A3-8AC8-45FF2A06CB9F}"/>
            </a:ext>
          </a:extLst>
        </xdr:cNvPr>
        <xdr:cNvSpPr/>
      </xdr:nvSpPr>
      <xdr:spPr>
        <a:xfrm>
          <a:off x="495300" y="523875"/>
          <a:ext cx="2362200" cy="533400"/>
        </a:xfrm>
        <a:prstGeom prst="leftArrow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LEVY</a:t>
          </a:r>
        </a:p>
      </xdr:txBody>
    </xdr:sp>
    <xdr:clientData/>
  </xdr:twoCellAnchor>
  <xdr:twoCellAnchor>
    <xdr:from>
      <xdr:col>1</xdr:col>
      <xdr:colOff>212725</xdr:colOff>
      <xdr:row>0</xdr:row>
      <xdr:rowOff>15875</xdr:rowOff>
    </xdr:from>
    <xdr:to>
      <xdr:col>5</xdr:col>
      <xdr:colOff>250825</xdr:colOff>
      <xdr:row>2</xdr:row>
      <xdr:rowOff>135751</xdr:rowOff>
    </xdr:to>
    <xdr:sp macro="" textlink="">
      <xdr:nvSpPr>
        <xdr:cNvPr id="11" name="Arrow: Left 10">
          <a:hlinkClick xmlns:r="http://schemas.openxmlformats.org/officeDocument/2006/relationships" r:id="rId8" tooltip="DUES"/>
          <a:extLst>
            <a:ext uri="{FF2B5EF4-FFF2-40B4-BE49-F238E27FC236}">
              <a16:creationId xmlns:a16="http://schemas.microsoft.com/office/drawing/2014/main" id="{20652ED1-6A1F-415C-AC4B-F372D76DB7E5}"/>
            </a:ext>
          </a:extLst>
        </xdr:cNvPr>
        <xdr:cNvSpPr/>
      </xdr:nvSpPr>
      <xdr:spPr>
        <a:xfrm>
          <a:off x="517525" y="15875"/>
          <a:ext cx="2362200" cy="500876"/>
        </a:xfrm>
        <a:prstGeom prst="leftArrow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DUES</a:t>
          </a:r>
        </a:p>
      </xdr:txBody>
    </xdr:sp>
    <xdr:clientData/>
  </xdr:twoCellAnchor>
  <xdr:twoCellAnchor>
    <xdr:from>
      <xdr:col>1</xdr:col>
      <xdr:colOff>203200</xdr:colOff>
      <xdr:row>5</xdr:row>
      <xdr:rowOff>47624</xdr:rowOff>
    </xdr:from>
    <xdr:to>
      <xdr:col>5</xdr:col>
      <xdr:colOff>241300</xdr:colOff>
      <xdr:row>8</xdr:row>
      <xdr:rowOff>85724</xdr:rowOff>
    </xdr:to>
    <xdr:sp macro="" textlink="">
      <xdr:nvSpPr>
        <xdr:cNvPr id="14" name="Arrow: Left 13">
          <a:hlinkClick xmlns:r="http://schemas.openxmlformats.org/officeDocument/2006/relationships" r:id="rId9" tooltip="TREASURER BILL"/>
          <a:extLst>
            <a:ext uri="{FF2B5EF4-FFF2-40B4-BE49-F238E27FC236}">
              <a16:creationId xmlns:a16="http://schemas.microsoft.com/office/drawing/2014/main" id="{B87734A0-E3E4-459D-9FE9-DF35B35F53AA}"/>
            </a:ext>
          </a:extLst>
        </xdr:cNvPr>
        <xdr:cNvSpPr/>
      </xdr:nvSpPr>
      <xdr:spPr>
        <a:xfrm>
          <a:off x="508000" y="1000124"/>
          <a:ext cx="2362200" cy="561975"/>
        </a:xfrm>
        <a:prstGeom prst="left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TREASURER BILL</a:t>
          </a:r>
        </a:p>
      </xdr:txBody>
    </xdr:sp>
    <xdr:clientData/>
  </xdr:twoCellAnchor>
  <xdr:twoCellAnchor>
    <xdr:from>
      <xdr:col>17</xdr:col>
      <xdr:colOff>565150</xdr:colOff>
      <xdr:row>0</xdr:row>
      <xdr:rowOff>0</xdr:rowOff>
    </xdr:from>
    <xdr:to>
      <xdr:col>22</xdr:col>
      <xdr:colOff>22225</xdr:colOff>
      <xdr:row>2</xdr:row>
      <xdr:rowOff>152400</xdr:rowOff>
    </xdr:to>
    <xdr:sp macro="" textlink="">
      <xdr:nvSpPr>
        <xdr:cNvPr id="15" name="Arrow: Left 14">
          <a:hlinkClick xmlns:r="http://schemas.openxmlformats.org/officeDocument/2006/relationships" r:id="rId10" tooltip="PROFILE"/>
          <a:extLst>
            <a:ext uri="{FF2B5EF4-FFF2-40B4-BE49-F238E27FC236}">
              <a16:creationId xmlns:a16="http://schemas.microsoft.com/office/drawing/2014/main" id="{8F767BFD-59B3-46F9-8433-9FF22FBCBCA5}"/>
            </a:ext>
          </a:extLst>
        </xdr:cNvPr>
        <xdr:cNvSpPr/>
      </xdr:nvSpPr>
      <xdr:spPr>
        <a:xfrm>
          <a:off x="10166350" y="0"/>
          <a:ext cx="2362200" cy="533400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PROFILE</a:t>
          </a:r>
        </a:p>
      </xdr:txBody>
    </xdr:sp>
    <xdr:clientData/>
  </xdr:twoCellAnchor>
  <xdr:twoCellAnchor>
    <xdr:from>
      <xdr:col>17</xdr:col>
      <xdr:colOff>565150</xdr:colOff>
      <xdr:row>2</xdr:row>
      <xdr:rowOff>180975</xdr:rowOff>
    </xdr:from>
    <xdr:to>
      <xdr:col>22</xdr:col>
      <xdr:colOff>22225</xdr:colOff>
      <xdr:row>5</xdr:row>
      <xdr:rowOff>142875</xdr:rowOff>
    </xdr:to>
    <xdr:sp macro="" textlink="">
      <xdr:nvSpPr>
        <xdr:cNvPr id="16" name="Arrow: Left 15">
          <a:hlinkClick xmlns:r="http://schemas.openxmlformats.org/officeDocument/2006/relationships" r:id="rId11" tooltip="RECORDS"/>
          <a:extLst>
            <a:ext uri="{FF2B5EF4-FFF2-40B4-BE49-F238E27FC236}">
              <a16:creationId xmlns:a16="http://schemas.microsoft.com/office/drawing/2014/main" id="{F305AFDC-2294-477E-AA08-E1E65A9F401C}"/>
            </a:ext>
          </a:extLst>
        </xdr:cNvPr>
        <xdr:cNvSpPr/>
      </xdr:nvSpPr>
      <xdr:spPr>
        <a:xfrm>
          <a:off x="10166350" y="561975"/>
          <a:ext cx="2362200" cy="533400"/>
        </a:xfrm>
        <a:prstGeom prst="leftArrow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RECORDS</a:t>
          </a:r>
        </a:p>
      </xdr:txBody>
    </xdr:sp>
    <xdr:clientData/>
  </xdr:twoCellAnchor>
  <xdr:twoCellAnchor>
    <xdr:from>
      <xdr:col>18</xdr:col>
      <xdr:colOff>0</xdr:colOff>
      <xdr:row>5</xdr:row>
      <xdr:rowOff>161925</xdr:rowOff>
    </xdr:from>
    <xdr:to>
      <xdr:col>22</xdr:col>
      <xdr:colOff>38100</xdr:colOff>
      <xdr:row>8</xdr:row>
      <xdr:rowOff>171450</xdr:rowOff>
    </xdr:to>
    <xdr:sp macro="" textlink="">
      <xdr:nvSpPr>
        <xdr:cNvPr id="18" name="Arrow: Left 17">
          <a:hlinkClick xmlns:r="http://schemas.openxmlformats.org/officeDocument/2006/relationships" r:id="rId12" tooltip="TRADING"/>
          <a:extLst>
            <a:ext uri="{FF2B5EF4-FFF2-40B4-BE49-F238E27FC236}">
              <a16:creationId xmlns:a16="http://schemas.microsoft.com/office/drawing/2014/main" id="{005E921E-5732-42DD-BC53-3AACF3329077}"/>
            </a:ext>
          </a:extLst>
        </xdr:cNvPr>
        <xdr:cNvSpPr/>
      </xdr:nvSpPr>
      <xdr:spPr>
        <a:xfrm>
          <a:off x="10182225" y="1114425"/>
          <a:ext cx="2362200" cy="533400"/>
        </a:xfrm>
        <a:prstGeom prst="left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TRADING A/C</a:t>
          </a:r>
        </a:p>
      </xdr:txBody>
    </xdr:sp>
    <xdr:clientData/>
  </xdr:twoCellAnchor>
  <xdr:twoCellAnchor>
    <xdr:from>
      <xdr:col>1</xdr:col>
      <xdr:colOff>123825</xdr:colOff>
      <xdr:row>2</xdr:row>
      <xdr:rowOff>133350</xdr:rowOff>
    </xdr:from>
    <xdr:to>
      <xdr:col>5</xdr:col>
      <xdr:colOff>161925</xdr:colOff>
      <xdr:row>5</xdr:row>
      <xdr:rowOff>95250</xdr:rowOff>
    </xdr:to>
    <xdr:sp macro="" textlink="">
      <xdr:nvSpPr>
        <xdr:cNvPr id="3" name="Arrow: Left 2">
          <a:hlinkClick xmlns:r="http://schemas.openxmlformats.org/officeDocument/2006/relationships" r:id="rId7" tooltip="LEVY"/>
          <a:extLst>
            <a:ext uri="{FF2B5EF4-FFF2-40B4-BE49-F238E27FC236}">
              <a16:creationId xmlns:a16="http://schemas.microsoft.com/office/drawing/2014/main" id="{EA79737F-7A99-8363-2E91-138D2B2FA83D}"/>
            </a:ext>
          </a:extLst>
        </xdr:cNvPr>
        <xdr:cNvSpPr/>
      </xdr:nvSpPr>
      <xdr:spPr>
        <a:xfrm>
          <a:off x="428625" y="514350"/>
          <a:ext cx="2362200" cy="533400"/>
        </a:xfrm>
        <a:prstGeom prst="leftArrow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LEVY</a:t>
          </a:r>
        </a:p>
      </xdr:txBody>
    </xdr:sp>
    <xdr:clientData/>
  </xdr:twoCellAnchor>
  <xdr:twoCellAnchor>
    <xdr:from>
      <xdr:col>1</xdr:col>
      <xdr:colOff>146050</xdr:colOff>
      <xdr:row>0</xdr:row>
      <xdr:rowOff>6350</xdr:rowOff>
    </xdr:from>
    <xdr:to>
      <xdr:col>5</xdr:col>
      <xdr:colOff>184150</xdr:colOff>
      <xdr:row>2</xdr:row>
      <xdr:rowOff>126226</xdr:rowOff>
    </xdr:to>
    <xdr:sp macro="" textlink="">
      <xdr:nvSpPr>
        <xdr:cNvPr id="4" name="Arrow: Left 3">
          <a:hlinkClick xmlns:r="http://schemas.openxmlformats.org/officeDocument/2006/relationships" r:id="rId8" tooltip="DUES"/>
          <a:extLst>
            <a:ext uri="{FF2B5EF4-FFF2-40B4-BE49-F238E27FC236}">
              <a16:creationId xmlns:a16="http://schemas.microsoft.com/office/drawing/2014/main" id="{5E2E22F8-B612-2623-8FC0-2EB4408FC469}"/>
            </a:ext>
          </a:extLst>
        </xdr:cNvPr>
        <xdr:cNvSpPr/>
      </xdr:nvSpPr>
      <xdr:spPr>
        <a:xfrm>
          <a:off x="450850" y="6350"/>
          <a:ext cx="2362200" cy="500876"/>
        </a:xfrm>
        <a:prstGeom prst="leftArrow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DUES</a:t>
          </a:r>
        </a:p>
      </xdr:txBody>
    </xdr:sp>
    <xdr:clientData/>
  </xdr:twoCellAnchor>
  <xdr:twoCellAnchor>
    <xdr:from>
      <xdr:col>1</xdr:col>
      <xdr:colOff>136525</xdr:colOff>
      <xdr:row>5</xdr:row>
      <xdr:rowOff>38099</xdr:rowOff>
    </xdr:from>
    <xdr:to>
      <xdr:col>5</xdr:col>
      <xdr:colOff>174625</xdr:colOff>
      <xdr:row>8</xdr:row>
      <xdr:rowOff>76199</xdr:rowOff>
    </xdr:to>
    <xdr:sp macro="" textlink="">
      <xdr:nvSpPr>
        <xdr:cNvPr id="5" name="Arrow: Left 4">
          <a:hlinkClick xmlns:r="http://schemas.openxmlformats.org/officeDocument/2006/relationships" r:id="rId9" tooltip="TREASURER BILL"/>
          <a:extLst>
            <a:ext uri="{FF2B5EF4-FFF2-40B4-BE49-F238E27FC236}">
              <a16:creationId xmlns:a16="http://schemas.microsoft.com/office/drawing/2014/main" id="{AE63567D-E507-8CAC-E71A-D6C4B18A6347}"/>
            </a:ext>
          </a:extLst>
        </xdr:cNvPr>
        <xdr:cNvSpPr/>
      </xdr:nvSpPr>
      <xdr:spPr>
        <a:xfrm>
          <a:off x="441325" y="990599"/>
          <a:ext cx="2362200" cy="561975"/>
        </a:xfrm>
        <a:prstGeom prst="left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TREASURER BILL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555624</xdr:colOff>
      <xdr:row>6</xdr:row>
      <xdr:rowOff>114300</xdr:rowOff>
    </xdr:from>
    <xdr:to>
      <xdr:col>19</xdr:col>
      <xdr:colOff>561975</xdr:colOff>
      <xdr:row>31</xdr:row>
      <xdr:rowOff>57150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BC703042-0104-41FD-AC47-D7F3116E7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7</xdr:col>
      <xdr:colOff>317500</xdr:colOff>
      <xdr:row>1</xdr:row>
      <xdr:rowOff>0</xdr:rowOff>
    </xdr:from>
    <xdr:to>
      <xdr:col>14</xdr:col>
      <xdr:colOff>317500</xdr:colOff>
      <xdr:row>4</xdr:row>
      <xdr:rowOff>88900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90065B0-B460-41C5-9C78-0418F522837C}"/>
            </a:ext>
          </a:extLst>
        </xdr:cNvPr>
        <xdr:cNvGrpSpPr/>
      </xdr:nvGrpSpPr>
      <xdr:grpSpPr>
        <a:xfrm>
          <a:off x="4108450" y="190500"/>
          <a:ext cx="4067175" cy="660400"/>
          <a:chOff x="1692764" y="274587"/>
          <a:chExt cx="2581257" cy="390048"/>
        </a:xfrm>
        <a:solidFill>
          <a:srgbClr val="C00000"/>
        </a:solidFill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019FC371-CC46-4007-9CE0-C99B512697CD}"/>
              </a:ext>
            </a:extLst>
          </xdr:cNvPr>
          <xdr:cNvSpPr/>
        </xdr:nvSpPr>
        <xdr:spPr>
          <a:xfrm>
            <a:off x="1692764" y="274587"/>
            <a:ext cx="2581257" cy="390048"/>
          </a:xfrm>
          <a:prstGeom prst="roundRect">
            <a:avLst/>
          </a:prstGeom>
          <a:grpFill/>
          <a:sp3d z="300000" contourW="19050" prstMaterial="metal">
            <a:bevelT w="88900" h="203200"/>
            <a:bevelB w="165100" h="254000"/>
          </a:sp3d>
        </xdr:spPr>
        <xdr:style>
          <a:lnRef idx="0">
            <a:schemeClr val="accent6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5" name="Rectangle: Rounded Corners 4">
            <a:hlinkClick xmlns:r="http://schemas.openxmlformats.org/officeDocument/2006/relationships" r:id="rId6" tooltip="DASHBOARD"/>
            <a:extLst>
              <a:ext uri="{FF2B5EF4-FFF2-40B4-BE49-F238E27FC236}">
                <a16:creationId xmlns:a16="http://schemas.microsoft.com/office/drawing/2014/main" id="{84B0A648-4141-7526-F854-D3AC2E7C1466}"/>
              </a:ext>
            </a:extLst>
          </xdr:cNvPr>
          <xdr:cNvSpPr txBox="1"/>
        </xdr:nvSpPr>
        <xdr:spPr>
          <a:xfrm>
            <a:off x="1711805" y="293628"/>
            <a:ext cx="2543175" cy="351966"/>
          </a:xfrm>
          <a:prstGeom prst="rect">
            <a:avLst/>
          </a:prstGeom>
          <a:grpFill/>
          <a:sp3d z="30000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8580" tIns="68580" rIns="68580" bIns="68580" numCol="1" spcCol="1270" anchor="ctr" anchorCtr="0">
            <a:noAutofit/>
          </a:bodyPr>
          <a:lstStyle/>
          <a:p>
            <a:pPr marL="0" lvl="0" indent="0" algn="ctr" defTabSz="8001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GB" sz="2800" b="1" kern="1200">
                <a:solidFill>
                  <a:schemeClr val="bg1"/>
                </a:solidFill>
                <a:latin typeface="Arial Black" panose="020B0A04020102020204" pitchFamily="34" charset="0"/>
              </a:rPr>
              <a:t>ACCOUNTS</a:t>
            </a:r>
          </a:p>
        </xdr:txBody>
      </xdr:sp>
    </xdr:grpSp>
    <xdr:clientData/>
  </xdr:twoCellAnchor>
  <xdr:twoCellAnchor>
    <xdr:from>
      <xdr:col>10</xdr:col>
      <xdr:colOff>266700</xdr:colOff>
      <xdr:row>4</xdr:row>
      <xdr:rowOff>63500</xdr:rowOff>
    </xdr:from>
    <xdr:to>
      <xdr:col>10</xdr:col>
      <xdr:colOff>571500</xdr:colOff>
      <xdr:row>4</xdr:row>
      <xdr:rowOff>109219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06691CF-BF98-47E8-A1DB-A2BB29BC9935}"/>
            </a:ext>
          </a:extLst>
        </xdr:cNvPr>
        <xdr:cNvSpPr/>
      </xdr:nvSpPr>
      <xdr:spPr>
        <a:xfrm>
          <a:off x="5800725" y="825500"/>
          <a:ext cx="304800" cy="4571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485776</xdr:colOff>
      <xdr:row>1</xdr:row>
      <xdr:rowOff>19050</xdr:rowOff>
    </xdr:from>
    <xdr:to>
      <xdr:col>17</xdr:col>
      <xdr:colOff>419101</xdr:colOff>
      <xdr:row>4</xdr:row>
      <xdr:rowOff>107950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F4B0012E-DDBF-16DF-89BA-09B87A6BB48D}"/>
            </a:ext>
          </a:extLst>
        </xdr:cNvPr>
        <xdr:cNvGrpSpPr/>
      </xdr:nvGrpSpPr>
      <xdr:grpSpPr>
        <a:xfrm>
          <a:off x="3695701" y="209550"/>
          <a:ext cx="6324600" cy="660400"/>
          <a:chOff x="1692764" y="274587"/>
          <a:chExt cx="2581257" cy="390048"/>
        </a:xfrm>
        <a:solidFill>
          <a:srgbClr val="C00000"/>
        </a:solidFill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7458B5CA-E76C-7C74-25D1-C6E09A43BBF8}"/>
              </a:ext>
            </a:extLst>
          </xdr:cNvPr>
          <xdr:cNvSpPr/>
        </xdr:nvSpPr>
        <xdr:spPr>
          <a:xfrm>
            <a:off x="1692764" y="274587"/>
            <a:ext cx="2581257" cy="390048"/>
          </a:xfrm>
          <a:prstGeom prst="roundRect">
            <a:avLst/>
          </a:prstGeom>
          <a:grpFill/>
          <a:sp3d z="300000" contourW="19050" prstMaterial="metal">
            <a:bevelT w="88900" h="203200"/>
            <a:bevelB w="165100" h="254000"/>
          </a:sp3d>
        </xdr:spPr>
        <xdr:style>
          <a:lnRef idx="0">
            <a:schemeClr val="accent6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3" name="Rectangle: Rounded Corners 4">
            <a:hlinkClick xmlns:r="http://schemas.openxmlformats.org/officeDocument/2006/relationships" r:id="rId6" tooltip="DASHBOARD"/>
            <a:extLst>
              <a:ext uri="{FF2B5EF4-FFF2-40B4-BE49-F238E27FC236}">
                <a16:creationId xmlns:a16="http://schemas.microsoft.com/office/drawing/2014/main" id="{6208DB81-0355-73D2-1B2E-75144408221B}"/>
              </a:ext>
            </a:extLst>
          </xdr:cNvPr>
          <xdr:cNvSpPr txBox="1"/>
        </xdr:nvSpPr>
        <xdr:spPr>
          <a:xfrm>
            <a:off x="1711805" y="293628"/>
            <a:ext cx="2543175" cy="351966"/>
          </a:xfrm>
          <a:prstGeom prst="rect">
            <a:avLst/>
          </a:prstGeom>
          <a:grpFill/>
          <a:sp3d z="30000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8580" tIns="68580" rIns="68580" bIns="68580" numCol="1" spcCol="1270" anchor="ctr" anchorCtr="0">
            <a:noAutofit/>
          </a:bodyPr>
          <a:lstStyle/>
          <a:p>
            <a:pPr marL="0" lvl="0" indent="0" algn="ctr" defTabSz="8001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GB" sz="2800" b="1" kern="1200">
                <a:solidFill>
                  <a:schemeClr val="bg1"/>
                </a:solidFill>
                <a:latin typeface="Arial Black" panose="020B0A04020102020204" pitchFamily="34" charset="0"/>
              </a:rPr>
              <a:t>TREASURER</a:t>
            </a:r>
            <a:r>
              <a:rPr lang="en-GB" sz="2800" b="1" kern="1200" baseline="0">
                <a:solidFill>
                  <a:schemeClr val="bg1"/>
                </a:solidFill>
                <a:latin typeface="Arial Black" panose="020B0A04020102020204" pitchFamily="34" charset="0"/>
              </a:rPr>
              <a:t> BILLS</a:t>
            </a:r>
            <a:endParaRPr lang="en-GB" sz="2800" b="1" kern="12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2</xdr:col>
      <xdr:colOff>206375</xdr:colOff>
      <xdr:row>2</xdr:row>
      <xdr:rowOff>142875</xdr:rowOff>
    </xdr:from>
    <xdr:to>
      <xdr:col>6</xdr:col>
      <xdr:colOff>244475</xdr:colOff>
      <xdr:row>5</xdr:row>
      <xdr:rowOff>104775</xdr:rowOff>
    </xdr:to>
    <xdr:sp macro="" textlink="">
      <xdr:nvSpPr>
        <xdr:cNvPr id="15" name="Arrow: Left 14">
          <a:hlinkClick xmlns:r="http://schemas.openxmlformats.org/officeDocument/2006/relationships" r:id="rId7" tooltip="LEVY"/>
          <a:extLst>
            <a:ext uri="{FF2B5EF4-FFF2-40B4-BE49-F238E27FC236}">
              <a16:creationId xmlns:a16="http://schemas.microsoft.com/office/drawing/2014/main" id="{FFFE3B46-DFEE-493E-BD85-FA39ABD66A27}"/>
            </a:ext>
          </a:extLst>
        </xdr:cNvPr>
        <xdr:cNvSpPr/>
      </xdr:nvSpPr>
      <xdr:spPr>
        <a:xfrm>
          <a:off x="1092200" y="523875"/>
          <a:ext cx="2362200" cy="533400"/>
        </a:xfrm>
        <a:prstGeom prst="leftArrow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LEVY</a:t>
          </a:r>
        </a:p>
      </xdr:txBody>
    </xdr:sp>
    <xdr:clientData/>
  </xdr:twoCellAnchor>
  <xdr:twoCellAnchor>
    <xdr:from>
      <xdr:col>2</xdr:col>
      <xdr:colOff>228600</xdr:colOff>
      <xdr:row>0</xdr:row>
      <xdr:rowOff>15875</xdr:rowOff>
    </xdr:from>
    <xdr:to>
      <xdr:col>6</xdr:col>
      <xdr:colOff>266700</xdr:colOff>
      <xdr:row>2</xdr:row>
      <xdr:rowOff>135751</xdr:rowOff>
    </xdr:to>
    <xdr:sp macro="" textlink="">
      <xdr:nvSpPr>
        <xdr:cNvPr id="16" name="Arrow: Left 15">
          <a:hlinkClick xmlns:r="http://schemas.openxmlformats.org/officeDocument/2006/relationships" r:id="rId8" tooltip="DUES"/>
          <a:extLst>
            <a:ext uri="{FF2B5EF4-FFF2-40B4-BE49-F238E27FC236}">
              <a16:creationId xmlns:a16="http://schemas.microsoft.com/office/drawing/2014/main" id="{E066A690-CDE5-4E19-AE37-8D6BCBE17C44}"/>
            </a:ext>
          </a:extLst>
        </xdr:cNvPr>
        <xdr:cNvSpPr/>
      </xdr:nvSpPr>
      <xdr:spPr>
        <a:xfrm>
          <a:off x="1114425" y="15875"/>
          <a:ext cx="2362200" cy="500876"/>
        </a:xfrm>
        <a:prstGeom prst="leftArrow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DUES</a:t>
          </a:r>
        </a:p>
      </xdr:txBody>
    </xdr:sp>
    <xdr:clientData/>
  </xdr:twoCellAnchor>
  <xdr:twoCellAnchor>
    <xdr:from>
      <xdr:col>2</xdr:col>
      <xdr:colOff>190500</xdr:colOff>
      <xdr:row>5</xdr:row>
      <xdr:rowOff>104775</xdr:rowOff>
    </xdr:from>
    <xdr:to>
      <xdr:col>6</xdr:col>
      <xdr:colOff>228600</xdr:colOff>
      <xdr:row>8</xdr:row>
      <xdr:rowOff>114300</xdr:rowOff>
    </xdr:to>
    <xdr:sp macro="" textlink="">
      <xdr:nvSpPr>
        <xdr:cNvPr id="17" name="Arrow: Left 16">
          <a:hlinkClick xmlns:r="http://schemas.openxmlformats.org/officeDocument/2006/relationships" r:id="rId9" tooltip="ACCOUNTS"/>
          <a:extLst>
            <a:ext uri="{FF2B5EF4-FFF2-40B4-BE49-F238E27FC236}">
              <a16:creationId xmlns:a16="http://schemas.microsoft.com/office/drawing/2014/main" id="{5937172C-9B0A-4937-9901-47E659BA9CE5}"/>
            </a:ext>
          </a:extLst>
        </xdr:cNvPr>
        <xdr:cNvSpPr/>
      </xdr:nvSpPr>
      <xdr:spPr>
        <a:xfrm>
          <a:off x="1076325" y="1057275"/>
          <a:ext cx="2362200" cy="5334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ACCOUNTS</a:t>
          </a:r>
        </a:p>
      </xdr:txBody>
    </xdr:sp>
    <xdr:clientData/>
  </xdr:twoCellAnchor>
  <xdr:twoCellAnchor>
    <xdr:from>
      <xdr:col>17</xdr:col>
      <xdr:colOff>542925</xdr:colOff>
      <xdr:row>0</xdr:row>
      <xdr:rowOff>0</xdr:rowOff>
    </xdr:from>
    <xdr:to>
      <xdr:col>22</xdr:col>
      <xdr:colOff>0</xdr:colOff>
      <xdr:row>2</xdr:row>
      <xdr:rowOff>152400</xdr:rowOff>
    </xdr:to>
    <xdr:sp macro="" textlink="">
      <xdr:nvSpPr>
        <xdr:cNvPr id="19" name="Arrow: Left 18">
          <a:hlinkClick xmlns:r="http://schemas.openxmlformats.org/officeDocument/2006/relationships" r:id="rId10" tooltip="PROFILE"/>
          <a:extLst>
            <a:ext uri="{FF2B5EF4-FFF2-40B4-BE49-F238E27FC236}">
              <a16:creationId xmlns:a16="http://schemas.microsoft.com/office/drawing/2014/main" id="{7502559F-27DA-423B-9491-BBFA0F3CAE28}"/>
            </a:ext>
          </a:extLst>
        </xdr:cNvPr>
        <xdr:cNvSpPr/>
      </xdr:nvSpPr>
      <xdr:spPr>
        <a:xfrm>
          <a:off x="10144125" y="0"/>
          <a:ext cx="2362200" cy="533400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PROFILE</a:t>
          </a:r>
        </a:p>
      </xdr:txBody>
    </xdr:sp>
    <xdr:clientData/>
  </xdr:twoCellAnchor>
  <xdr:twoCellAnchor>
    <xdr:from>
      <xdr:col>17</xdr:col>
      <xdr:colOff>542925</xdr:colOff>
      <xdr:row>2</xdr:row>
      <xdr:rowOff>180975</xdr:rowOff>
    </xdr:from>
    <xdr:to>
      <xdr:col>22</xdr:col>
      <xdr:colOff>0</xdr:colOff>
      <xdr:row>5</xdr:row>
      <xdr:rowOff>142875</xdr:rowOff>
    </xdr:to>
    <xdr:sp macro="" textlink="">
      <xdr:nvSpPr>
        <xdr:cNvPr id="20" name="Arrow: Left 19">
          <a:hlinkClick xmlns:r="http://schemas.openxmlformats.org/officeDocument/2006/relationships" r:id="rId11" tooltip="RECORDS"/>
          <a:extLst>
            <a:ext uri="{FF2B5EF4-FFF2-40B4-BE49-F238E27FC236}">
              <a16:creationId xmlns:a16="http://schemas.microsoft.com/office/drawing/2014/main" id="{9C831F2B-CABE-4227-8D11-8E3BFBE57100}"/>
            </a:ext>
          </a:extLst>
        </xdr:cNvPr>
        <xdr:cNvSpPr/>
      </xdr:nvSpPr>
      <xdr:spPr>
        <a:xfrm>
          <a:off x="10144125" y="561975"/>
          <a:ext cx="2362200" cy="533400"/>
        </a:xfrm>
        <a:prstGeom prst="leftArrow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RECORDS</a:t>
          </a:r>
        </a:p>
      </xdr:txBody>
    </xdr:sp>
    <xdr:clientData/>
  </xdr:twoCellAnchor>
  <xdr:twoCellAnchor>
    <xdr:from>
      <xdr:col>17</xdr:col>
      <xdr:colOff>561975</xdr:colOff>
      <xdr:row>5</xdr:row>
      <xdr:rowOff>142875</xdr:rowOff>
    </xdr:from>
    <xdr:to>
      <xdr:col>22</xdr:col>
      <xdr:colOff>19050</xdr:colOff>
      <xdr:row>8</xdr:row>
      <xdr:rowOff>152400</xdr:rowOff>
    </xdr:to>
    <xdr:sp macro="" textlink="">
      <xdr:nvSpPr>
        <xdr:cNvPr id="22" name="Arrow: Left 21">
          <a:hlinkClick xmlns:r="http://schemas.openxmlformats.org/officeDocument/2006/relationships" r:id="rId12" tooltip="TRADING"/>
          <a:extLst>
            <a:ext uri="{FF2B5EF4-FFF2-40B4-BE49-F238E27FC236}">
              <a16:creationId xmlns:a16="http://schemas.microsoft.com/office/drawing/2014/main" id="{D79A8763-4F19-4F48-A31F-D5FBA45BAF08}"/>
            </a:ext>
          </a:extLst>
        </xdr:cNvPr>
        <xdr:cNvSpPr/>
      </xdr:nvSpPr>
      <xdr:spPr>
        <a:xfrm>
          <a:off x="10163175" y="1095375"/>
          <a:ext cx="2362200" cy="533400"/>
        </a:xfrm>
        <a:prstGeom prst="left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TRADING A/C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555624</xdr:colOff>
      <xdr:row>6</xdr:row>
      <xdr:rowOff>114300</xdr:rowOff>
    </xdr:from>
    <xdr:to>
      <xdr:col>19</xdr:col>
      <xdr:colOff>561975</xdr:colOff>
      <xdr:row>33</xdr:row>
      <xdr:rowOff>57150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9650E593-123C-449C-BBA5-20479B631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7</xdr:col>
      <xdr:colOff>317500</xdr:colOff>
      <xdr:row>1</xdr:row>
      <xdr:rowOff>0</xdr:rowOff>
    </xdr:from>
    <xdr:to>
      <xdr:col>14</xdr:col>
      <xdr:colOff>317500</xdr:colOff>
      <xdr:row>4</xdr:row>
      <xdr:rowOff>88900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1D189F3-6DA4-44A8-8B40-716D7D66694F}"/>
            </a:ext>
          </a:extLst>
        </xdr:cNvPr>
        <xdr:cNvGrpSpPr/>
      </xdr:nvGrpSpPr>
      <xdr:grpSpPr>
        <a:xfrm>
          <a:off x="4108450" y="190500"/>
          <a:ext cx="4067175" cy="660400"/>
          <a:chOff x="1692764" y="274587"/>
          <a:chExt cx="2581257" cy="390048"/>
        </a:xfrm>
        <a:solidFill>
          <a:srgbClr val="C00000"/>
        </a:solidFill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201B1A12-CD39-E66A-9CC3-1295A9999AF8}"/>
              </a:ext>
            </a:extLst>
          </xdr:cNvPr>
          <xdr:cNvSpPr/>
        </xdr:nvSpPr>
        <xdr:spPr>
          <a:xfrm>
            <a:off x="1692764" y="274587"/>
            <a:ext cx="2581257" cy="390048"/>
          </a:xfrm>
          <a:prstGeom prst="roundRect">
            <a:avLst/>
          </a:prstGeom>
          <a:grpFill/>
          <a:sp3d z="300000" contourW="19050" prstMaterial="metal">
            <a:bevelT w="88900" h="203200"/>
            <a:bevelB w="165100" h="254000"/>
          </a:sp3d>
        </xdr:spPr>
        <xdr:style>
          <a:lnRef idx="0">
            <a:schemeClr val="accent6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5" name="Rectangle: Rounded Corners 4">
            <a:hlinkClick xmlns:r="http://schemas.openxmlformats.org/officeDocument/2006/relationships" r:id="rId6" tooltip="DASHBOARD"/>
            <a:extLst>
              <a:ext uri="{FF2B5EF4-FFF2-40B4-BE49-F238E27FC236}">
                <a16:creationId xmlns:a16="http://schemas.microsoft.com/office/drawing/2014/main" id="{0D4F2806-E830-9B72-A617-5A3388B3A182}"/>
              </a:ext>
            </a:extLst>
          </xdr:cNvPr>
          <xdr:cNvSpPr txBox="1"/>
        </xdr:nvSpPr>
        <xdr:spPr>
          <a:xfrm>
            <a:off x="1711805" y="293628"/>
            <a:ext cx="2543175" cy="351966"/>
          </a:xfrm>
          <a:prstGeom prst="rect">
            <a:avLst/>
          </a:prstGeom>
          <a:grpFill/>
          <a:sp3d z="30000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8580" tIns="68580" rIns="68580" bIns="68580" numCol="1" spcCol="1270" anchor="ctr" anchorCtr="0">
            <a:noAutofit/>
          </a:bodyPr>
          <a:lstStyle/>
          <a:p>
            <a:pPr marL="0" lvl="0" indent="0" algn="ctr" defTabSz="8001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GB" sz="2800" b="1" kern="1200">
                <a:solidFill>
                  <a:schemeClr val="bg1"/>
                </a:solidFill>
                <a:latin typeface="Arial Black" panose="020B0A04020102020204" pitchFamily="34" charset="0"/>
              </a:rPr>
              <a:t>ACCOUNTS</a:t>
            </a:r>
          </a:p>
        </xdr:txBody>
      </xdr:sp>
    </xdr:grpSp>
    <xdr:clientData/>
  </xdr:twoCellAnchor>
  <xdr:twoCellAnchor>
    <xdr:from>
      <xdr:col>10</xdr:col>
      <xdr:colOff>266700</xdr:colOff>
      <xdr:row>4</xdr:row>
      <xdr:rowOff>63500</xdr:rowOff>
    </xdr:from>
    <xdr:to>
      <xdr:col>10</xdr:col>
      <xdr:colOff>571500</xdr:colOff>
      <xdr:row>4</xdr:row>
      <xdr:rowOff>109219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C925E8D-E573-4A20-983D-1CFFEEB678D7}"/>
            </a:ext>
          </a:extLst>
        </xdr:cNvPr>
        <xdr:cNvSpPr/>
      </xdr:nvSpPr>
      <xdr:spPr>
        <a:xfrm>
          <a:off x="5800725" y="825500"/>
          <a:ext cx="304800" cy="4571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346075</xdr:colOff>
      <xdr:row>1</xdr:row>
      <xdr:rowOff>19050</xdr:rowOff>
    </xdr:from>
    <xdr:to>
      <xdr:col>16</xdr:col>
      <xdr:colOff>533400</xdr:colOff>
      <xdr:row>4</xdr:row>
      <xdr:rowOff>107950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339751A5-2D21-4A51-982C-4793CEA96916}"/>
            </a:ext>
          </a:extLst>
        </xdr:cNvPr>
        <xdr:cNvGrpSpPr/>
      </xdr:nvGrpSpPr>
      <xdr:grpSpPr>
        <a:xfrm>
          <a:off x="4137025" y="209550"/>
          <a:ext cx="5416550" cy="660400"/>
          <a:chOff x="1692764" y="274587"/>
          <a:chExt cx="2581257" cy="390048"/>
        </a:xfrm>
        <a:solidFill>
          <a:srgbClr val="C00000"/>
        </a:solidFill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FCAB5B5-D511-9E17-B068-856943B52A9C}"/>
              </a:ext>
            </a:extLst>
          </xdr:cNvPr>
          <xdr:cNvSpPr/>
        </xdr:nvSpPr>
        <xdr:spPr>
          <a:xfrm>
            <a:off x="1692764" y="274587"/>
            <a:ext cx="2581257" cy="390048"/>
          </a:xfrm>
          <a:prstGeom prst="roundRect">
            <a:avLst/>
          </a:prstGeom>
          <a:grpFill/>
          <a:sp3d z="300000" contourW="19050" prstMaterial="metal">
            <a:bevelT w="88900" h="203200"/>
            <a:bevelB w="165100" h="254000"/>
          </a:sp3d>
        </xdr:spPr>
        <xdr:style>
          <a:lnRef idx="0">
            <a:schemeClr val="accent6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3" name="Rectangle: Rounded Corners 4">
            <a:hlinkClick xmlns:r="http://schemas.openxmlformats.org/officeDocument/2006/relationships" r:id="rId6" tooltip="DASHBOARD"/>
            <a:extLst>
              <a:ext uri="{FF2B5EF4-FFF2-40B4-BE49-F238E27FC236}">
                <a16:creationId xmlns:a16="http://schemas.microsoft.com/office/drawing/2014/main" id="{F5D91E5F-C7FC-D6E1-8916-5E1DFF5A46D9}"/>
              </a:ext>
            </a:extLst>
          </xdr:cNvPr>
          <xdr:cNvSpPr txBox="1"/>
        </xdr:nvSpPr>
        <xdr:spPr>
          <a:xfrm>
            <a:off x="1711805" y="293628"/>
            <a:ext cx="2543175" cy="351966"/>
          </a:xfrm>
          <a:prstGeom prst="rect">
            <a:avLst/>
          </a:prstGeom>
          <a:grpFill/>
          <a:sp3d z="30000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8580" tIns="68580" rIns="68580" bIns="68580" numCol="1" spcCol="1270" anchor="ctr" anchorCtr="0">
            <a:noAutofit/>
          </a:bodyPr>
          <a:lstStyle/>
          <a:p>
            <a:pPr marL="0" lvl="0" indent="0" algn="ctr" defTabSz="8001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GB" sz="2800" b="1" kern="1200">
                <a:solidFill>
                  <a:schemeClr val="bg1"/>
                </a:solidFill>
                <a:latin typeface="Arial Black" panose="020B0A04020102020204" pitchFamily="34" charset="0"/>
              </a:rPr>
              <a:t>TRADING ACCOUNTS</a:t>
            </a:r>
          </a:p>
        </xdr:txBody>
      </xdr:sp>
    </xdr:grpSp>
    <xdr:clientData/>
  </xdr:twoCellAnchor>
  <xdr:twoCellAnchor>
    <xdr:from>
      <xdr:col>2</xdr:col>
      <xdr:colOff>149225</xdr:colOff>
      <xdr:row>2</xdr:row>
      <xdr:rowOff>142875</xdr:rowOff>
    </xdr:from>
    <xdr:to>
      <xdr:col>6</xdr:col>
      <xdr:colOff>187325</xdr:colOff>
      <xdr:row>5</xdr:row>
      <xdr:rowOff>104775</xdr:rowOff>
    </xdr:to>
    <xdr:sp macro="" textlink="">
      <xdr:nvSpPr>
        <xdr:cNvPr id="17" name="Arrow: Left 16">
          <a:hlinkClick xmlns:r="http://schemas.openxmlformats.org/officeDocument/2006/relationships" r:id="rId7" tooltip="LEVY"/>
          <a:extLst>
            <a:ext uri="{FF2B5EF4-FFF2-40B4-BE49-F238E27FC236}">
              <a16:creationId xmlns:a16="http://schemas.microsoft.com/office/drawing/2014/main" id="{32FF38E9-2D64-417B-8BC2-2C662E8FE18A}"/>
            </a:ext>
          </a:extLst>
        </xdr:cNvPr>
        <xdr:cNvSpPr/>
      </xdr:nvSpPr>
      <xdr:spPr>
        <a:xfrm>
          <a:off x="1035050" y="523875"/>
          <a:ext cx="2362200" cy="533400"/>
        </a:xfrm>
        <a:prstGeom prst="leftArrow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LEVY</a:t>
          </a:r>
        </a:p>
      </xdr:txBody>
    </xdr:sp>
    <xdr:clientData/>
  </xdr:twoCellAnchor>
  <xdr:twoCellAnchor>
    <xdr:from>
      <xdr:col>2</xdr:col>
      <xdr:colOff>171450</xdr:colOff>
      <xdr:row>0</xdr:row>
      <xdr:rowOff>15875</xdr:rowOff>
    </xdr:from>
    <xdr:to>
      <xdr:col>6</xdr:col>
      <xdr:colOff>209550</xdr:colOff>
      <xdr:row>2</xdr:row>
      <xdr:rowOff>135751</xdr:rowOff>
    </xdr:to>
    <xdr:sp macro="" textlink="">
      <xdr:nvSpPr>
        <xdr:cNvPr id="18" name="Arrow: Left 17">
          <a:hlinkClick xmlns:r="http://schemas.openxmlformats.org/officeDocument/2006/relationships" r:id="rId8" tooltip="DUES"/>
          <a:extLst>
            <a:ext uri="{FF2B5EF4-FFF2-40B4-BE49-F238E27FC236}">
              <a16:creationId xmlns:a16="http://schemas.microsoft.com/office/drawing/2014/main" id="{E3A3FCCB-E0A6-49AD-AFF8-C2A65BDA559D}"/>
            </a:ext>
          </a:extLst>
        </xdr:cNvPr>
        <xdr:cNvSpPr/>
      </xdr:nvSpPr>
      <xdr:spPr>
        <a:xfrm>
          <a:off x="1057275" y="15875"/>
          <a:ext cx="2362200" cy="500876"/>
        </a:xfrm>
        <a:prstGeom prst="leftArrow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DUES</a:t>
          </a:r>
        </a:p>
      </xdr:txBody>
    </xdr:sp>
    <xdr:clientData/>
  </xdr:twoCellAnchor>
  <xdr:twoCellAnchor>
    <xdr:from>
      <xdr:col>2</xdr:col>
      <xdr:colOff>133350</xdr:colOff>
      <xdr:row>5</xdr:row>
      <xdr:rowOff>104775</xdr:rowOff>
    </xdr:from>
    <xdr:to>
      <xdr:col>6</xdr:col>
      <xdr:colOff>171450</xdr:colOff>
      <xdr:row>8</xdr:row>
      <xdr:rowOff>114300</xdr:rowOff>
    </xdr:to>
    <xdr:sp macro="" textlink="">
      <xdr:nvSpPr>
        <xdr:cNvPr id="19" name="Arrow: Left 18">
          <a:hlinkClick xmlns:r="http://schemas.openxmlformats.org/officeDocument/2006/relationships" r:id="rId9" tooltip="ACCOUNTS"/>
          <a:extLst>
            <a:ext uri="{FF2B5EF4-FFF2-40B4-BE49-F238E27FC236}">
              <a16:creationId xmlns:a16="http://schemas.microsoft.com/office/drawing/2014/main" id="{DEB05816-AED1-409B-A6C0-FD3ED8800211}"/>
            </a:ext>
          </a:extLst>
        </xdr:cNvPr>
        <xdr:cNvSpPr/>
      </xdr:nvSpPr>
      <xdr:spPr>
        <a:xfrm>
          <a:off x="1019175" y="1057275"/>
          <a:ext cx="2362200" cy="5334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ACCOUNTS</a:t>
          </a:r>
        </a:p>
      </xdr:txBody>
    </xdr:sp>
    <xdr:clientData/>
  </xdr:twoCellAnchor>
  <xdr:twoCellAnchor>
    <xdr:from>
      <xdr:col>17</xdr:col>
      <xdr:colOff>485775</xdr:colOff>
      <xdr:row>5</xdr:row>
      <xdr:rowOff>123824</xdr:rowOff>
    </xdr:from>
    <xdr:to>
      <xdr:col>21</xdr:col>
      <xdr:colOff>523875</xdr:colOff>
      <xdr:row>8</xdr:row>
      <xdr:rowOff>161924</xdr:rowOff>
    </xdr:to>
    <xdr:sp macro="" textlink="">
      <xdr:nvSpPr>
        <xdr:cNvPr id="20" name="Arrow: Left 19">
          <a:hlinkClick xmlns:r="http://schemas.openxmlformats.org/officeDocument/2006/relationships" r:id="rId10" tooltip="TREASURER BILL"/>
          <a:extLst>
            <a:ext uri="{FF2B5EF4-FFF2-40B4-BE49-F238E27FC236}">
              <a16:creationId xmlns:a16="http://schemas.microsoft.com/office/drawing/2014/main" id="{5CE01B4C-45C6-4421-88AD-703C77BEE89B}"/>
            </a:ext>
          </a:extLst>
        </xdr:cNvPr>
        <xdr:cNvSpPr/>
      </xdr:nvSpPr>
      <xdr:spPr>
        <a:xfrm>
          <a:off x="10086975" y="1076324"/>
          <a:ext cx="2362200" cy="561975"/>
        </a:xfrm>
        <a:prstGeom prst="left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TREASURER BILL</a:t>
          </a:r>
        </a:p>
      </xdr:txBody>
    </xdr:sp>
    <xdr:clientData/>
  </xdr:twoCellAnchor>
  <xdr:twoCellAnchor>
    <xdr:from>
      <xdr:col>17</xdr:col>
      <xdr:colOff>485775</xdr:colOff>
      <xdr:row>0</xdr:row>
      <xdr:rowOff>0</xdr:rowOff>
    </xdr:from>
    <xdr:to>
      <xdr:col>21</xdr:col>
      <xdr:colOff>523875</xdr:colOff>
      <xdr:row>2</xdr:row>
      <xdr:rowOff>152400</xdr:rowOff>
    </xdr:to>
    <xdr:sp macro="" textlink="">
      <xdr:nvSpPr>
        <xdr:cNvPr id="21" name="Arrow: Left 20">
          <a:hlinkClick xmlns:r="http://schemas.openxmlformats.org/officeDocument/2006/relationships" r:id="rId11" tooltip="PROFILE"/>
          <a:extLst>
            <a:ext uri="{FF2B5EF4-FFF2-40B4-BE49-F238E27FC236}">
              <a16:creationId xmlns:a16="http://schemas.microsoft.com/office/drawing/2014/main" id="{719C280F-820A-4C12-A249-EA27F23C4128}"/>
            </a:ext>
          </a:extLst>
        </xdr:cNvPr>
        <xdr:cNvSpPr/>
      </xdr:nvSpPr>
      <xdr:spPr>
        <a:xfrm>
          <a:off x="10086975" y="0"/>
          <a:ext cx="2362200" cy="533400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PROFILE</a:t>
          </a:r>
        </a:p>
      </xdr:txBody>
    </xdr:sp>
    <xdr:clientData/>
  </xdr:twoCellAnchor>
  <xdr:twoCellAnchor>
    <xdr:from>
      <xdr:col>17</xdr:col>
      <xdr:colOff>485775</xdr:colOff>
      <xdr:row>2</xdr:row>
      <xdr:rowOff>180975</xdr:rowOff>
    </xdr:from>
    <xdr:to>
      <xdr:col>21</xdr:col>
      <xdr:colOff>523875</xdr:colOff>
      <xdr:row>5</xdr:row>
      <xdr:rowOff>142875</xdr:rowOff>
    </xdr:to>
    <xdr:sp macro="" textlink="">
      <xdr:nvSpPr>
        <xdr:cNvPr id="22" name="Arrow: Left 21">
          <a:hlinkClick xmlns:r="http://schemas.openxmlformats.org/officeDocument/2006/relationships" r:id="rId12" tooltip="RECORDS"/>
          <a:extLst>
            <a:ext uri="{FF2B5EF4-FFF2-40B4-BE49-F238E27FC236}">
              <a16:creationId xmlns:a16="http://schemas.microsoft.com/office/drawing/2014/main" id="{5B640C4A-3BCD-4342-93C1-0654A0EF06A6}"/>
            </a:ext>
          </a:extLst>
        </xdr:cNvPr>
        <xdr:cNvSpPr/>
      </xdr:nvSpPr>
      <xdr:spPr>
        <a:xfrm>
          <a:off x="10086975" y="561975"/>
          <a:ext cx="2362200" cy="533400"/>
        </a:xfrm>
        <a:prstGeom prst="leftArrow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RECORDS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142875</xdr:colOff>
      <xdr:row>1</xdr:row>
      <xdr:rowOff>0</xdr:rowOff>
    </xdr:from>
    <xdr:to>
      <xdr:col>19</xdr:col>
      <xdr:colOff>139700</xdr:colOff>
      <xdr:row>3</xdr:row>
      <xdr:rowOff>196850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5372100" y="142875"/>
          <a:ext cx="5807075" cy="654050"/>
          <a:chOff x="1692764" y="274587"/>
          <a:chExt cx="2581257" cy="390048"/>
        </a:xfrm>
        <a:solidFill>
          <a:srgbClr val="C00000"/>
        </a:solidFill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/>
        </xdr:nvSpPr>
        <xdr:spPr>
          <a:xfrm>
            <a:off x="1692764" y="274587"/>
            <a:ext cx="2581257" cy="390048"/>
          </a:xfrm>
          <a:prstGeom prst="roundRect">
            <a:avLst/>
          </a:prstGeom>
          <a:grpFill/>
          <a:sp3d z="300000" contourW="19050" prstMaterial="metal">
            <a:bevelT w="88900" h="203200"/>
            <a:bevelB w="165100" h="254000"/>
          </a:sp3d>
        </xdr:spPr>
        <xdr:style>
          <a:lnRef idx="0">
            <a:schemeClr val="accent6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4" name="Rectangle: Rounded Corners 4">
            <a:hlinkClick xmlns:r="http://schemas.openxmlformats.org/officeDocument/2006/relationships" r:id="rId1" tooltip="DASHBOARD"/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 txBox="1"/>
        </xdr:nvSpPr>
        <xdr:spPr>
          <a:xfrm>
            <a:off x="1711805" y="293628"/>
            <a:ext cx="2543175" cy="351966"/>
          </a:xfrm>
          <a:prstGeom prst="rect">
            <a:avLst/>
          </a:prstGeom>
          <a:grpFill/>
          <a:sp3d z="30000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8580" tIns="68580" rIns="68580" bIns="68580" numCol="1" spcCol="1270" anchor="ctr" anchorCtr="0">
            <a:noAutofit/>
          </a:bodyPr>
          <a:lstStyle/>
          <a:p>
            <a:pPr marL="0" lvl="0" indent="0" algn="ctr" defTabSz="8001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GB" sz="2800" b="1" kern="1200">
                <a:solidFill>
                  <a:schemeClr val="bg1"/>
                </a:solidFill>
                <a:latin typeface="Arial Black" panose="020B0A04020102020204" pitchFamily="34" charset="0"/>
              </a:rPr>
              <a:t>PERSONAL</a:t>
            </a:r>
            <a:r>
              <a:rPr lang="en-GB" sz="2800" b="1" kern="1200" baseline="0">
                <a:solidFill>
                  <a:schemeClr val="bg1"/>
                </a:solidFill>
                <a:latin typeface="Arial Black" panose="020B0A04020102020204" pitchFamily="34" charset="0"/>
              </a:rPr>
              <a:t> RECORD</a:t>
            </a:r>
            <a:endParaRPr lang="en-GB" sz="2800" b="1" kern="12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3</xdr:col>
      <xdr:colOff>317497</xdr:colOff>
      <xdr:row>9</xdr:row>
      <xdr:rowOff>123825</xdr:rowOff>
    </xdr:from>
    <xdr:to>
      <xdr:col>24</xdr:col>
      <xdr:colOff>409575</xdr:colOff>
      <xdr:row>24</xdr:row>
      <xdr:rowOff>57151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  <xdr:twoCellAnchor>
    <xdr:from>
      <xdr:col>4</xdr:col>
      <xdr:colOff>244475</xdr:colOff>
      <xdr:row>2</xdr:row>
      <xdr:rowOff>142875</xdr:rowOff>
    </xdr:from>
    <xdr:to>
      <xdr:col>8</xdr:col>
      <xdr:colOff>282575</xdr:colOff>
      <xdr:row>4</xdr:row>
      <xdr:rowOff>219075</xdr:rowOff>
    </xdr:to>
    <xdr:sp macro="" textlink="">
      <xdr:nvSpPr>
        <xdr:cNvPr id="5" name="Arrow: Left 4">
          <a:hlinkClick xmlns:r="http://schemas.openxmlformats.org/officeDocument/2006/relationships" r:id="rId7" tooltip="LEVY"/>
          <a:extLst>
            <a:ext uri="{FF2B5EF4-FFF2-40B4-BE49-F238E27FC236}">
              <a16:creationId xmlns:a16="http://schemas.microsoft.com/office/drawing/2014/main" id="{E5B05203-8B64-4954-9C66-B168189044A6}"/>
            </a:ext>
          </a:extLst>
        </xdr:cNvPr>
        <xdr:cNvSpPr/>
      </xdr:nvSpPr>
      <xdr:spPr>
        <a:xfrm>
          <a:off x="2568575" y="514350"/>
          <a:ext cx="2362200" cy="533400"/>
        </a:xfrm>
        <a:prstGeom prst="leftArrow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LEVY</a:t>
          </a:r>
        </a:p>
      </xdr:txBody>
    </xdr:sp>
    <xdr:clientData/>
  </xdr:twoCellAnchor>
  <xdr:twoCellAnchor>
    <xdr:from>
      <xdr:col>4</xdr:col>
      <xdr:colOff>266700</xdr:colOff>
      <xdr:row>0</xdr:row>
      <xdr:rowOff>6350</xdr:rowOff>
    </xdr:from>
    <xdr:to>
      <xdr:col>8</xdr:col>
      <xdr:colOff>304800</xdr:colOff>
      <xdr:row>2</xdr:row>
      <xdr:rowOff>135751</xdr:rowOff>
    </xdr:to>
    <xdr:sp macro="" textlink="">
      <xdr:nvSpPr>
        <xdr:cNvPr id="7" name="Arrow: Left 6">
          <a:hlinkClick xmlns:r="http://schemas.openxmlformats.org/officeDocument/2006/relationships" r:id="rId8" tooltip="DUES"/>
          <a:extLst>
            <a:ext uri="{FF2B5EF4-FFF2-40B4-BE49-F238E27FC236}">
              <a16:creationId xmlns:a16="http://schemas.microsoft.com/office/drawing/2014/main" id="{574B6E7E-D919-4FA1-A4F9-543FAEA9A3BA}"/>
            </a:ext>
          </a:extLst>
        </xdr:cNvPr>
        <xdr:cNvSpPr/>
      </xdr:nvSpPr>
      <xdr:spPr>
        <a:xfrm>
          <a:off x="2590800" y="6350"/>
          <a:ext cx="2362200" cy="500876"/>
        </a:xfrm>
        <a:prstGeom prst="leftArrow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DUES</a:t>
          </a:r>
        </a:p>
      </xdr:txBody>
    </xdr:sp>
    <xdr:clientData/>
  </xdr:twoCellAnchor>
  <xdr:twoCellAnchor>
    <xdr:from>
      <xdr:col>4</xdr:col>
      <xdr:colOff>228600</xdr:colOff>
      <xdr:row>4</xdr:row>
      <xdr:rowOff>219075</xdr:rowOff>
    </xdr:from>
    <xdr:to>
      <xdr:col>8</xdr:col>
      <xdr:colOff>266700</xdr:colOff>
      <xdr:row>7</xdr:row>
      <xdr:rowOff>171450</xdr:rowOff>
    </xdr:to>
    <xdr:sp macro="" textlink="">
      <xdr:nvSpPr>
        <xdr:cNvPr id="8" name="Arrow: Left 7">
          <a:hlinkClick xmlns:r="http://schemas.openxmlformats.org/officeDocument/2006/relationships" r:id="rId9" tooltip="ACCOUNTS"/>
          <a:extLst>
            <a:ext uri="{FF2B5EF4-FFF2-40B4-BE49-F238E27FC236}">
              <a16:creationId xmlns:a16="http://schemas.microsoft.com/office/drawing/2014/main" id="{48A08D23-A4DB-49C5-9D26-9C227BD6897F}"/>
            </a:ext>
          </a:extLst>
        </xdr:cNvPr>
        <xdr:cNvSpPr/>
      </xdr:nvSpPr>
      <xdr:spPr>
        <a:xfrm>
          <a:off x="2552700" y="1047750"/>
          <a:ext cx="2362200" cy="5334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ACCOUNTS</a:t>
          </a:r>
        </a:p>
      </xdr:txBody>
    </xdr:sp>
    <xdr:clientData/>
  </xdr:twoCellAnchor>
  <xdr:twoCellAnchor>
    <xdr:from>
      <xdr:col>20</xdr:col>
      <xdr:colOff>0</xdr:colOff>
      <xdr:row>5</xdr:row>
      <xdr:rowOff>9524</xdr:rowOff>
    </xdr:from>
    <xdr:to>
      <xdr:col>24</xdr:col>
      <xdr:colOff>38100</xdr:colOff>
      <xdr:row>7</xdr:row>
      <xdr:rowOff>219074</xdr:rowOff>
    </xdr:to>
    <xdr:sp macro="" textlink="">
      <xdr:nvSpPr>
        <xdr:cNvPr id="9" name="Arrow: Left 8">
          <a:hlinkClick xmlns:r="http://schemas.openxmlformats.org/officeDocument/2006/relationships" r:id="rId10" tooltip="TREASURER BILL"/>
          <a:extLst>
            <a:ext uri="{FF2B5EF4-FFF2-40B4-BE49-F238E27FC236}">
              <a16:creationId xmlns:a16="http://schemas.microsoft.com/office/drawing/2014/main" id="{2A099527-5CC7-4C5B-AE2C-94E88B1A37A4}"/>
            </a:ext>
          </a:extLst>
        </xdr:cNvPr>
        <xdr:cNvSpPr/>
      </xdr:nvSpPr>
      <xdr:spPr>
        <a:xfrm>
          <a:off x="11620500" y="1066799"/>
          <a:ext cx="2362200" cy="561975"/>
        </a:xfrm>
        <a:prstGeom prst="left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TREASURER BILL</a:t>
          </a:r>
        </a:p>
      </xdr:txBody>
    </xdr:sp>
    <xdr:clientData/>
  </xdr:twoCellAnchor>
  <xdr:twoCellAnchor>
    <xdr:from>
      <xdr:col>20</xdr:col>
      <xdr:colOff>0</xdr:colOff>
      <xdr:row>2</xdr:row>
      <xdr:rowOff>180975</xdr:rowOff>
    </xdr:from>
    <xdr:to>
      <xdr:col>24</xdr:col>
      <xdr:colOff>38100</xdr:colOff>
      <xdr:row>5</xdr:row>
      <xdr:rowOff>28575</xdr:rowOff>
    </xdr:to>
    <xdr:sp macro="" textlink="">
      <xdr:nvSpPr>
        <xdr:cNvPr id="15" name="Arrow: Left 14">
          <a:hlinkClick xmlns:r="http://schemas.openxmlformats.org/officeDocument/2006/relationships" r:id="rId11" tooltip="RECORDS"/>
          <a:extLst>
            <a:ext uri="{FF2B5EF4-FFF2-40B4-BE49-F238E27FC236}">
              <a16:creationId xmlns:a16="http://schemas.microsoft.com/office/drawing/2014/main" id="{739E24C0-DF45-446F-97B5-CDADD5270C89}"/>
            </a:ext>
          </a:extLst>
        </xdr:cNvPr>
        <xdr:cNvSpPr/>
      </xdr:nvSpPr>
      <xdr:spPr>
        <a:xfrm>
          <a:off x="11620500" y="552450"/>
          <a:ext cx="2362200" cy="533400"/>
        </a:xfrm>
        <a:prstGeom prst="leftArrow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RECORDS</a:t>
          </a:r>
        </a:p>
      </xdr:txBody>
    </xdr:sp>
    <xdr:clientData/>
  </xdr:twoCellAnchor>
  <xdr:twoCellAnchor>
    <xdr:from>
      <xdr:col>20</xdr:col>
      <xdr:colOff>0</xdr:colOff>
      <xdr:row>0</xdr:row>
      <xdr:rowOff>9525</xdr:rowOff>
    </xdr:from>
    <xdr:to>
      <xdr:col>24</xdr:col>
      <xdr:colOff>38100</xdr:colOff>
      <xdr:row>2</xdr:row>
      <xdr:rowOff>171450</xdr:rowOff>
    </xdr:to>
    <xdr:sp macro="" textlink="">
      <xdr:nvSpPr>
        <xdr:cNvPr id="16" name="Arrow: Left 15">
          <a:hlinkClick xmlns:r="http://schemas.openxmlformats.org/officeDocument/2006/relationships" r:id="rId12" tooltip="TRADING"/>
          <a:extLst>
            <a:ext uri="{FF2B5EF4-FFF2-40B4-BE49-F238E27FC236}">
              <a16:creationId xmlns:a16="http://schemas.microsoft.com/office/drawing/2014/main" id="{40FCE528-0956-4E22-B3EE-B039F8828C36}"/>
            </a:ext>
          </a:extLst>
        </xdr:cNvPr>
        <xdr:cNvSpPr/>
      </xdr:nvSpPr>
      <xdr:spPr>
        <a:xfrm>
          <a:off x="11620500" y="9525"/>
          <a:ext cx="2362200" cy="533400"/>
        </a:xfrm>
        <a:prstGeom prst="left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TRADING A/C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130174</xdr:colOff>
      <xdr:row>5</xdr:row>
      <xdr:rowOff>0</xdr:rowOff>
    </xdr:from>
    <xdr:to>
      <xdr:col>15</xdr:col>
      <xdr:colOff>539750</xdr:colOff>
      <xdr:row>20</xdr:row>
      <xdr:rowOff>228600</xdr:rowOff>
    </xdr:to>
    <xdr:graphicFrame macro="">
      <xdr:nvGraphicFramePr>
        <xdr:cNvPr id="7" name="Diagram 6">
          <a:hlinkClick xmlns:r="http://schemas.openxmlformats.org/officeDocument/2006/relationships" r:id="rId1" tooltip="MEMBERS LIST UPPER CASE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  <xdr:twoCellAnchor>
    <xdr:from>
      <xdr:col>6</xdr:col>
      <xdr:colOff>428625</xdr:colOff>
      <xdr:row>1</xdr:row>
      <xdr:rowOff>0</xdr:rowOff>
    </xdr:from>
    <xdr:to>
      <xdr:col>14</xdr:col>
      <xdr:colOff>381000</xdr:colOff>
      <xdr:row>3</xdr:row>
      <xdr:rowOff>171450</xdr:rowOff>
    </xdr:to>
    <xdr:sp macro="" textlink="">
      <xdr:nvSpPr>
        <xdr:cNvPr id="9" name="Rectangle: Rounded Corners 8">
          <a:hlinkClick xmlns:r="http://schemas.openxmlformats.org/officeDocument/2006/relationships" r:id="rId7" tooltip="DASHBOARD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3562350" y="238125"/>
          <a:ext cx="4600575" cy="647700"/>
        </a:xfrm>
        <a:prstGeom prst="roundRect">
          <a:avLst/>
        </a:prstGeom>
        <a:solidFill>
          <a:srgbClr val="C00000"/>
        </a:solidFill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300000" contourW="19050" prstMaterial="metal">
          <a:bevelT w="88900" h="203200"/>
          <a:bevelB w="165100" h="254000"/>
        </a:sp3d>
      </xdr:spPr>
      <xdr:style>
        <a:lnRef idx="0">
          <a:schemeClr val="accent6">
            <a:hueOff val="0"/>
            <a:satOff val="0"/>
            <a:lumOff val="0"/>
            <a:alphaOff val="0"/>
          </a:schemeClr>
        </a:lnRef>
        <a:fillRef idx="1">
          <a:scrgbClr r="0" g="0" b="0"/>
        </a:fillRef>
        <a:effectRef idx="0">
          <a:schemeClr val="lt1">
            <a:alpha val="9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/>
        <a:lstStyle/>
        <a:p>
          <a:pPr algn="ctr"/>
          <a:r>
            <a:rPr lang="en-US" sz="3200">
              <a:solidFill>
                <a:schemeClr val="bg1"/>
              </a:solidFill>
              <a:latin typeface="Arial Black" panose="020B0A04020102020204" pitchFamily="34" charset="0"/>
            </a:rPr>
            <a:t>RECORDS</a:t>
          </a:r>
        </a:p>
      </xdr:txBody>
    </xdr:sp>
    <xdr:clientData/>
  </xdr:twoCellAnchor>
  <xdr:twoCellAnchor>
    <xdr:from>
      <xdr:col>1</xdr:col>
      <xdr:colOff>44450</xdr:colOff>
      <xdr:row>2</xdr:row>
      <xdr:rowOff>31750</xdr:rowOff>
    </xdr:from>
    <xdr:to>
      <xdr:col>5</xdr:col>
      <xdr:colOff>82550</xdr:colOff>
      <xdr:row>4</xdr:row>
      <xdr:rowOff>88900</xdr:rowOff>
    </xdr:to>
    <xdr:sp macro="" textlink="">
      <xdr:nvSpPr>
        <xdr:cNvPr id="12" name="Arrow: Left 11">
          <a:hlinkClick xmlns:r="http://schemas.openxmlformats.org/officeDocument/2006/relationships" r:id="rId8" tooltip="LEVY"/>
          <a:extLst>
            <a:ext uri="{FF2B5EF4-FFF2-40B4-BE49-F238E27FC236}">
              <a16:creationId xmlns:a16="http://schemas.microsoft.com/office/drawing/2014/main" id="{7380C4EE-423D-4952-8E46-1D201CC3C4DA}"/>
            </a:ext>
          </a:extLst>
        </xdr:cNvPr>
        <xdr:cNvSpPr/>
      </xdr:nvSpPr>
      <xdr:spPr>
        <a:xfrm>
          <a:off x="273050" y="508000"/>
          <a:ext cx="2362200" cy="533400"/>
        </a:xfrm>
        <a:prstGeom prst="leftArrow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LEVY</a:t>
          </a:r>
        </a:p>
      </xdr:txBody>
    </xdr:sp>
    <xdr:clientData/>
  </xdr:twoCellAnchor>
  <xdr:twoCellAnchor>
    <xdr:from>
      <xdr:col>1</xdr:col>
      <xdr:colOff>66675</xdr:colOff>
      <xdr:row>0</xdr:row>
      <xdr:rowOff>0</xdr:rowOff>
    </xdr:from>
    <xdr:to>
      <xdr:col>5</xdr:col>
      <xdr:colOff>104775</xdr:colOff>
      <xdr:row>2</xdr:row>
      <xdr:rowOff>24626</xdr:rowOff>
    </xdr:to>
    <xdr:sp macro="" textlink="">
      <xdr:nvSpPr>
        <xdr:cNvPr id="13" name="Arrow: Left 12">
          <a:hlinkClick xmlns:r="http://schemas.openxmlformats.org/officeDocument/2006/relationships" r:id="rId9" tooltip="DUES"/>
          <a:extLst>
            <a:ext uri="{FF2B5EF4-FFF2-40B4-BE49-F238E27FC236}">
              <a16:creationId xmlns:a16="http://schemas.microsoft.com/office/drawing/2014/main" id="{3845B371-A311-486B-92AA-879DA5C17D46}"/>
            </a:ext>
          </a:extLst>
        </xdr:cNvPr>
        <xdr:cNvSpPr/>
      </xdr:nvSpPr>
      <xdr:spPr>
        <a:xfrm>
          <a:off x="295275" y="0"/>
          <a:ext cx="2362200" cy="500876"/>
        </a:xfrm>
        <a:prstGeom prst="leftArrow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DUES</a:t>
          </a:r>
        </a:p>
      </xdr:txBody>
    </xdr:sp>
    <xdr:clientData/>
  </xdr:twoCellAnchor>
  <xdr:twoCellAnchor>
    <xdr:from>
      <xdr:col>1</xdr:col>
      <xdr:colOff>28575</xdr:colOff>
      <xdr:row>4</xdr:row>
      <xdr:rowOff>88900</xdr:rowOff>
    </xdr:from>
    <xdr:to>
      <xdr:col>5</xdr:col>
      <xdr:colOff>66675</xdr:colOff>
      <xdr:row>6</xdr:row>
      <xdr:rowOff>146050</xdr:rowOff>
    </xdr:to>
    <xdr:sp macro="" textlink="">
      <xdr:nvSpPr>
        <xdr:cNvPr id="14" name="Arrow: Left 13">
          <a:hlinkClick xmlns:r="http://schemas.openxmlformats.org/officeDocument/2006/relationships" r:id="rId10" tooltip="ACCOUNTS"/>
          <a:extLst>
            <a:ext uri="{FF2B5EF4-FFF2-40B4-BE49-F238E27FC236}">
              <a16:creationId xmlns:a16="http://schemas.microsoft.com/office/drawing/2014/main" id="{86254D61-5AE5-4FAF-9D00-9EC30DE6DD8E}"/>
            </a:ext>
          </a:extLst>
        </xdr:cNvPr>
        <xdr:cNvSpPr/>
      </xdr:nvSpPr>
      <xdr:spPr>
        <a:xfrm>
          <a:off x="257175" y="1041400"/>
          <a:ext cx="2362200" cy="5334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ACCOUNTS</a:t>
          </a:r>
        </a:p>
      </xdr:txBody>
    </xdr:sp>
    <xdr:clientData/>
  </xdr:twoCellAnchor>
  <xdr:twoCellAnchor>
    <xdr:from>
      <xdr:col>15</xdr:col>
      <xdr:colOff>533400</xdr:colOff>
      <xdr:row>4</xdr:row>
      <xdr:rowOff>107949</xdr:rowOff>
    </xdr:from>
    <xdr:to>
      <xdr:col>19</xdr:col>
      <xdr:colOff>571500</xdr:colOff>
      <xdr:row>6</xdr:row>
      <xdr:rowOff>193674</xdr:rowOff>
    </xdr:to>
    <xdr:sp macro="" textlink="">
      <xdr:nvSpPr>
        <xdr:cNvPr id="15" name="Arrow: Left 14">
          <a:hlinkClick xmlns:r="http://schemas.openxmlformats.org/officeDocument/2006/relationships" r:id="rId11" tooltip="TREASURER BILL"/>
          <a:extLst>
            <a:ext uri="{FF2B5EF4-FFF2-40B4-BE49-F238E27FC236}">
              <a16:creationId xmlns:a16="http://schemas.microsoft.com/office/drawing/2014/main" id="{78E33A9B-4D64-492E-96BD-FFADC9796CA4}"/>
            </a:ext>
          </a:extLst>
        </xdr:cNvPr>
        <xdr:cNvSpPr/>
      </xdr:nvSpPr>
      <xdr:spPr>
        <a:xfrm>
          <a:off x="8896350" y="1060449"/>
          <a:ext cx="2362200" cy="561975"/>
        </a:xfrm>
        <a:prstGeom prst="left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TREASURER BILL</a:t>
          </a:r>
        </a:p>
      </xdr:txBody>
    </xdr:sp>
    <xdr:clientData/>
  </xdr:twoCellAnchor>
  <xdr:twoCellAnchor>
    <xdr:from>
      <xdr:col>15</xdr:col>
      <xdr:colOff>533400</xdr:colOff>
      <xdr:row>0</xdr:row>
      <xdr:rowOff>3175</xdr:rowOff>
    </xdr:from>
    <xdr:to>
      <xdr:col>19</xdr:col>
      <xdr:colOff>571500</xdr:colOff>
      <xdr:row>2</xdr:row>
      <xdr:rowOff>60325</xdr:rowOff>
    </xdr:to>
    <xdr:sp macro="" textlink="">
      <xdr:nvSpPr>
        <xdr:cNvPr id="18" name="Arrow: Left 17">
          <a:hlinkClick xmlns:r="http://schemas.openxmlformats.org/officeDocument/2006/relationships" r:id="rId12" tooltip="TRADING"/>
          <a:extLst>
            <a:ext uri="{FF2B5EF4-FFF2-40B4-BE49-F238E27FC236}">
              <a16:creationId xmlns:a16="http://schemas.microsoft.com/office/drawing/2014/main" id="{F8A5424D-BD4F-45D6-8A53-8F545C902774}"/>
            </a:ext>
          </a:extLst>
        </xdr:cNvPr>
        <xdr:cNvSpPr/>
      </xdr:nvSpPr>
      <xdr:spPr>
        <a:xfrm>
          <a:off x="8896350" y="3175"/>
          <a:ext cx="2362200" cy="533400"/>
        </a:xfrm>
        <a:prstGeom prst="left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TRADING A/C</a:t>
          </a:r>
        </a:p>
      </xdr:txBody>
    </xdr:sp>
    <xdr:clientData/>
  </xdr:twoCellAnchor>
  <xdr:twoCellAnchor>
    <xdr:from>
      <xdr:col>15</xdr:col>
      <xdr:colOff>542925</xdr:colOff>
      <xdr:row>2</xdr:row>
      <xdr:rowOff>60325</xdr:rowOff>
    </xdr:from>
    <xdr:to>
      <xdr:col>20</xdr:col>
      <xdr:colOff>0</xdr:colOff>
      <xdr:row>4</xdr:row>
      <xdr:rowOff>117475</xdr:rowOff>
    </xdr:to>
    <xdr:sp macro="" textlink="">
      <xdr:nvSpPr>
        <xdr:cNvPr id="19" name="Arrow: Left 18">
          <a:hlinkClick xmlns:r="http://schemas.openxmlformats.org/officeDocument/2006/relationships" r:id="rId13" tooltip="PROFILE"/>
          <a:extLst>
            <a:ext uri="{FF2B5EF4-FFF2-40B4-BE49-F238E27FC236}">
              <a16:creationId xmlns:a16="http://schemas.microsoft.com/office/drawing/2014/main" id="{8D0E959C-AF2E-CEF7-0768-921399B82916}"/>
            </a:ext>
          </a:extLst>
        </xdr:cNvPr>
        <xdr:cNvSpPr/>
      </xdr:nvSpPr>
      <xdr:spPr>
        <a:xfrm>
          <a:off x="8905875" y="536575"/>
          <a:ext cx="2362200" cy="533400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PROFILE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38100</xdr:rowOff>
    </xdr:from>
    <xdr:to>
      <xdr:col>2</xdr:col>
      <xdr:colOff>1514475</xdr:colOff>
      <xdr:row>1</xdr:row>
      <xdr:rowOff>0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C688A636-722F-1F39-FCA3-4F6B441F43B6}"/>
            </a:ext>
          </a:extLst>
        </xdr:cNvPr>
        <xdr:cNvSpPr/>
      </xdr:nvSpPr>
      <xdr:spPr>
        <a:xfrm>
          <a:off x="247649" y="38100"/>
          <a:ext cx="2066926" cy="266700"/>
        </a:xfrm>
        <a:prstGeom prst="ellipse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1619250</xdr:colOff>
      <xdr:row>0</xdr:row>
      <xdr:rowOff>28575</xdr:rowOff>
    </xdr:from>
    <xdr:to>
      <xdr:col>3</xdr:col>
      <xdr:colOff>200025</xdr:colOff>
      <xdr:row>1</xdr:row>
      <xdr:rowOff>0</xdr:rowOff>
    </xdr:to>
    <xdr:sp macro="" textlink="">
      <xdr:nvSpPr>
        <xdr:cNvPr id="5" name="Oval 4">
          <a:hlinkClick xmlns:r="http://schemas.openxmlformats.org/officeDocument/2006/relationships" r:id="rId2" tooltip="DUES"/>
          <a:extLst>
            <a:ext uri="{FF2B5EF4-FFF2-40B4-BE49-F238E27FC236}">
              <a16:creationId xmlns:a16="http://schemas.microsoft.com/office/drawing/2014/main" id="{4189DCAF-1337-441C-A1F0-D926FE056293}"/>
            </a:ext>
          </a:extLst>
        </xdr:cNvPr>
        <xdr:cNvSpPr/>
      </xdr:nvSpPr>
      <xdr:spPr>
        <a:xfrm>
          <a:off x="2419350" y="28575"/>
          <a:ext cx="1800225" cy="276225"/>
        </a:xfrm>
        <a:prstGeom prst="ellipse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DUES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0</xdr:rowOff>
    </xdr:from>
    <xdr:to>
      <xdr:col>2</xdr:col>
      <xdr:colOff>1514475</xdr:colOff>
      <xdr:row>0</xdr:row>
      <xdr:rowOff>285750</xdr:rowOff>
    </xdr:to>
    <xdr:sp macro="" textlink="">
      <xdr:nvSpPr>
        <xdr:cNvPr id="6" name="Oval 5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13AEC487-0A48-4EE3-BF57-291146C57FD5}"/>
            </a:ext>
          </a:extLst>
        </xdr:cNvPr>
        <xdr:cNvSpPr/>
      </xdr:nvSpPr>
      <xdr:spPr>
        <a:xfrm>
          <a:off x="247649" y="0"/>
          <a:ext cx="2066926" cy="2857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1657350</xdr:colOff>
      <xdr:row>0</xdr:row>
      <xdr:rowOff>0</xdr:rowOff>
    </xdr:from>
    <xdr:to>
      <xdr:col>3</xdr:col>
      <xdr:colOff>238125</xdr:colOff>
      <xdr:row>0</xdr:row>
      <xdr:rowOff>276225</xdr:rowOff>
    </xdr:to>
    <xdr:sp macro="" textlink="">
      <xdr:nvSpPr>
        <xdr:cNvPr id="7" name="Oval 6">
          <a:hlinkClick xmlns:r="http://schemas.openxmlformats.org/officeDocument/2006/relationships" r:id="rId2" tooltip="DUES"/>
          <a:extLst>
            <a:ext uri="{FF2B5EF4-FFF2-40B4-BE49-F238E27FC236}">
              <a16:creationId xmlns:a16="http://schemas.microsoft.com/office/drawing/2014/main" id="{F2741E87-EA07-48DD-BC06-CCAAD7AFAFF1}"/>
            </a:ext>
          </a:extLst>
        </xdr:cNvPr>
        <xdr:cNvSpPr/>
      </xdr:nvSpPr>
      <xdr:spPr>
        <a:xfrm>
          <a:off x="2457450" y="0"/>
          <a:ext cx="1800225" cy="276225"/>
        </a:xfrm>
        <a:prstGeom prst="ellipse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DUES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0</xdr:rowOff>
    </xdr:from>
    <xdr:to>
      <xdr:col>2</xdr:col>
      <xdr:colOff>1514475</xdr:colOff>
      <xdr:row>0</xdr:row>
      <xdr:rowOff>285750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AB9BFF10-EC51-443C-B6ED-C5BAC16D045C}"/>
            </a:ext>
          </a:extLst>
        </xdr:cNvPr>
        <xdr:cNvSpPr/>
      </xdr:nvSpPr>
      <xdr:spPr>
        <a:xfrm>
          <a:off x="247649" y="0"/>
          <a:ext cx="2066926" cy="2857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1657350</xdr:colOff>
      <xdr:row>0</xdr:row>
      <xdr:rowOff>0</xdr:rowOff>
    </xdr:from>
    <xdr:to>
      <xdr:col>3</xdr:col>
      <xdr:colOff>238125</xdr:colOff>
      <xdr:row>0</xdr:row>
      <xdr:rowOff>276225</xdr:rowOff>
    </xdr:to>
    <xdr:sp macro="" textlink="">
      <xdr:nvSpPr>
        <xdr:cNvPr id="5" name="Oval 4">
          <a:hlinkClick xmlns:r="http://schemas.openxmlformats.org/officeDocument/2006/relationships" r:id="rId2" tooltip="DUES"/>
          <a:extLst>
            <a:ext uri="{FF2B5EF4-FFF2-40B4-BE49-F238E27FC236}">
              <a16:creationId xmlns:a16="http://schemas.microsoft.com/office/drawing/2014/main" id="{C87650FE-ADB8-4838-9E97-63A7482B00AB}"/>
            </a:ext>
          </a:extLst>
        </xdr:cNvPr>
        <xdr:cNvSpPr/>
      </xdr:nvSpPr>
      <xdr:spPr>
        <a:xfrm>
          <a:off x="2457450" y="0"/>
          <a:ext cx="1800225" cy="276225"/>
        </a:xfrm>
        <a:prstGeom prst="ellipse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DUES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0</xdr:rowOff>
    </xdr:from>
    <xdr:to>
      <xdr:col>2</xdr:col>
      <xdr:colOff>1514475</xdr:colOff>
      <xdr:row>0</xdr:row>
      <xdr:rowOff>285750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4F3DB7D1-958D-44EC-82E7-ED59A59ECD4E}"/>
            </a:ext>
          </a:extLst>
        </xdr:cNvPr>
        <xdr:cNvSpPr/>
      </xdr:nvSpPr>
      <xdr:spPr>
        <a:xfrm>
          <a:off x="247649" y="0"/>
          <a:ext cx="2105026" cy="2857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1657350</xdr:colOff>
      <xdr:row>0</xdr:row>
      <xdr:rowOff>0</xdr:rowOff>
    </xdr:from>
    <xdr:to>
      <xdr:col>3</xdr:col>
      <xdr:colOff>238125</xdr:colOff>
      <xdr:row>0</xdr:row>
      <xdr:rowOff>276225</xdr:rowOff>
    </xdr:to>
    <xdr:sp macro="" textlink="">
      <xdr:nvSpPr>
        <xdr:cNvPr id="5" name="Oval 4">
          <a:hlinkClick xmlns:r="http://schemas.openxmlformats.org/officeDocument/2006/relationships" r:id="rId2" tooltip="DUES"/>
          <a:extLst>
            <a:ext uri="{FF2B5EF4-FFF2-40B4-BE49-F238E27FC236}">
              <a16:creationId xmlns:a16="http://schemas.microsoft.com/office/drawing/2014/main" id="{10A98769-0504-4980-B90F-25D332F430D3}"/>
            </a:ext>
          </a:extLst>
        </xdr:cNvPr>
        <xdr:cNvSpPr/>
      </xdr:nvSpPr>
      <xdr:spPr>
        <a:xfrm>
          <a:off x="2495550" y="0"/>
          <a:ext cx="1800225" cy="276225"/>
        </a:xfrm>
        <a:prstGeom prst="ellipse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DUES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0</xdr:rowOff>
    </xdr:from>
    <xdr:to>
      <xdr:col>2</xdr:col>
      <xdr:colOff>1514475</xdr:colOff>
      <xdr:row>0</xdr:row>
      <xdr:rowOff>285750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58B800A0-5E72-48AB-8F72-9233B7744EA4}"/>
            </a:ext>
          </a:extLst>
        </xdr:cNvPr>
        <xdr:cNvSpPr/>
      </xdr:nvSpPr>
      <xdr:spPr>
        <a:xfrm>
          <a:off x="247649" y="0"/>
          <a:ext cx="2105026" cy="2857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1657350</xdr:colOff>
      <xdr:row>0</xdr:row>
      <xdr:rowOff>0</xdr:rowOff>
    </xdr:from>
    <xdr:to>
      <xdr:col>3</xdr:col>
      <xdr:colOff>238125</xdr:colOff>
      <xdr:row>0</xdr:row>
      <xdr:rowOff>276225</xdr:rowOff>
    </xdr:to>
    <xdr:sp macro="" textlink="">
      <xdr:nvSpPr>
        <xdr:cNvPr id="5" name="Oval 4">
          <a:hlinkClick xmlns:r="http://schemas.openxmlformats.org/officeDocument/2006/relationships" r:id="rId2" tooltip="DUES"/>
          <a:extLst>
            <a:ext uri="{FF2B5EF4-FFF2-40B4-BE49-F238E27FC236}">
              <a16:creationId xmlns:a16="http://schemas.microsoft.com/office/drawing/2014/main" id="{B3F27773-5887-4B50-8A92-8D036A1E6E79}"/>
            </a:ext>
          </a:extLst>
        </xdr:cNvPr>
        <xdr:cNvSpPr/>
      </xdr:nvSpPr>
      <xdr:spPr>
        <a:xfrm>
          <a:off x="2495550" y="0"/>
          <a:ext cx="1800225" cy="276225"/>
        </a:xfrm>
        <a:prstGeom prst="ellipse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DUES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0</xdr:rowOff>
    </xdr:from>
    <xdr:to>
      <xdr:col>2</xdr:col>
      <xdr:colOff>1514475</xdr:colOff>
      <xdr:row>0</xdr:row>
      <xdr:rowOff>285750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A41C476C-8DF8-4963-9E50-A6ADFBD8C515}"/>
            </a:ext>
          </a:extLst>
        </xdr:cNvPr>
        <xdr:cNvSpPr/>
      </xdr:nvSpPr>
      <xdr:spPr>
        <a:xfrm>
          <a:off x="247649" y="0"/>
          <a:ext cx="2105026" cy="2857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1657350</xdr:colOff>
      <xdr:row>0</xdr:row>
      <xdr:rowOff>0</xdr:rowOff>
    </xdr:from>
    <xdr:to>
      <xdr:col>3</xdr:col>
      <xdr:colOff>238125</xdr:colOff>
      <xdr:row>0</xdr:row>
      <xdr:rowOff>276225</xdr:rowOff>
    </xdr:to>
    <xdr:sp macro="" textlink="">
      <xdr:nvSpPr>
        <xdr:cNvPr id="5" name="Oval 4">
          <a:hlinkClick xmlns:r="http://schemas.openxmlformats.org/officeDocument/2006/relationships" r:id="rId2" tooltip="DUES"/>
          <a:extLst>
            <a:ext uri="{FF2B5EF4-FFF2-40B4-BE49-F238E27FC236}">
              <a16:creationId xmlns:a16="http://schemas.microsoft.com/office/drawing/2014/main" id="{0841B04C-98A0-4A0D-846D-C83707730976}"/>
            </a:ext>
          </a:extLst>
        </xdr:cNvPr>
        <xdr:cNvSpPr/>
      </xdr:nvSpPr>
      <xdr:spPr>
        <a:xfrm>
          <a:off x="2495550" y="0"/>
          <a:ext cx="1800225" cy="276225"/>
        </a:xfrm>
        <a:prstGeom prst="ellipse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DUES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0</xdr:rowOff>
    </xdr:from>
    <xdr:to>
      <xdr:col>2</xdr:col>
      <xdr:colOff>1514475</xdr:colOff>
      <xdr:row>0</xdr:row>
      <xdr:rowOff>285750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7A0882A8-7CA3-4325-B3A8-D729D51D2A69}"/>
            </a:ext>
          </a:extLst>
        </xdr:cNvPr>
        <xdr:cNvSpPr/>
      </xdr:nvSpPr>
      <xdr:spPr>
        <a:xfrm>
          <a:off x="247649" y="0"/>
          <a:ext cx="2105026" cy="2857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1657350</xdr:colOff>
      <xdr:row>0</xdr:row>
      <xdr:rowOff>0</xdr:rowOff>
    </xdr:from>
    <xdr:to>
      <xdr:col>3</xdr:col>
      <xdr:colOff>238125</xdr:colOff>
      <xdr:row>0</xdr:row>
      <xdr:rowOff>276225</xdr:rowOff>
    </xdr:to>
    <xdr:sp macro="" textlink="">
      <xdr:nvSpPr>
        <xdr:cNvPr id="5" name="Oval 4">
          <a:hlinkClick xmlns:r="http://schemas.openxmlformats.org/officeDocument/2006/relationships" r:id="rId2" tooltip="DUES"/>
          <a:extLst>
            <a:ext uri="{FF2B5EF4-FFF2-40B4-BE49-F238E27FC236}">
              <a16:creationId xmlns:a16="http://schemas.microsoft.com/office/drawing/2014/main" id="{F733B40B-CF23-4DA8-8EE7-9CD1D4A1772D}"/>
            </a:ext>
          </a:extLst>
        </xdr:cNvPr>
        <xdr:cNvSpPr/>
      </xdr:nvSpPr>
      <xdr:spPr>
        <a:xfrm>
          <a:off x="2495550" y="0"/>
          <a:ext cx="1800225" cy="276225"/>
        </a:xfrm>
        <a:prstGeom prst="ellipse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DUES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0</xdr:rowOff>
    </xdr:from>
    <xdr:to>
      <xdr:col>2</xdr:col>
      <xdr:colOff>1514475</xdr:colOff>
      <xdr:row>0</xdr:row>
      <xdr:rowOff>285750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EA7E04EF-80FD-4EEF-8128-93B7C79073CD}"/>
            </a:ext>
          </a:extLst>
        </xdr:cNvPr>
        <xdr:cNvSpPr/>
      </xdr:nvSpPr>
      <xdr:spPr>
        <a:xfrm>
          <a:off x="247649" y="0"/>
          <a:ext cx="2105026" cy="2857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1657350</xdr:colOff>
      <xdr:row>0</xdr:row>
      <xdr:rowOff>0</xdr:rowOff>
    </xdr:from>
    <xdr:to>
      <xdr:col>3</xdr:col>
      <xdr:colOff>238125</xdr:colOff>
      <xdr:row>0</xdr:row>
      <xdr:rowOff>276225</xdr:rowOff>
    </xdr:to>
    <xdr:sp macro="" textlink="">
      <xdr:nvSpPr>
        <xdr:cNvPr id="5" name="Oval 4">
          <a:hlinkClick xmlns:r="http://schemas.openxmlformats.org/officeDocument/2006/relationships" r:id="rId2" tooltip="DUES"/>
          <a:extLst>
            <a:ext uri="{FF2B5EF4-FFF2-40B4-BE49-F238E27FC236}">
              <a16:creationId xmlns:a16="http://schemas.microsoft.com/office/drawing/2014/main" id="{22FB2020-F49D-440A-B3E8-615ACD409AC2}"/>
            </a:ext>
          </a:extLst>
        </xdr:cNvPr>
        <xdr:cNvSpPr/>
      </xdr:nvSpPr>
      <xdr:spPr>
        <a:xfrm>
          <a:off x="2495550" y="0"/>
          <a:ext cx="1800225" cy="276225"/>
        </a:xfrm>
        <a:prstGeom prst="ellipse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DUES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0</xdr:rowOff>
    </xdr:from>
    <xdr:to>
      <xdr:col>2</xdr:col>
      <xdr:colOff>1514475</xdr:colOff>
      <xdr:row>0</xdr:row>
      <xdr:rowOff>285750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A8DA1ECF-9C7B-4DF6-939D-732D03C9A2A4}"/>
            </a:ext>
          </a:extLst>
        </xdr:cNvPr>
        <xdr:cNvSpPr/>
      </xdr:nvSpPr>
      <xdr:spPr>
        <a:xfrm>
          <a:off x="247649" y="0"/>
          <a:ext cx="2105026" cy="2857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1657350</xdr:colOff>
      <xdr:row>0</xdr:row>
      <xdr:rowOff>0</xdr:rowOff>
    </xdr:from>
    <xdr:to>
      <xdr:col>3</xdr:col>
      <xdr:colOff>238125</xdr:colOff>
      <xdr:row>0</xdr:row>
      <xdr:rowOff>276225</xdr:rowOff>
    </xdr:to>
    <xdr:sp macro="" textlink="">
      <xdr:nvSpPr>
        <xdr:cNvPr id="5" name="Oval 4">
          <a:hlinkClick xmlns:r="http://schemas.openxmlformats.org/officeDocument/2006/relationships" r:id="rId2" tooltip="DUES"/>
          <a:extLst>
            <a:ext uri="{FF2B5EF4-FFF2-40B4-BE49-F238E27FC236}">
              <a16:creationId xmlns:a16="http://schemas.microsoft.com/office/drawing/2014/main" id="{E4CB38D5-93FD-4386-822F-FF6CEC9B4490}"/>
            </a:ext>
          </a:extLst>
        </xdr:cNvPr>
        <xdr:cNvSpPr/>
      </xdr:nvSpPr>
      <xdr:spPr>
        <a:xfrm>
          <a:off x="2495550" y="0"/>
          <a:ext cx="1800225" cy="276225"/>
        </a:xfrm>
        <a:prstGeom prst="ellipse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DUES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0</xdr:rowOff>
    </xdr:from>
    <xdr:to>
      <xdr:col>2</xdr:col>
      <xdr:colOff>1514475</xdr:colOff>
      <xdr:row>0</xdr:row>
      <xdr:rowOff>285750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63414074-C382-4D14-80AA-15CAC7AD8AE6}"/>
            </a:ext>
          </a:extLst>
        </xdr:cNvPr>
        <xdr:cNvSpPr/>
      </xdr:nvSpPr>
      <xdr:spPr>
        <a:xfrm>
          <a:off x="247649" y="0"/>
          <a:ext cx="2105026" cy="2857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1657350</xdr:colOff>
      <xdr:row>0</xdr:row>
      <xdr:rowOff>0</xdr:rowOff>
    </xdr:from>
    <xdr:to>
      <xdr:col>3</xdr:col>
      <xdr:colOff>238125</xdr:colOff>
      <xdr:row>0</xdr:row>
      <xdr:rowOff>276225</xdr:rowOff>
    </xdr:to>
    <xdr:sp macro="" textlink="">
      <xdr:nvSpPr>
        <xdr:cNvPr id="5" name="Oval 4">
          <a:hlinkClick xmlns:r="http://schemas.openxmlformats.org/officeDocument/2006/relationships" r:id="rId2" tooltip="DUES"/>
          <a:extLst>
            <a:ext uri="{FF2B5EF4-FFF2-40B4-BE49-F238E27FC236}">
              <a16:creationId xmlns:a16="http://schemas.microsoft.com/office/drawing/2014/main" id="{92F4F76E-BBCD-4757-B528-6F22C05F0D2C}"/>
            </a:ext>
          </a:extLst>
        </xdr:cNvPr>
        <xdr:cNvSpPr/>
      </xdr:nvSpPr>
      <xdr:spPr>
        <a:xfrm>
          <a:off x="2495550" y="0"/>
          <a:ext cx="1800225" cy="276225"/>
        </a:xfrm>
        <a:prstGeom prst="ellipse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DUES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0</xdr:rowOff>
    </xdr:from>
    <xdr:to>
      <xdr:col>2</xdr:col>
      <xdr:colOff>1514475</xdr:colOff>
      <xdr:row>0</xdr:row>
      <xdr:rowOff>285750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A9193067-866E-4E72-8711-389F449C7B5E}"/>
            </a:ext>
          </a:extLst>
        </xdr:cNvPr>
        <xdr:cNvSpPr/>
      </xdr:nvSpPr>
      <xdr:spPr>
        <a:xfrm>
          <a:off x="247649" y="0"/>
          <a:ext cx="2105026" cy="2857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1657350</xdr:colOff>
      <xdr:row>0</xdr:row>
      <xdr:rowOff>0</xdr:rowOff>
    </xdr:from>
    <xdr:to>
      <xdr:col>3</xdr:col>
      <xdr:colOff>238125</xdr:colOff>
      <xdr:row>0</xdr:row>
      <xdr:rowOff>276225</xdr:rowOff>
    </xdr:to>
    <xdr:sp macro="" textlink="">
      <xdr:nvSpPr>
        <xdr:cNvPr id="5" name="Oval 4">
          <a:hlinkClick xmlns:r="http://schemas.openxmlformats.org/officeDocument/2006/relationships" r:id="rId2" tooltip="DUES"/>
          <a:extLst>
            <a:ext uri="{FF2B5EF4-FFF2-40B4-BE49-F238E27FC236}">
              <a16:creationId xmlns:a16="http://schemas.microsoft.com/office/drawing/2014/main" id="{A6D32AD0-4684-432A-AC74-C7EB8A7E22BA}"/>
            </a:ext>
          </a:extLst>
        </xdr:cNvPr>
        <xdr:cNvSpPr/>
      </xdr:nvSpPr>
      <xdr:spPr>
        <a:xfrm>
          <a:off x="2495550" y="0"/>
          <a:ext cx="1800225" cy="276225"/>
        </a:xfrm>
        <a:prstGeom prst="ellipse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DUES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0</xdr:rowOff>
    </xdr:from>
    <xdr:to>
      <xdr:col>2</xdr:col>
      <xdr:colOff>1514475</xdr:colOff>
      <xdr:row>0</xdr:row>
      <xdr:rowOff>285750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60812F82-5B31-43BE-B3D6-ADE4B7474C50}"/>
            </a:ext>
          </a:extLst>
        </xdr:cNvPr>
        <xdr:cNvSpPr/>
      </xdr:nvSpPr>
      <xdr:spPr>
        <a:xfrm>
          <a:off x="247649" y="0"/>
          <a:ext cx="2105026" cy="2857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1657350</xdr:colOff>
      <xdr:row>0</xdr:row>
      <xdr:rowOff>0</xdr:rowOff>
    </xdr:from>
    <xdr:to>
      <xdr:col>3</xdr:col>
      <xdr:colOff>238125</xdr:colOff>
      <xdr:row>0</xdr:row>
      <xdr:rowOff>276225</xdr:rowOff>
    </xdr:to>
    <xdr:sp macro="" textlink="">
      <xdr:nvSpPr>
        <xdr:cNvPr id="5" name="Oval 4">
          <a:hlinkClick xmlns:r="http://schemas.openxmlformats.org/officeDocument/2006/relationships" r:id="rId2" tooltip="DUES"/>
          <a:extLst>
            <a:ext uri="{FF2B5EF4-FFF2-40B4-BE49-F238E27FC236}">
              <a16:creationId xmlns:a16="http://schemas.microsoft.com/office/drawing/2014/main" id="{77EA64DD-3F8B-4939-9F1E-8C27EE9F38A8}"/>
            </a:ext>
          </a:extLst>
        </xdr:cNvPr>
        <xdr:cNvSpPr/>
      </xdr:nvSpPr>
      <xdr:spPr>
        <a:xfrm>
          <a:off x="2495550" y="0"/>
          <a:ext cx="1800225" cy="276225"/>
        </a:xfrm>
        <a:prstGeom prst="ellipse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DUES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0</xdr:rowOff>
    </xdr:from>
    <xdr:to>
      <xdr:col>2</xdr:col>
      <xdr:colOff>1695450</xdr:colOff>
      <xdr:row>0</xdr:row>
      <xdr:rowOff>285750</xdr:rowOff>
    </xdr:to>
    <xdr:sp macro="" textlink="">
      <xdr:nvSpPr>
        <xdr:cNvPr id="2" name="Oval 1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581D3883-A2FC-4F3F-B089-B89FC07621DE}"/>
            </a:ext>
          </a:extLst>
        </xdr:cNvPr>
        <xdr:cNvSpPr/>
      </xdr:nvSpPr>
      <xdr:spPr>
        <a:xfrm>
          <a:off x="200024" y="0"/>
          <a:ext cx="2181226" cy="2857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1790700</xdr:colOff>
      <xdr:row>0</xdr:row>
      <xdr:rowOff>0</xdr:rowOff>
    </xdr:from>
    <xdr:to>
      <xdr:col>3</xdr:col>
      <xdr:colOff>628650</xdr:colOff>
      <xdr:row>0</xdr:row>
      <xdr:rowOff>276225</xdr:rowOff>
    </xdr:to>
    <xdr:sp macro="" textlink="">
      <xdr:nvSpPr>
        <xdr:cNvPr id="3" name="Oval 2">
          <a:hlinkClick xmlns:r="http://schemas.openxmlformats.org/officeDocument/2006/relationships" r:id="rId2" tooltip="LEVY"/>
          <a:extLst>
            <a:ext uri="{FF2B5EF4-FFF2-40B4-BE49-F238E27FC236}">
              <a16:creationId xmlns:a16="http://schemas.microsoft.com/office/drawing/2014/main" id="{A545451A-674F-4D1E-95BA-073EE43A9BC1}"/>
            </a:ext>
          </a:extLst>
        </xdr:cNvPr>
        <xdr:cNvSpPr/>
      </xdr:nvSpPr>
      <xdr:spPr>
        <a:xfrm>
          <a:off x="2476500" y="0"/>
          <a:ext cx="2057400" cy="27622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LEVY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0</xdr:rowOff>
    </xdr:from>
    <xdr:to>
      <xdr:col>2</xdr:col>
      <xdr:colOff>1676400</xdr:colOff>
      <xdr:row>0</xdr:row>
      <xdr:rowOff>285750</xdr:rowOff>
    </xdr:to>
    <xdr:sp macro="" textlink="">
      <xdr:nvSpPr>
        <xdr:cNvPr id="2" name="Oval 1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941358B5-A869-4C23-8D43-C6E040FDAA19}"/>
            </a:ext>
          </a:extLst>
        </xdr:cNvPr>
        <xdr:cNvSpPr/>
      </xdr:nvSpPr>
      <xdr:spPr>
        <a:xfrm>
          <a:off x="200024" y="0"/>
          <a:ext cx="2181226" cy="2857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1752600</xdr:colOff>
      <xdr:row>0</xdr:row>
      <xdr:rowOff>0</xdr:rowOff>
    </xdr:from>
    <xdr:to>
      <xdr:col>3</xdr:col>
      <xdr:colOff>428625</xdr:colOff>
      <xdr:row>0</xdr:row>
      <xdr:rowOff>276225</xdr:rowOff>
    </xdr:to>
    <xdr:sp macro="" textlink="">
      <xdr:nvSpPr>
        <xdr:cNvPr id="3" name="Oval 2">
          <a:hlinkClick xmlns:r="http://schemas.openxmlformats.org/officeDocument/2006/relationships" r:id="rId2" tooltip="LEVY"/>
          <a:extLst>
            <a:ext uri="{FF2B5EF4-FFF2-40B4-BE49-F238E27FC236}">
              <a16:creationId xmlns:a16="http://schemas.microsoft.com/office/drawing/2014/main" id="{932C0D87-8A1C-4638-BC3A-F52D3FFE5C6D}"/>
            </a:ext>
          </a:extLst>
        </xdr:cNvPr>
        <xdr:cNvSpPr/>
      </xdr:nvSpPr>
      <xdr:spPr>
        <a:xfrm>
          <a:off x="2457450" y="0"/>
          <a:ext cx="1895475" cy="27622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LEVY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0</xdr:rowOff>
    </xdr:from>
    <xdr:to>
      <xdr:col>2</xdr:col>
      <xdr:colOff>1133475</xdr:colOff>
      <xdr:row>0</xdr:row>
      <xdr:rowOff>285750</xdr:rowOff>
    </xdr:to>
    <xdr:sp macro="" textlink="">
      <xdr:nvSpPr>
        <xdr:cNvPr id="7" name="Oval 6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A56EA292-B976-4634-BC68-C3D920B1D87D}"/>
            </a:ext>
          </a:extLst>
        </xdr:cNvPr>
        <xdr:cNvSpPr/>
      </xdr:nvSpPr>
      <xdr:spPr>
        <a:xfrm>
          <a:off x="400049" y="0"/>
          <a:ext cx="2171701" cy="2857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1219200</xdr:colOff>
      <xdr:row>0</xdr:row>
      <xdr:rowOff>9525</xdr:rowOff>
    </xdr:from>
    <xdr:to>
      <xdr:col>2</xdr:col>
      <xdr:colOff>3143250</xdr:colOff>
      <xdr:row>0</xdr:row>
      <xdr:rowOff>285750</xdr:rowOff>
    </xdr:to>
    <xdr:sp macro="" textlink="">
      <xdr:nvSpPr>
        <xdr:cNvPr id="8" name="Oval 7">
          <a:hlinkClick xmlns:r="http://schemas.openxmlformats.org/officeDocument/2006/relationships" r:id="rId2" tooltip="LEVY"/>
          <a:extLst>
            <a:ext uri="{FF2B5EF4-FFF2-40B4-BE49-F238E27FC236}">
              <a16:creationId xmlns:a16="http://schemas.microsoft.com/office/drawing/2014/main" id="{7DFD5267-9A0C-47BB-9616-5062C520EF8E}"/>
            </a:ext>
          </a:extLst>
        </xdr:cNvPr>
        <xdr:cNvSpPr/>
      </xdr:nvSpPr>
      <xdr:spPr>
        <a:xfrm>
          <a:off x="2657475" y="9525"/>
          <a:ext cx="1924050" cy="27622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LEVY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0</xdr:rowOff>
    </xdr:from>
    <xdr:to>
      <xdr:col>2</xdr:col>
      <xdr:colOff>1676400</xdr:colOff>
      <xdr:row>0</xdr:row>
      <xdr:rowOff>285750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595D67FA-0FAC-409C-B749-53B5CB3C1498}"/>
            </a:ext>
          </a:extLst>
        </xdr:cNvPr>
        <xdr:cNvSpPr/>
      </xdr:nvSpPr>
      <xdr:spPr>
        <a:xfrm>
          <a:off x="400049" y="0"/>
          <a:ext cx="2714626" cy="2857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1752600</xdr:colOff>
      <xdr:row>0</xdr:row>
      <xdr:rowOff>0</xdr:rowOff>
    </xdr:from>
    <xdr:to>
      <xdr:col>2</xdr:col>
      <xdr:colOff>3857625</xdr:colOff>
      <xdr:row>0</xdr:row>
      <xdr:rowOff>276225</xdr:rowOff>
    </xdr:to>
    <xdr:sp macro="" textlink="">
      <xdr:nvSpPr>
        <xdr:cNvPr id="5" name="Oval 4">
          <a:hlinkClick xmlns:r="http://schemas.openxmlformats.org/officeDocument/2006/relationships" r:id="rId2" tooltip="LEVY"/>
          <a:extLst>
            <a:ext uri="{FF2B5EF4-FFF2-40B4-BE49-F238E27FC236}">
              <a16:creationId xmlns:a16="http://schemas.microsoft.com/office/drawing/2014/main" id="{39BC0394-609A-473B-AE03-C976AD32877B}"/>
            </a:ext>
          </a:extLst>
        </xdr:cNvPr>
        <xdr:cNvSpPr/>
      </xdr:nvSpPr>
      <xdr:spPr>
        <a:xfrm>
          <a:off x="3343275" y="0"/>
          <a:ext cx="2105025" cy="27622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LEVY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2228850</xdr:colOff>
      <xdr:row>0</xdr:row>
      <xdr:rowOff>285750</xdr:rowOff>
    </xdr:to>
    <xdr:sp macro="" textlink="">
      <xdr:nvSpPr>
        <xdr:cNvPr id="10" name="Oval 9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67A9AEB6-2464-400D-841F-12811A82FA2B}"/>
            </a:ext>
          </a:extLst>
        </xdr:cNvPr>
        <xdr:cNvSpPr/>
      </xdr:nvSpPr>
      <xdr:spPr>
        <a:xfrm>
          <a:off x="990600" y="0"/>
          <a:ext cx="2228850" cy="2857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1</xdr:col>
      <xdr:colOff>2371725</xdr:colOff>
      <xdr:row>0</xdr:row>
      <xdr:rowOff>0</xdr:rowOff>
    </xdr:from>
    <xdr:to>
      <xdr:col>2</xdr:col>
      <xdr:colOff>266700</xdr:colOff>
      <xdr:row>0</xdr:row>
      <xdr:rowOff>276225</xdr:rowOff>
    </xdr:to>
    <xdr:sp macro="" textlink="">
      <xdr:nvSpPr>
        <xdr:cNvPr id="11" name="Oval 10">
          <a:hlinkClick xmlns:r="http://schemas.openxmlformats.org/officeDocument/2006/relationships" r:id="rId2" tooltip="LEVY"/>
          <a:extLst>
            <a:ext uri="{FF2B5EF4-FFF2-40B4-BE49-F238E27FC236}">
              <a16:creationId xmlns:a16="http://schemas.microsoft.com/office/drawing/2014/main" id="{2531A1B8-8512-4B22-BFE8-41C37CEF31C6}"/>
            </a:ext>
          </a:extLst>
        </xdr:cNvPr>
        <xdr:cNvSpPr/>
      </xdr:nvSpPr>
      <xdr:spPr>
        <a:xfrm>
          <a:off x="3362325" y="0"/>
          <a:ext cx="1924050" cy="27622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LEVY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12700</xdr:rowOff>
    </xdr:from>
    <xdr:to>
      <xdr:col>2</xdr:col>
      <xdr:colOff>2497032</xdr:colOff>
      <xdr:row>1</xdr:row>
      <xdr:rowOff>0</xdr:rowOff>
    </xdr:to>
    <xdr:sp macro="" textlink="">
      <xdr:nvSpPr>
        <xdr:cNvPr id="7" name="Oval 6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/>
      </xdr:nvSpPr>
      <xdr:spPr>
        <a:xfrm>
          <a:off x="1352550" y="12700"/>
          <a:ext cx="2477982" cy="282575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2590800</xdr:colOff>
      <xdr:row>0</xdr:row>
      <xdr:rowOff>0</xdr:rowOff>
    </xdr:from>
    <xdr:to>
      <xdr:col>2</xdr:col>
      <xdr:colOff>5068782</xdr:colOff>
      <xdr:row>1</xdr:row>
      <xdr:rowOff>0</xdr:rowOff>
    </xdr:to>
    <xdr:sp macro="" textlink="">
      <xdr:nvSpPr>
        <xdr:cNvPr id="8" name="Oval 7">
          <a:hlinkClick xmlns:r="http://schemas.openxmlformats.org/officeDocument/2006/relationships" r:id="rId2" tooltip="ACCOUNTS"/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/>
      </xdr:nvSpPr>
      <xdr:spPr>
        <a:xfrm>
          <a:off x="3924300" y="0"/>
          <a:ext cx="2477982" cy="2952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ACCOUNTS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12700</xdr:rowOff>
    </xdr:from>
    <xdr:to>
      <xdr:col>2</xdr:col>
      <xdr:colOff>2497032</xdr:colOff>
      <xdr:row>1</xdr:row>
      <xdr:rowOff>0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1352550" y="12700"/>
          <a:ext cx="2477982" cy="3111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2590800</xdr:colOff>
      <xdr:row>0</xdr:row>
      <xdr:rowOff>0</xdr:rowOff>
    </xdr:from>
    <xdr:to>
      <xdr:col>2</xdr:col>
      <xdr:colOff>5068782</xdr:colOff>
      <xdr:row>1</xdr:row>
      <xdr:rowOff>0</xdr:rowOff>
    </xdr:to>
    <xdr:sp macro="" textlink="">
      <xdr:nvSpPr>
        <xdr:cNvPr id="5" name="Oval 4">
          <a:hlinkClick xmlns:r="http://schemas.openxmlformats.org/officeDocument/2006/relationships" r:id="rId2" tooltip="ACCOUNTS"/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>
        <a:xfrm>
          <a:off x="3924300" y="0"/>
          <a:ext cx="2477982" cy="3238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ACCOUNTS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12700</xdr:rowOff>
    </xdr:from>
    <xdr:to>
      <xdr:col>2</xdr:col>
      <xdr:colOff>2497032</xdr:colOff>
      <xdr:row>1</xdr:row>
      <xdr:rowOff>0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/>
      </xdr:nvSpPr>
      <xdr:spPr>
        <a:xfrm>
          <a:off x="1381125" y="12700"/>
          <a:ext cx="2477982" cy="3492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2590800</xdr:colOff>
      <xdr:row>0</xdr:row>
      <xdr:rowOff>0</xdr:rowOff>
    </xdr:from>
    <xdr:to>
      <xdr:col>2</xdr:col>
      <xdr:colOff>5068782</xdr:colOff>
      <xdr:row>1</xdr:row>
      <xdr:rowOff>0</xdr:rowOff>
    </xdr:to>
    <xdr:sp macro="" textlink="">
      <xdr:nvSpPr>
        <xdr:cNvPr id="5" name="Oval 4">
          <a:hlinkClick xmlns:r="http://schemas.openxmlformats.org/officeDocument/2006/relationships" r:id="rId2" tooltip="ACCOUNTS"/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>
        <a:xfrm>
          <a:off x="3952875" y="0"/>
          <a:ext cx="2258907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ACCOUNTS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12700</xdr:rowOff>
    </xdr:from>
    <xdr:to>
      <xdr:col>1</xdr:col>
      <xdr:colOff>2477982</xdr:colOff>
      <xdr:row>1</xdr:row>
      <xdr:rowOff>133350</xdr:rowOff>
    </xdr:to>
    <xdr:sp macro="" textlink="">
      <xdr:nvSpPr>
        <xdr:cNvPr id="12" name="Oval 11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/>
      </xdr:nvSpPr>
      <xdr:spPr>
        <a:xfrm>
          <a:off x="257175" y="12700"/>
          <a:ext cx="2477982" cy="3492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1</xdr:col>
      <xdr:colOff>2571750</xdr:colOff>
      <xdr:row>0</xdr:row>
      <xdr:rowOff>0</xdr:rowOff>
    </xdr:from>
    <xdr:to>
      <xdr:col>2</xdr:col>
      <xdr:colOff>392007</xdr:colOff>
      <xdr:row>1</xdr:row>
      <xdr:rowOff>133350</xdr:rowOff>
    </xdr:to>
    <xdr:sp macro="" textlink="">
      <xdr:nvSpPr>
        <xdr:cNvPr id="13" name="Oval 12">
          <a:hlinkClick xmlns:r="http://schemas.openxmlformats.org/officeDocument/2006/relationships" r:id="rId2" tooltip="ACCOUNTS"/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/>
      </xdr:nvSpPr>
      <xdr:spPr>
        <a:xfrm>
          <a:off x="2828925" y="0"/>
          <a:ext cx="2477982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ACCOUNTS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12700</xdr:rowOff>
    </xdr:from>
    <xdr:to>
      <xdr:col>2</xdr:col>
      <xdr:colOff>878350</xdr:colOff>
      <xdr:row>1</xdr:row>
      <xdr:rowOff>42918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111125" y="12700"/>
          <a:ext cx="2053100" cy="260406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960444</xdr:colOff>
      <xdr:row>0</xdr:row>
      <xdr:rowOff>0</xdr:rowOff>
    </xdr:from>
    <xdr:to>
      <xdr:col>2</xdr:col>
      <xdr:colOff>2817814</xdr:colOff>
      <xdr:row>1</xdr:row>
      <xdr:rowOff>39687</xdr:rowOff>
    </xdr:to>
    <xdr:sp macro="" textlink="">
      <xdr:nvSpPr>
        <xdr:cNvPr id="5" name="Oval 4">
          <a:hlinkClick xmlns:r="http://schemas.openxmlformats.org/officeDocument/2006/relationships" r:id="rId2" tooltip="ACCOUNTS"/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/>
      </xdr:nvSpPr>
      <xdr:spPr>
        <a:xfrm>
          <a:off x="2246319" y="0"/>
          <a:ext cx="1857370" cy="2698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ACCOUNTS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12700</xdr:rowOff>
    </xdr:from>
    <xdr:to>
      <xdr:col>2</xdr:col>
      <xdr:colOff>1398482</xdr:colOff>
      <xdr:row>1</xdr:row>
      <xdr:rowOff>131762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/>
      </xdr:nvSpPr>
      <xdr:spPr>
        <a:xfrm>
          <a:off x="111125" y="12700"/>
          <a:ext cx="2477982" cy="3492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1492250</xdr:colOff>
      <xdr:row>0</xdr:row>
      <xdr:rowOff>0</xdr:rowOff>
    </xdr:from>
    <xdr:to>
      <xdr:col>4</xdr:col>
      <xdr:colOff>223732</xdr:colOff>
      <xdr:row>1</xdr:row>
      <xdr:rowOff>131762</xdr:rowOff>
    </xdr:to>
    <xdr:sp macro="" textlink="">
      <xdr:nvSpPr>
        <xdr:cNvPr id="5" name="Oval 4">
          <a:hlinkClick xmlns:r="http://schemas.openxmlformats.org/officeDocument/2006/relationships" r:id="rId2" tooltip="ACCOUNTS"/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/>
      </xdr:nvSpPr>
      <xdr:spPr>
        <a:xfrm>
          <a:off x="2682875" y="0"/>
          <a:ext cx="2477982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ACCOUNTS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146798</xdr:colOff>
      <xdr:row>0</xdr:row>
      <xdr:rowOff>0</xdr:rowOff>
    </xdr:from>
    <xdr:to>
      <xdr:col>2</xdr:col>
      <xdr:colOff>2066925</xdr:colOff>
      <xdr:row>2</xdr:row>
      <xdr:rowOff>0</xdr:rowOff>
    </xdr:to>
    <xdr:sp macro="" textlink="">
      <xdr:nvSpPr>
        <xdr:cNvPr id="2" name="Arrow: Left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/>
      </xdr:nvSpPr>
      <xdr:spPr>
        <a:xfrm>
          <a:off x="508748" y="0"/>
          <a:ext cx="1920127" cy="514350"/>
        </a:xfrm>
        <a:prstGeom prst="leftArrow">
          <a:avLst/>
        </a:prstGeom>
        <a:solidFill>
          <a:srgbClr val="0000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>
              <a:latin typeface="Arial" panose="020B0604020202020204" pitchFamily="34" charset="0"/>
              <a:cs typeface="Arial" panose="020B06040202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2266951</xdr:colOff>
      <xdr:row>0</xdr:row>
      <xdr:rowOff>19050</xdr:rowOff>
    </xdr:from>
    <xdr:to>
      <xdr:col>6</xdr:col>
      <xdr:colOff>66675</xdr:colOff>
      <xdr:row>2</xdr:row>
      <xdr:rowOff>19050</xdr:rowOff>
    </xdr:to>
    <xdr:sp macro="" textlink="">
      <xdr:nvSpPr>
        <xdr:cNvPr id="3" name="Arrow: Right 4">
          <a:hlinkClick xmlns:r="http://schemas.openxmlformats.org/officeDocument/2006/relationships" r:id="rId2" tooltip="ACCOUNT"/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SpPr/>
      </xdr:nvSpPr>
      <xdr:spPr>
        <a:xfrm>
          <a:off x="2628901" y="19050"/>
          <a:ext cx="2076449" cy="514350"/>
        </a:xfrm>
        <a:prstGeom prst="rightArrow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>
              <a:latin typeface="Arial" panose="020B0604020202020204" pitchFamily="34" charset="0"/>
              <a:cs typeface="Arial" panose="020B0604020202020204" pitchFamily="34" charset="0"/>
            </a:rPr>
            <a:t>ACCOUNT</a:t>
          </a:r>
        </a:p>
      </xdr:txBody>
    </xdr:sp>
    <xdr:clientData/>
  </xdr:twoCellAnchor>
  <xdr:twoCellAnchor>
    <xdr:from>
      <xdr:col>1</xdr:col>
      <xdr:colOff>0</xdr:colOff>
      <xdr:row>2</xdr:row>
      <xdr:rowOff>12700</xdr:rowOff>
    </xdr:from>
    <xdr:to>
      <xdr:col>2</xdr:col>
      <xdr:colOff>1858857</xdr:colOff>
      <xdr:row>3</xdr:row>
      <xdr:rowOff>133350</xdr:rowOff>
    </xdr:to>
    <xdr:sp macro="" textlink="">
      <xdr:nvSpPr>
        <xdr:cNvPr id="6" name="Oval 5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SpPr/>
      </xdr:nvSpPr>
      <xdr:spPr>
        <a:xfrm>
          <a:off x="161925" y="527050"/>
          <a:ext cx="2477982" cy="3492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1952625</xdr:colOff>
      <xdr:row>2</xdr:row>
      <xdr:rowOff>0</xdr:rowOff>
    </xdr:from>
    <xdr:to>
      <xdr:col>4</xdr:col>
      <xdr:colOff>30057</xdr:colOff>
      <xdr:row>3</xdr:row>
      <xdr:rowOff>133350</xdr:rowOff>
    </xdr:to>
    <xdr:sp macro="" textlink="">
      <xdr:nvSpPr>
        <xdr:cNvPr id="7" name="Oval 6">
          <a:hlinkClick xmlns:r="http://schemas.openxmlformats.org/officeDocument/2006/relationships" r:id="rId2" tooltip="ACCOUNTS"/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SpPr/>
      </xdr:nvSpPr>
      <xdr:spPr>
        <a:xfrm>
          <a:off x="2733675" y="514350"/>
          <a:ext cx="2477982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ACCOUNTS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146798</xdr:colOff>
      <xdr:row>0</xdr:row>
      <xdr:rowOff>0</xdr:rowOff>
    </xdr:from>
    <xdr:to>
      <xdr:col>2</xdr:col>
      <xdr:colOff>2066925</xdr:colOff>
      <xdr:row>2</xdr:row>
      <xdr:rowOff>0</xdr:rowOff>
    </xdr:to>
    <xdr:sp macro="" textlink="">
      <xdr:nvSpPr>
        <xdr:cNvPr id="2" name="Arrow: Left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SpPr/>
      </xdr:nvSpPr>
      <xdr:spPr>
        <a:xfrm>
          <a:off x="927848" y="0"/>
          <a:ext cx="1920127" cy="514350"/>
        </a:xfrm>
        <a:prstGeom prst="leftArrow">
          <a:avLst/>
        </a:prstGeom>
        <a:solidFill>
          <a:srgbClr val="0000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>
              <a:latin typeface="Arial" panose="020B0604020202020204" pitchFamily="34" charset="0"/>
              <a:cs typeface="Arial" panose="020B06040202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2266951</xdr:colOff>
      <xdr:row>0</xdr:row>
      <xdr:rowOff>19050</xdr:rowOff>
    </xdr:from>
    <xdr:to>
      <xdr:col>6</xdr:col>
      <xdr:colOff>0</xdr:colOff>
      <xdr:row>2</xdr:row>
      <xdr:rowOff>19050</xdr:rowOff>
    </xdr:to>
    <xdr:sp macro="" textlink="">
      <xdr:nvSpPr>
        <xdr:cNvPr id="3" name="Arrow: Right 4">
          <a:hlinkClick xmlns:r="http://schemas.openxmlformats.org/officeDocument/2006/relationships" r:id="rId2" tooltip="ACCOUNT"/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>
          <a:off x="3048001" y="19050"/>
          <a:ext cx="5391149" cy="514350"/>
        </a:xfrm>
        <a:prstGeom prst="rightArrow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>
              <a:latin typeface="Arial" panose="020B0604020202020204" pitchFamily="34" charset="0"/>
              <a:cs typeface="Arial" panose="020B0604020202020204" pitchFamily="34" charset="0"/>
            </a:rPr>
            <a:t>ACCOUNT</a:t>
          </a:r>
        </a:p>
      </xdr:txBody>
    </xdr:sp>
    <xdr:clientData/>
  </xdr:twoCellAnchor>
  <xdr:twoCellAnchor>
    <xdr:from>
      <xdr:col>1</xdr:col>
      <xdr:colOff>0</xdr:colOff>
      <xdr:row>2</xdr:row>
      <xdr:rowOff>12700</xdr:rowOff>
    </xdr:from>
    <xdr:to>
      <xdr:col>2</xdr:col>
      <xdr:colOff>1858857</xdr:colOff>
      <xdr:row>3</xdr:row>
      <xdr:rowOff>133350</xdr:rowOff>
    </xdr:to>
    <xdr:sp macro="" textlink="">
      <xdr:nvSpPr>
        <xdr:cNvPr id="6" name="Oval 5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SpPr/>
      </xdr:nvSpPr>
      <xdr:spPr>
        <a:xfrm>
          <a:off x="161925" y="527050"/>
          <a:ext cx="2477982" cy="3492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1952625</xdr:colOff>
      <xdr:row>2</xdr:row>
      <xdr:rowOff>0</xdr:rowOff>
    </xdr:from>
    <xdr:to>
      <xdr:col>4</xdr:col>
      <xdr:colOff>30057</xdr:colOff>
      <xdr:row>3</xdr:row>
      <xdr:rowOff>133350</xdr:rowOff>
    </xdr:to>
    <xdr:sp macro="" textlink="">
      <xdr:nvSpPr>
        <xdr:cNvPr id="7" name="Oval 6">
          <a:hlinkClick xmlns:r="http://schemas.openxmlformats.org/officeDocument/2006/relationships" r:id="rId2" tooltip="ACCOUNTS"/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SpPr/>
      </xdr:nvSpPr>
      <xdr:spPr>
        <a:xfrm>
          <a:off x="2733675" y="514350"/>
          <a:ext cx="2477982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ACCOUNTS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12700</xdr:rowOff>
    </xdr:from>
    <xdr:to>
      <xdr:col>2</xdr:col>
      <xdr:colOff>2477982</xdr:colOff>
      <xdr:row>1</xdr:row>
      <xdr:rowOff>133350</xdr:rowOff>
    </xdr:to>
    <xdr:sp macro="" textlink="">
      <xdr:nvSpPr>
        <xdr:cNvPr id="2" name="Oval 1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8B356896-F70C-44BC-B887-96A63DC15297}"/>
            </a:ext>
          </a:extLst>
        </xdr:cNvPr>
        <xdr:cNvSpPr/>
      </xdr:nvSpPr>
      <xdr:spPr>
        <a:xfrm>
          <a:off x="800100" y="12700"/>
          <a:ext cx="2477982" cy="3492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2571751</xdr:colOff>
      <xdr:row>0</xdr:row>
      <xdr:rowOff>0</xdr:rowOff>
    </xdr:from>
    <xdr:to>
      <xdr:col>4</xdr:col>
      <xdr:colOff>257175</xdr:colOff>
      <xdr:row>1</xdr:row>
      <xdr:rowOff>133350</xdr:rowOff>
    </xdr:to>
    <xdr:sp macro="" textlink="">
      <xdr:nvSpPr>
        <xdr:cNvPr id="3" name="Oval 2">
          <a:hlinkClick xmlns:r="http://schemas.openxmlformats.org/officeDocument/2006/relationships" r:id="rId2" tooltip="ACCOUNTS"/>
          <a:extLst>
            <a:ext uri="{FF2B5EF4-FFF2-40B4-BE49-F238E27FC236}">
              <a16:creationId xmlns:a16="http://schemas.microsoft.com/office/drawing/2014/main" id="{6A74EE47-93C0-40CF-A9EA-632A125C03F6}"/>
            </a:ext>
          </a:extLst>
        </xdr:cNvPr>
        <xdr:cNvSpPr/>
      </xdr:nvSpPr>
      <xdr:spPr>
        <a:xfrm>
          <a:off x="3371851" y="0"/>
          <a:ext cx="2400299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ACCOUNTS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12700</xdr:rowOff>
    </xdr:from>
    <xdr:to>
      <xdr:col>1</xdr:col>
      <xdr:colOff>2477982</xdr:colOff>
      <xdr:row>1</xdr:row>
      <xdr:rowOff>0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/>
      </xdr:nvSpPr>
      <xdr:spPr>
        <a:xfrm>
          <a:off x="257175" y="12700"/>
          <a:ext cx="2477982" cy="3492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1</xdr:col>
      <xdr:colOff>2581275</xdr:colOff>
      <xdr:row>0</xdr:row>
      <xdr:rowOff>0</xdr:rowOff>
    </xdr:from>
    <xdr:to>
      <xdr:col>2</xdr:col>
      <xdr:colOff>647700</xdr:colOff>
      <xdr:row>1</xdr:row>
      <xdr:rowOff>0</xdr:rowOff>
    </xdr:to>
    <xdr:sp macro="" textlink="">
      <xdr:nvSpPr>
        <xdr:cNvPr id="5" name="Oval 4">
          <a:hlinkClick xmlns:r="http://schemas.openxmlformats.org/officeDocument/2006/relationships" r:id="rId2" tooltip="TREASURER BILL"/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/>
      </xdr:nvSpPr>
      <xdr:spPr>
        <a:xfrm>
          <a:off x="2838450" y="0"/>
          <a:ext cx="2724150" cy="3333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TREASURER</a:t>
          </a:r>
          <a:r>
            <a:rPr lang="en-GB" sz="1400" baseline="0">
              <a:latin typeface="Arial Black" panose="020B0A04020102020204" pitchFamily="34" charset="0"/>
            </a:rPr>
            <a:t> BILL</a:t>
          </a:r>
          <a:endParaRPr lang="en-GB" sz="1400">
            <a:latin typeface="Arial Black" panose="020B0A04020102020204" pitchFamily="34" charset="0"/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0</xdr:row>
      <xdr:rowOff>0</xdr:rowOff>
    </xdr:from>
    <xdr:to>
      <xdr:col>2</xdr:col>
      <xdr:colOff>2744682</xdr:colOff>
      <xdr:row>1</xdr:row>
      <xdr:rowOff>92075</xdr:rowOff>
    </xdr:to>
    <xdr:sp macro="" textlink="">
      <xdr:nvSpPr>
        <xdr:cNvPr id="6" name="Oval 5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525E1BAE-62DB-48BB-BD25-810A634C8546}"/>
            </a:ext>
          </a:extLst>
        </xdr:cNvPr>
        <xdr:cNvSpPr/>
      </xdr:nvSpPr>
      <xdr:spPr>
        <a:xfrm>
          <a:off x="971550" y="0"/>
          <a:ext cx="2477982" cy="320675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4</xdr:col>
      <xdr:colOff>1209675</xdr:colOff>
      <xdr:row>1</xdr:row>
      <xdr:rowOff>104775</xdr:rowOff>
    </xdr:to>
    <xdr:sp macro="" textlink="">
      <xdr:nvSpPr>
        <xdr:cNvPr id="7" name="Oval 6">
          <a:hlinkClick xmlns:r="http://schemas.openxmlformats.org/officeDocument/2006/relationships" r:id="rId2" tooltip="TREASURER BILL"/>
          <a:extLst>
            <a:ext uri="{FF2B5EF4-FFF2-40B4-BE49-F238E27FC236}">
              <a16:creationId xmlns:a16="http://schemas.microsoft.com/office/drawing/2014/main" id="{862381E0-141C-4419-B83A-EF624307A7F7}"/>
            </a:ext>
          </a:extLst>
        </xdr:cNvPr>
        <xdr:cNvSpPr/>
      </xdr:nvSpPr>
      <xdr:spPr>
        <a:xfrm>
          <a:off x="3829050" y="0"/>
          <a:ext cx="2724150" cy="3333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TREASURER</a:t>
          </a:r>
          <a:r>
            <a:rPr lang="en-GB" sz="1400" baseline="0">
              <a:latin typeface="Arial Black" panose="020B0A04020102020204" pitchFamily="34" charset="0"/>
            </a:rPr>
            <a:t> BILL</a:t>
          </a:r>
          <a:endParaRPr lang="en-GB" sz="1400">
            <a:latin typeface="Arial Black" panose="020B0A04020102020204" pitchFamily="34" charset="0"/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0</xdr:row>
      <xdr:rowOff>0</xdr:rowOff>
    </xdr:from>
    <xdr:to>
      <xdr:col>2</xdr:col>
      <xdr:colOff>2744682</xdr:colOff>
      <xdr:row>1</xdr:row>
      <xdr:rowOff>92075</xdr:rowOff>
    </xdr:to>
    <xdr:sp macro="" textlink="">
      <xdr:nvSpPr>
        <xdr:cNvPr id="6" name="Oval 5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F66AC014-0823-4F5D-A474-486593F25717}"/>
            </a:ext>
          </a:extLst>
        </xdr:cNvPr>
        <xdr:cNvSpPr/>
      </xdr:nvSpPr>
      <xdr:spPr>
        <a:xfrm>
          <a:off x="971550" y="0"/>
          <a:ext cx="2477982" cy="320675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3086100</xdr:colOff>
      <xdr:row>0</xdr:row>
      <xdr:rowOff>0</xdr:rowOff>
    </xdr:from>
    <xdr:to>
      <xdr:col>4</xdr:col>
      <xdr:colOff>1209675</xdr:colOff>
      <xdr:row>1</xdr:row>
      <xdr:rowOff>104775</xdr:rowOff>
    </xdr:to>
    <xdr:sp macro="" textlink="">
      <xdr:nvSpPr>
        <xdr:cNvPr id="7" name="Oval 6">
          <a:hlinkClick xmlns:r="http://schemas.openxmlformats.org/officeDocument/2006/relationships" r:id="rId2" tooltip="TREASURER BILL"/>
          <a:extLst>
            <a:ext uri="{FF2B5EF4-FFF2-40B4-BE49-F238E27FC236}">
              <a16:creationId xmlns:a16="http://schemas.microsoft.com/office/drawing/2014/main" id="{E1CD55D3-042F-4713-AFB4-54272E469562}"/>
            </a:ext>
          </a:extLst>
        </xdr:cNvPr>
        <xdr:cNvSpPr/>
      </xdr:nvSpPr>
      <xdr:spPr>
        <a:xfrm>
          <a:off x="3886200" y="0"/>
          <a:ext cx="2752725" cy="3333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TREASURER</a:t>
          </a:r>
          <a:r>
            <a:rPr lang="en-GB" sz="1400" baseline="0">
              <a:latin typeface="Arial Black" panose="020B0A04020102020204" pitchFamily="34" charset="0"/>
            </a:rPr>
            <a:t> BILL</a:t>
          </a:r>
          <a:endParaRPr lang="en-GB" sz="1400">
            <a:latin typeface="Arial Black" panose="020B0A04020102020204" pitchFamily="34" charset="0"/>
          </a:endParaRP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0</xdr:row>
      <xdr:rowOff>0</xdr:rowOff>
    </xdr:from>
    <xdr:to>
      <xdr:col>2</xdr:col>
      <xdr:colOff>2744682</xdr:colOff>
      <xdr:row>1</xdr:row>
      <xdr:rowOff>92075</xdr:rowOff>
    </xdr:to>
    <xdr:sp macro="" textlink="">
      <xdr:nvSpPr>
        <xdr:cNvPr id="2" name="Oval 1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D1F5EA89-A3BA-4C80-9E2C-3615B83336B4}"/>
            </a:ext>
          </a:extLst>
        </xdr:cNvPr>
        <xdr:cNvSpPr/>
      </xdr:nvSpPr>
      <xdr:spPr>
        <a:xfrm>
          <a:off x="971550" y="0"/>
          <a:ext cx="2477982" cy="339725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2962275</xdr:colOff>
      <xdr:row>0</xdr:row>
      <xdr:rowOff>9525</xdr:rowOff>
    </xdr:from>
    <xdr:to>
      <xdr:col>4</xdr:col>
      <xdr:colOff>295275</xdr:colOff>
      <xdr:row>1</xdr:row>
      <xdr:rowOff>114300</xdr:rowOff>
    </xdr:to>
    <xdr:sp macro="" textlink="">
      <xdr:nvSpPr>
        <xdr:cNvPr id="3" name="Oval 2">
          <a:hlinkClick xmlns:r="http://schemas.openxmlformats.org/officeDocument/2006/relationships" r:id="rId2" tooltip="TREASURER BILL"/>
          <a:extLst>
            <a:ext uri="{FF2B5EF4-FFF2-40B4-BE49-F238E27FC236}">
              <a16:creationId xmlns:a16="http://schemas.microsoft.com/office/drawing/2014/main" id="{A5D4A43D-D933-46D6-B238-9ACC8013027D}"/>
            </a:ext>
          </a:extLst>
        </xdr:cNvPr>
        <xdr:cNvSpPr/>
      </xdr:nvSpPr>
      <xdr:spPr>
        <a:xfrm>
          <a:off x="3762375" y="9525"/>
          <a:ext cx="3057525" cy="352425"/>
        </a:xfrm>
        <a:prstGeom prst="ellipse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TREASURER</a:t>
          </a:r>
          <a:r>
            <a:rPr lang="en-GB" sz="1400" baseline="0">
              <a:latin typeface="Arial Black" panose="020B0A04020102020204" pitchFamily="34" charset="0"/>
            </a:rPr>
            <a:t> BILL</a:t>
          </a:r>
          <a:endParaRPr lang="en-GB" sz="1400">
            <a:latin typeface="Arial Black" panose="020B0A04020102020204" pitchFamily="34" charset="0"/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0</xdr:row>
      <xdr:rowOff>0</xdr:rowOff>
    </xdr:from>
    <xdr:to>
      <xdr:col>2</xdr:col>
      <xdr:colOff>2106507</xdr:colOff>
      <xdr:row>1</xdr:row>
      <xdr:rowOff>92075</xdr:rowOff>
    </xdr:to>
    <xdr:sp macro="" textlink="">
      <xdr:nvSpPr>
        <xdr:cNvPr id="6" name="Oval 5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40285700-B0FE-4245-9CDF-2A876A829744}"/>
            </a:ext>
          </a:extLst>
        </xdr:cNvPr>
        <xdr:cNvSpPr/>
      </xdr:nvSpPr>
      <xdr:spPr>
        <a:xfrm>
          <a:off x="581025" y="0"/>
          <a:ext cx="2477982" cy="339725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2124075</xdr:colOff>
      <xdr:row>0</xdr:row>
      <xdr:rowOff>0</xdr:rowOff>
    </xdr:from>
    <xdr:to>
      <xdr:col>3</xdr:col>
      <xdr:colOff>885825</xdr:colOff>
      <xdr:row>1</xdr:row>
      <xdr:rowOff>104775</xdr:rowOff>
    </xdr:to>
    <xdr:sp macro="" textlink="">
      <xdr:nvSpPr>
        <xdr:cNvPr id="7" name="Oval 6">
          <a:hlinkClick xmlns:r="http://schemas.openxmlformats.org/officeDocument/2006/relationships" r:id="rId2" tooltip="TREASURER BILL"/>
          <a:extLst>
            <a:ext uri="{FF2B5EF4-FFF2-40B4-BE49-F238E27FC236}">
              <a16:creationId xmlns:a16="http://schemas.microsoft.com/office/drawing/2014/main" id="{541D7B7A-BD88-45FB-805D-AFBB94D889BF}"/>
            </a:ext>
          </a:extLst>
        </xdr:cNvPr>
        <xdr:cNvSpPr/>
      </xdr:nvSpPr>
      <xdr:spPr>
        <a:xfrm>
          <a:off x="3076575" y="0"/>
          <a:ext cx="2705100" cy="352425"/>
        </a:xfrm>
        <a:prstGeom prst="ellipse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TREASURER</a:t>
          </a:r>
          <a:r>
            <a:rPr lang="en-GB" sz="1400" baseline="0">
              <a:latin typeface="Arial Black" panose="020B0A04020102020204" pitchFamily="34" charset="0"/>
            </a:rPr>
            <a:t> BILL</a:t>
          </a:r>
          <a:endParaRPr lang="en-GB" sz="1400">
            <a:latin typeface="Arial Black" panose="020B0A04020102020204" pitchFamily="34" charset="0"/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822035</xdr:colOff>
      <xdr:row>0</xdr:row>
      <xdr:rowOff>0</xdr:rowOff>
    </xdr:from>
    <xdr:to>
      <xdr:col>1</xdr:col>
      <xdr:colOff>3201883</xdr:colOff>
      <xdr:row>1</xdr:row>
      <xdr:rowOff>92075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BA77D6C5-1EBF-425D-B9BF-F1EF77F5A1F9}"/>
            </a:ext>
          </a:extLst>
        </xdr:cNvPr>
        <xdr:cNvSpPr/>
      </xdr:nvSpPr>
      <xdr:spPr>
        <a:xfrm>
          <a:off x="1012535" y="0"/>
          <a:ext cx="2379848" cy="339725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1</xdr:col>
      <xdr:colOff>3381375</xdr:colOff>
      <xdr:row>0</xdr:row>
      <xdr:rowOff>0</xdr:rowOff>
    </xdr:from>
    <xdr:to>
      <xdr:col>2</xdr:col>
      <xdr:colOff>1104900</xdr:colOff>
      <xdr:row>1</xdr:row>
      <xdr:rowOff>104775</xdr:rowOff>
    </xdr:to>
    <xdr:sp macro="" textlink="">
      <xdr:nvSpPr>
        <xdr:cNvPr id="5" name="Oval 4">
          <a:hlinkClick xmlns:r="http://schemas.openxmlformats.org/officeDocument/2006/relationships" r:id="rId2" tooltip="TREASURER BILL"/>
          <a:extLst>
            <a:ext uri="{FF2B5EF4-FFF2-40B4-BE49-F238E27FC236}">
              <a16:creationId xmlns:a16="http://schemas.microsoft.com/office/drawing/2014/main" id="{01BCA029-CDE3-4CD2-9568-AC815935B432}"/>
            </a:ext>
          </a:extLst>
        </xdr:cNvPr>
        <xdr:cNvSpPr/>
      </xdr:nvSpPr>
      <xdr:spPr>
        <a:xfrm>
          <a:off x="3571875" y="0"/>
          <a:ext cx="2752725" cy="352425"/>
        </a:xfrm>
        <a:prstGeom prst="ellipse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TREASURER</a:t>
          </a:r>
          <a:r>
            <a:rPr lang="en-GB" sz="1400" baseline="0">
              <a:latin typeface="Arial Black" panose="020B0A04020102020204" pitchFamily="34" charset="0"/>
            </a:rPr>
            <a:t> BILL</a:t>
          </a:r>
          <a:endParaRPr lang="en-GB" sz="1400">
            <a:latin typeface="Arial Black" panose="020B0A04020102020204" pitchFamily="34" charset="0"/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0</xdr:row>
      <xdr:rowOff>0</xdr:rowOff>
    </xdr:from>
    <xdr:to>
      <xdr:col>3</xdr:col>
      <xdr:colOff>628650</xdr:colOff>
      <xdr:row>1</xdr:row>
      <xdr:rowOff>92075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6F102C2D-B360-45F8-B0B7-2B42E61DF1F6}"/>
            </a:ext>
          </a:extLst>
        </xdr:cNvPr>
        <xdr:cNvSpPr/>
      </xdr:nvSpPr>
      <xdr:spPr>
        <a:xfrm>
          <a:off x="619125" y="0"/>
          <a:ext cx="2181225" cy="339725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3</xdr:col>
      <xdr:colOff>704850</xdr:colOff>
      <xdr:row>0</xdr:row>
      <xdr:rowOff>0</xdr:rowOff>
    </xdr:from>
    <xdr:to>
      <xdr:col>4</xdr:col>
      <xdr:colOff>1914525</xdr:colOff>
      <xdr:row>1</xdr:row>
      <xdr:rowOff>104775</xdr:rowOff>
    </xdr:to>
    <xdr:sp macro="" textlink="">
      <xdr:nvSpPr>
        <xdr:cNvPr id="5" name="Oval 4">
          <a:hlinkClick xmlns:r="http://schemas.openxmlformats.org/officeDocument/2006/relationships" r:id="rId2" tooltip="TREASURER BILL"/>
          <a:extLst>
            <a:ext uri="{FF2B5EF4-FFF2-40B4-BE49-F238E27FC236}">
              <a16:creationId xmlns:a16="http://schemas.microsoft.com/office/drawing/2014/main" id="{767FD4A1-CA6A-4225-B60A-FA7F3117EB63}"/>
            </a:ext>
          </a:extLst>
        </xdr:cNvPr>
        <xdr:cNvSpPr/>
      </xdr:nvSpPr>
      <xdr:spPr>
        <a:xfrm>
          <a:off x="2876550" y="0"/>
          <a:ext cx="2905125" cy="352425"/>
        </a:xfrm>
        <a:prstGeom prst="ellipse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TREASURER</a:t>
          </a:r>
          <a:r>
            <a:rPr lang="en-GB" sz="1400" baseline="0">
              <a:latin typeface="Arial Black" panose="020B0A04020102020204" pitchFamily="34" charset="0"/>
            </a:rPr>
            <a:t> BILL</a:t>
          </a:r>
          <a:endParaRPr lang="en-GB" sz="1400">
            <a:latin typeface="Arial Black" panose="020B0A04020102020204" pitchFamily="34" charset="0"/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0</xdr:row>
      <xdr:rowOff>0</xdr:rowOff>
    </xdr:from>
    <xdr:to>
      <xdr:col>3</xdr:col>
      <xdr:colOff>590550</xdr:colOff>
      <xdr:row>1</xdr:row>
      <xdr:rowOff>92075</xdr:rowOff>
    </xdr:to>
    <xdr:sp macro="" textlink="">
      <xdr:nvSpPr>
        <xdr:cNvPr id="2" name="Oval 1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5C12FC93-A717-47F8-A2E0-BB041AC4F422}"/>
            </a:ext>
          </a:extLst>
        </xdr:cNvPr>
        <xdr:cNvSpPr/>
      </xdr:nvSpPr>
      <xdr:spPr>
        <a:xfrm>
          <a:off x="619125" y="0"/>
          <a:ext cx="2143125" cy="339725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3</xdr:col>
      <xdr:colOff>733425</xdr:colOff>
      <xdr:row>0</xdr:row>
      <xdr:rowOff>0</xdr:rowOff>
    </xdr:from>
    <xdr:to>
      <xdr:col>5</xdr:col>
      <xdr:colOff>9525</xdr:colOff>
      <xdr:row>1</xdr:row>
      <xdr:rowOff>104775</xdr:rowOff>
    </xdr:to>
    <xdr:sp macro="" textlink="">
      <xdr:nvSpPr>
        <xdr:cNvPr id="3" name="Oval 2">
          <a:hlinkClick xmlns:r="http://schemas.openxmlformats.org/officeDocument/2006/relationships" r:id="rId2" tooltip="TREASURER BILL"/>
          <a:extLst>
            <a:ext uri="{FF2B5EF4-FFF2-40B4-BE49-F238E27FC236}">
              <a16:creationId xmlns:a16="http://schemas.microsoft.com/office/drawing/2014/main" id="{C736E2A0-D91D-41B4-A397-D08F6145AFF2}"/>
            </a:ext>
          </a:extLst>
        </xdr:cNvPr>
        <xdr:cNvSpPr/>
      </xdr:nvSpPr>
      <xdr:spPr>
        <a:xfrm>
          <a:off x="2905125" y="0"/>
          <a:ext cx="2905125" cy="361950"/>
        </a:xfrm>
        <a:prstGeom prst="ellipse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TREASURER</a:t>
          </a:r>
          <a:r>
            <a:rPr lang="en-GB" sz="1400" baseline="0">
              <a:latin typeface="Arial Black" panose="020B0A04020102020204" pitchFamily="34" charset="0"/>
            </a:rPr>
            <a:t> BILL</a:t>
          </a:r>
          <a:endParaRPr lang="en-GB" sz="1400">
            <a:latin typeface="Arial Black" panose="020B0A04020102020204" pitchFamily="34" charset="0"/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0</xdr:row>
      <xdr:rowOff>0</xdr:rowOff>
    </xdr:from>
    <xdr:to>
      <xdr:col>3</xdr:col>
      <xdr:colOff>590550</xdr:colOff>
      <xdr:row>1</xdr:row>
      <xdr:rowOff>92075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2F329FBC-CDB1-4324-838E-52400A79C06F}"/>
            </a:ext>
          </a:extLst>
        </xdr:cNvPr>
        <xdr:cNvSpPr/>
      </xdr:nvSpPr>
      <xdr:spPr>
        <a:xfrm>
          <a:off x="619125" y="0"/>
          <a:ext cx="2143125" cy="339725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3</xdr:col>
      <xdr:colOff>609600</xdr:colOff>
      <xdr:row>0</xdr:row>
      <xdr:rowOff>0</xdr:rowOff>
    </xdr:from>
    <xdr:to>
      <xdr:col>4</xdr:col>
      <xdr:colOff>1819275</xdr:colOff>
      <xdr:row>1</xdr:row>
      <xdr:rowOff>104775</xdr:rowOff>
    </xdr:to>
    <xdr:sp macro="" textlink="">
      <xdr:nvSpPr>
        <xdr:cNvPr id="5" name="Oval 4">
          <a:hlinkClick xmlns:r="http://schemas.openxmlformats.org/officeDocument/2006/relationships" r:id="rId2" tooltip="TREASURER BILL"/>
          <a:extLst>
            <a:ext uri="{FF2B5EF4-FFF2-40B4-BE49-F238E27FC236}">
              <a16:creationId xmlns:a16="http://schemas.microsoft.com/office/drawing/2014/main" id="{FA1194EE-4EE7-4414-8294-746640FCA0B9}"/>
            </a:ext>
          </a:extLst>
        </xdr:cNvPr>
        <xdr:cNvSpPr/>
      </xdr:nvSpPr>
      <xdr:spPr>
        <a:xfrm>
          <a:off x="2781300" y="0"/>
          <a:ext cx="2905125" cy="352425"/>
        </a:xfrm>
        <a:prstGeom prst="ellipse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TREASURER</a:t>
          </a:r>
          <a:r>
            <a:rPr lang="en-GB" sz="1400" baseline="0">
              <a:latin typeface="Arial Black" panose="020B0A04020102020204" pitchFamily="34" charset="0"/>
            </a:rPr>
            <a:t> BILL</a:t>
          </a:r>
          <a:endParaRPr lang="en-GB" sz="1400">
            <a:latin typeface="Arial Black" panose="020B0A04020102020204" pitchFamily="34" charset="0"/>
          </a:endParaRP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0</xdr:row>
      <xdr:rowOff>0</xdr:rowOff>
    </xdr:from>
    <xdr:to>
      <xdr:col>3</xdr:col>
      <xdr:colOff>590550</xdr:colOff>
      <xdr:row>1</xdr:row>
      <xdr:rowOff>92075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18BC3A46-ABA3-47DF-9A82-7E0109FADDF4}"/>
            </a:ext>
          </a:extLst>
        </xdr:cNvPr>
        <xdr:cNvSpPr/>
      </xdr:nvSpPr>
      <xdr:spPr>
        <a:xfrm>
          <a:off x="619125" y="0"/>
          <a:ext cx="2143125" cy="339725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3</xdr:col>
      <xdr:colOff>752475</xdr:colOff>
      <xdr:row>0</xdr:row>
      <xdr:rowOff>0</xdr:rowOff>
    </xdr:from>
    <xdr:to>
      <xdr:col>5</xdr:col>
      <xdr:colOff>142875</xdr:colOff>
      <xdr:row>1</xdr:row>
      <xdr:rowOff>104775</xdr:rowOff>
    </xdr:to>
    <xdr:sp macro="" textlink="">
      <xdr:nvSpPr>
        <xdr:cNvPr id="5" name="Oval 4">
          <a:hlinkClick xmlns:r="http://schemas.openxmlformats.org/officeDocument/2006/relationships" r:id="rId2" tooltip="TREASURER BILL"/>
          <a:extLst>
            <a:ext uri="{FF2B5EF4-FFF2-40B4-BE49-F238E27FC236}">
              <a16:creationId xmlns:a16="http://schemas.microsoft.com/office/drawing/2014/main" id="{5AC509B1-A74A-446B-B024-BF274C8BAA45}"/>
            </a:ext>
          </a:extLst>
        </xdr:cNvPr>
        <xdr:cNvSpPr/>
      </xdr:nvSpPr>
      <xdr:spPr>
        <a:xfrm>
          <a:off x="2924175" y="0"/>
          <a:ext cx="2905125" cy="352425"/>
        </a:xfrm>
        <a:prstGeom prst="ellipse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TREASURER</a:t>
          </a:r>
          <a:r>
            <a:rPr lang="en-GB" sz="1400" baseline="0">
              <a:latin typeface="Arial Black" panose="020B0A04020102020204" pitchFamily="34" charset="0"/>
            </a:rPr>
            <a:t> BILL</a:t>
          </a:r>
          <a:endParaRPr lang="en-GB" sz="1400">
            <a:latin typeface="Arial Black" panose="020B0A04020102020204" pitchFamily="34" charset="0"/>
          </a:endParaRP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195049</xdr:colOff>
      <xdr:row>0</xdr:row>
      <xdr:rowOff>0</xdr:rowOff>
    </xdr:from>
    <xdr:to>
      <xdr:col>2</xdr:col>
      <xdr:colOff>2667000</xdr:colOff>
      <xdr:row>1</xdr:row>
      <xdr:rowOff>92075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43642513-4EA7-46B4-B777-966CE8B35E40}"/>
            </a:ext>
          </a:extLst>
        </xdr:cNvPr>
        <xdr:cNvSpPr/>
      </xdr:nvSpPr>
      <xdr:spPr>
        <a:xfrm>
          <a:off x="899899" y="0"/>
          <a:ext cx="2471951" cy="339725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2943226</xdr:colOff>
      <xdr:row>0</xdr:row>
      <xdr:rowOff>0</xdr:rowOff>
    </xdr:from>
    <xdr:to>
      <xdr:col>4</xdr:col>
      <xdr:colOff>200026</xdr:colOff>
      <xdr:row>1</xdr:row>
      <xdr:rowOff>104775</xdr:rowOff>
    </xdr:to>
    <xdr:sp macro="" textlink="">
      <xdr:nvSpPr>
        <xdr:cNvPr id="5" name="Oval 4">
          <a:hlinkClick xmlns:r="http://schemas.openxmlformats.org/officeDocument/2006/relationships" r:id="rId2" tooltip="TRADING"/>
          <a:extLst>
            <a:ext uri="{FF2B5EF4-FFF2-40B4-BE49-F238E27FC236}">
              <a16:creationId xmlns:a16="http://schemas.microsoft.com/office/drawing/2014/main" id="{B61D5713-3764-4A83-B095-4CE093620519}"/>
            </a:ext>
          </a:extLst>
        </xdr:cNvPr>
        <xdr:cNvSpPr/>
      </xdr:nvSpPr>
      <xdr:spPr>
        <a:xfrm>
          <a:off x="3648076" y="0"/>
          <a:ext cx="1924050" cy="352425"/>
        </a:xfrm>
        <a:prstGeom prst="ellipse">
          <a:avLst/>
        </a:prstGeom>
        <a:solidFill>
          <a:srgbClr val="7030A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TRADING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195049</xdr:colOff>
      <xdr:row>0</xdr:row>
      <xdr:rowOff>0</xdr:rowOff>
    </xdr:from>
    <xdr:to>
      <xdr:col>2</xdr:col>
      <xdr:colOff>2667000</xdr:colOff>
      <xdr:row>1</xdr:row>
      <xdr:rowOff>92075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CF053F73-6467-4D49-8D89-DE90B58D99D1}"/>
            </a:ext>
          </a:extLst>
        </xdr:cNvPr>
        <xdr:cNvSpPr/>
      </xdr:nvSpPr>
      <xdr:spPr>
        <a:xfrm>
          <a:off x="899899" y="0"/>
          <a:ext cx="2471951" cy="339725"/>
        </a:xfrm>
        <a:prstGeom prst="ellipse">
          <a:avLst/>
        </a:prstGeom>
        <a:solidFill>
          <a:srgbClr val="0000FF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2943226</xdr:colOff>
      <xdr:row>0</xdr:row>
      <xdr:rowOff>0</xdr:rowOff>
    </xdr:from>
    <xdr:to>
      <xdr:col>4</xdr:col>
      <xdr:colOff>200026</xdr:colOff>
      <xdr:row>1</xdr:row>
      <xdr:rowOff>104775</xdr:rowOff>
    </xdr:to>
    <xdr:sp macro="" textlink="">
      <xdr:nvSpPr>
        <xdr:cNvPr id="5" name="Oval 4">
          <a:hlinkClick xmlns:r="http://schemas.openxmlformats.org/officeDocument/2006/relationships" r:id="rId2" tooltip="TRADING"/>
          <a:extLst>
            <a:ext uri="{FF2B5EF4-FFF2-40B4-BE49-F238E27FC236}">
              <a16:creationId xmlns:a16="http://schemas.microsoft.com/office/drawing/2014/main" id="{D5721620-FA2A-435E-8786-1CFDF1BF70C0}"/>
            </a:ext>
          </a:extLst>
        </xdr:cNvPr>
        <xdr:cNvSpPr/>
      </xdr:nvSpPr>
      <xdr:spPr>
        <a:xfrm>
          <a:off x="3648076" y="0"/>
          <a:ext cx="1924050" cy="352425"/>
        </a:xfrm>
        <a:prstGeom prst="ellipse">
          <a:avLst/>
        </a:prstGeom>
        <a:solidFill>
          <a:srgbClr val="7030A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rial Black" panose="020B0A04020102020204" pitchFamily="34" charset="0"/>
            </a:rPr>
            <a:t>TRADING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275580</xdr:colOff>
      <xdr:row>1</xdr:row>
      <xdr:rowOff>9527</xdr:rowOff>
    </xdr:from>
    <xdr:to>
      <xdr:col>3</xdr:col>
      <xdr:colOff>790574</xdr:colOff>
      <xdr:row>1</xdr:row>
      <xdr:rowOff>304800</xdr:rowOff>
    </xdr:to>
    <xdr:sp macro="" textlink="">
      <xdr:nvSpPr>
        <xdr:cNvPr id="2" name="Oval 1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9F9CD3CF-E06C-4D97-8DF4-211EFA08C19E}"/>
            </a:ext>
          </a:extLst>
        </xdr:cNvPr>
        <xdr:cNvSpPr/>
      </xdr:nvSpPr>
      <xdr:spPr>
        <a:xfrm>
          <a:off x="485130" y="9527"/>
          <a:ext cx="2200919" cy="295273"/>
        </a:xfrm>
        <a:prstGeom prst="ellipse">
          <a:avLst/>
        </a:prstGeom>
        <a:solidFill>
          <a:srgbClr val="0000FF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3</xdr:col>
      <xdr:colOff>994584</xdr:colOff>
      <xdr:row>1</xdr:row>
      <xdr:rowOff>9525</xdr:rowOff>
    </xdr:from>
    <xdr:to>
      <xdr:col>4</xdr:col>
      <xdr:colOff>2009774</xdr:colOff>
      <xdr:row>1</xdr:row>
      <xdr:rowOff>304800</xdr:rowOff>
    </xdr:to>
    <xdr:sp macro="" textlink="">
      <xdr:nvSpPr>
        <xdr:cNvPr id="3" name="Oval 2">
          <a:hlinkClick xmlns:r="http://schemas.openxmlformats.org/officeDocument/2006/relationships" r:id="rId2" tooltip="PERSONAL RECORD"/>
          <a:extLst>
            <a:ext uri="{FF2B5EF4-FFF2-40B4-BE49-F238E27FC236}">
              <a16:creationId xmlns:a16="http://schemas.microsoft.com/office/drawing/2014/main" id="{72B2C67A-D419-4292-9981-7B4A46745815}"/>
            </a:ext>
          </a:extLst>
        </xdr:cNvPr>
        <xdr:cNvSpPr/>
      </xdr:nvSpPr>
      <xdr:spPr>
        <a:xfrm>
          <a:off x="2890059" y="9525"/>
          <a:ext cx="3234515" cy="295275"/>
        </a:xfrm>
        <a:prstGeom prst="ellipse">
          <a:avLst/>
        </a:prstGeom>
        <a:solidFill>
          <a:srgbClr val="C0000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PERSONAL RECORDS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0</xdr:rowOff>
    </xdr:from>
    <xdr:to>
      <xdr:col>2</xdr:col>
      <xdr:colOff>2289810</xdr:colOff>
      <xdr:row>1</xdr:row>
      <xdr:rowOff>57150</xdr:rowOff>
    </xdr:to>
    <xdr:sp macro="" textlink="">
      <xdr:nvSpPr>
        <xdr:cNvPr id="2" name="Oval 1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08E997B5-9C8C-4ECC-9471-2B2BAEEBBAEE}"/>
            </a:ext>
          </a:extLst>
        </xdr:cNvPr>
        <xdr:cNvSpPr/>
      </xdr:nvSpPr>
      <xdr:spPr>
        <a:xfrm>
          <a:off x="571500" y="0"/>
          <a:ext cx="2451735" cy="285750"/>
        </a:xfrm>
        <a:prstGeom prst="ellipse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4</xdr:col>
      <xdr:colOff>161925</xdr:colOff>
      <xdr:row>1</xdr:row>
      <xdr:rowOff>66675</xdr:rowOff>
    </xdr:to>
    <xdr:sp macro="" textlink="">
      <xdr:nvSpPr>
        <xdr:cNvPr id="4" name="Oval 3">
          <a:hlinkClick xmlns:r="http://schemas.openxmlformats.org/officeDocument/2006/relationships" r:id="rId2" tooltip="PERSONAL RECORD"/>
          <a:extLst>
            <a:ext uri="{FF2B5EF4-FFF2-40B4-BE49-F238E27FC236}">
              <a16:creationId xmlns:a16="http://schemas.microsoft.com/office/drawing/2014/main" id="{870F8C4F-632A-4CD3-9A87-DDBF04EE9324}"/>
            </a:ext>
          </a:extLst>
        </xdr:cNvPr>
        <xdr:cNvSpPr/>
      </xdr:nvSpPr>
      <xdr:spPr>
        <a:xfrm>
          <a:off x="3200400" y="0"/>
          <a:ext cx="3276600" cy="295275"/>
        </a:xfrm>
        <a:prstGeom prst="ellipse">
          <a:avLst/>
        </a:prstGeom>
        <a:solidFill>
          <a:srgbClr val="C0000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PERSONAL RECORDS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0</xdr:rowOff>
    </xdr:from>
    <xdr:to>
      <xdr:col>1</xdr:col>
      <xdr:colOff>2085975</xdr:colOff>
      <xdr:row>0</xdr:row>
      <xdr:rowOff>304798</xdr:rowOff>
    </xdr:to>
    <xdr:sp macro="" textlink="">
      <xdr:nvSpPr>
        <xdr:cNvPr id="4" name="Oval 3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BC92BD95-ADD8-4716-A40D-68A5AEBA8118}"/>
            </a:ext>
          </a:extLst>
        </xdr:cNvPr>
        <xdr:cNvSpPr/>
      </xdr:nvSpPr>
      <xdr:spPr>
        <a:xfrm>
          <a:off x="209550" y="0"/>
          <a:ext cx="2038350" cy="304798"/>
        </a:xfrm>
        <a:prstGeom prst="ellipse">
          <a:avLst/>
        </a:prstGeom>
        <a:solidFill>
          <a:srgbClr val="0000FF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1</xdr:col>
      <xdr:colOff>2216335</xdr:colOff>
      <xdr:row>0</xdr:row>
      <xdr:rowOff>0</xdr:rowOff>
    </xdr:from>
    <xdr:to>
      <xdr:col>3</xdr:col>
      <xdr:colOff>219074</xdr:colOff>
      <xdr:row>0</xdr:row>
      <xdr:rowOff>323848</xdr:rowOff>
    </xdr:to>
    <xdr:sp macro="" textlink="">
      <xdr:nvSpPr>
        <xdr:cNvPr id="5" name="Oval 4">
          <a:hlinkClick xmlns:r="http://schemas.openxmlformats.org/officeDocument/2006/relationships" r:id="rId2" tooltip="PERSONAL RECORD"/>
          <a:extLst>
            <a:ext uri="{FF2B5EF4-FFF2-40B4-BE49-F238E27FC236}">
              <a16:creationId xmlns:a16="http://schemas.microsoft.com/office/drawing/2014/main" id="{A83723EC-13E5-4A3F-9918-1938488FFFDA}"/>
            </a:ext>
          </a:extLst>
        </xdr:cNvPr>
        <xdr:cNvSpPr/>
      </xdr:nvSpPr>
      <xdr:spPr>
        <a:xfrm>
          <a:off x="2378260" y="0"/>
          <a:ext cx="3260539" cy="323848"/>
        </a:xfrm>
        <a:prstGeom prst="ellipse">
          <a:avLst/>
        </a:prstGeom>
        <a:solidFill>
          <a:srgbClr val="C0000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PERSONAL RECORDS</a:t>
          </a:r>
        </a:p>
      </xdr:txBody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304800</xdr:colOff>
      <xdr:row>5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CEB5EF8B-2F3E-4D25-B424-60093A23B1A0}"/>
            </a:ext>
          </a:extLst>
        </xdr:cNvPr>
        <xdr:cNvSpPr>
          <a:spLocks noChangeAspect="1" noChangeArrowheads="1"/>
        </xdr:cNvSpPr>
      </xdr:nvSpPr>
      <xdr:spPr bwMode="auto">
        <a:xfrm>
          <a:off x="6819900" y="679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304800</xdr:colOff>
      <xdr:row>5</xdr:row>
      <xdr:rowOff>304800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BC51A7AB-8058-4EB5-885C-581AFD03F2B9}"/>
            </a:ext>
          </a:extLst>
        </xdr:cNvPr>
        <xdr:cNvSpPr>
          <a:spLocks noChangeAspect="1" noChangeArrowheads="1"/>
        </xdr:cNvSpPr>
      </xdr:nvSpPr>
      <xdr:spPr bwMode="auto">
        <a:xfrm>
          <a:off x="6819900" y="679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304800</xdr:colOff>
      <xdr:row>5</xdr:row>
      <xdr:rowOff>304800</xdr:rowOff>
    </xdr:to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520ED600-E55F-4F7B-8957-DDDB6922327F}"/>
            </a:ext>
          </a:extLst>
        </xdr:cNvPr>
        <xdr:cNvSpPr>
          <a:spLocks noChangeAspect="1" noChangeArrowheads="1"/>
        </xdr:cNvSpPr>
      </xdr:nvSpPr>
      <xdr:spPr bwMode="auto">
        <a:xfrm>
          <a:off x="6819900" y="679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1695450</xdr:rowOff>
    </xdr:from>
    <xdr:to>
      <xdr:col>5</xdr:col>
      <xdr:colOff>304800</xdr:colOff>
      <xdr:row>4</xdr:row>
      <xdr:rowOff>38100</xdr:rowOff>
    </xdr:to>
    <xdr:sp macro="" textlink="">
      <xdr:nvSpPr>
        <xdr:cNvPr id="10" name="AutoShape 5">
          <a:extLst>
            <a:ext uri="{FF2B5EF4-FFF2-40B4-BE49-F238E27FC236}">
              <a16:creationId xmlns:a16="http://schemas.microsoft.com/office/drawing/2014/main" id="{9E1BC98C-9098-44F8-A5BB-A7E7BA7EBC82}"/>
            </a:ext>
          </a:extLst>
        </xdr:cNvPr>
        <xdr:cNvSpPr>
          <a:spLocks noChangeAspect="1" noChangeArrowheads="1"/>
        </xdr:cNvSpPr>
      </xdr:nvSpPr>
      <xdr:spPr bwMode="auto">
        <a:xfrm>
          <a:off x="6848475" y="467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6</xdr:row>
      <xdr:rowOff>304800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59F47AC9-61D4-4FE5-B42D-8374C334AA2D}"/>
            </a:ext>
          </a:extLst>
        </xdr:cNvPr>
        <xdr:cNvSpPr>
          <a:spLocks noChangeAspect="1" noChangeArrowheads="1"/>
        </xdr:cNvSpPr>
      </xdr:nvSpPr>
      <xdr:spPr bwMode="auto">
        <a:xfrm>
          <a:off x="6819900" y="86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6</xdr:row>
      <xdr:rowOff>304800</xdr:rowOff>
    </xdr:to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29AB09EC-5DA2-4DBB-8BB3-9836203E6AAF}"/>
            </a:ext>
          </a:extLst>
        </xdr:cNvPr>
        <xdr:cNvSpPr>
          <a:spLocks noChangeAspect="1" noChangeArrowheads="1"/>
        </xdr:cNvSpPr>
      </xdr:nvSpPr>
      <xdr:spPr bwMode="auto">
        <a:xfrm>
          <a:off x="6819900" y="86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6</xdr:row>
      <xdr:rowOff>304800</xdr:rowOff>
    </xdr:to>
    <xdr:sp macro="" textlink="">
      <xdr:nvSpPr>
        <xdr:cNvPr id="13" name="AutoShape 1" descr="Studio portrait of a middle-aged man">
          <a:extLst>
            <a:ext uri="{FF2B5EF4-FFF2-40B4-BE49-F238E27FC236}">
              <a16:creationId xmlns:a16="http://schemas.microsoft.com/office/drawing/2014/main" id="{1A8B8192-6ACD-416C-92CF-0EC3C05AC345}"/>
            </a:ext>
          </a:extLst>
        </xdr:cNvPr>
        <xdr:cNvSpPr>
          <a:spLocks noChangeAspect="1" noChangeArrowheads="1"/>
        </xdr:cNvSpPr>
      </xdr:nvSpPr>
      <xdr:spPr bwMode="auto">
        <a:xfrm>
          <a:off x="6819900" y="86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6</xdr:row>
      <xdr:rowOff>304800</xdr:rowOff>
    </xdr:to>
    <xdr:sp macro="" textlink="">
      <xdr:nvSpPr>
        <xdr:cNvPr id="14" name="AutoShape 2" descr="Studio portrait of a middle-aged man">
          <a:extLst>
            <a:ext uri="{FF2B5EF4-FFF2-40B4-BE49-F238E27FC236}">
              <a16:creationId xmlns:a16="http://schemas.microsoft.com/office/drawing/2014/main" id="{E569BCCF-8F80-40D2-B470-931B11D396BD}"/>
            </a:ext>
          </a:extLst>
        </xdr:cNvPr>
        <xdr:cNvSpPr>
          <a:spLocks noChangeAspect="1" noChangeArrowheads="1"/>
        </xdr:cNvSpPr>
      </xdr:nvSpPr>
      <xdr:spPr bwMode="auto">
        <a:xfrm>
          <a:off x="6819900" y="86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6</xdr:row>
      <xdr:rowOff>304800</xdr:rowOff>
    </xdr:to>
    <xdr:sp macro="" textlink="">
      <xdr:nvSpPr>
        <xdr:cNvPr id="15" name="AutoShape 3" descr="Studio portrait of a middle-aged man">
          <a:extLst>
            <a:ext uri="{FF2B5EF4-FFF2-40B4-BE49-F238E27FC236}">
              <a16:creationId xmlns:a16="http://schemas.microsoft.com/office/drawing/2014/main" id="{15604009-99BF-441B-B513-7002CCBE1495}"/>
            </a:ext>
          </a:extLst>
        </xdr:cNvPr>
        <xdr:cNvSpPr>
          <a:spLocks noChangeAspect="1" noChangeArrowheads="1"/>
        </xdr:cNvSpPr>
      </xdr:nvSpPr>
      <xdr:spPr bwMode="auto">
        <a:xfrm>
          <a:off x="6819900" y="86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6</xdr:row>
      <xdr:rowOff>304800</xdr:rowOff>
    </xdr:to>
    <xdr:sp macro="" textlink="">
      <xdr:nvSpPr>
        <xdr:cNvPr id="16" name="AutoShape 4" descr="Studio portrait of a middle-aged man">
          <a:extLst>
            <a:ext uri="{FF2B5EF4-FFF2-40B4-BE49-F238E27FC236}">
              <a16:creationId xmlns:a16="http://schemas.microsoft.com/office/drawing/2014/main" id="{DA2CA25D-38C7-48EB-ADF4-F2ACAA634139}"/>
            </a:ext>
          </a:extLst>
        </xdr:cNvPr>
        <xdr:cNvSpPr>
          <a:spLocks noChangeAspect="1" noChangeArrowheads="1"/>
        </xdr:cNvSpPr>
      </xdr:nvSpPr>
      <xdr:spPr bwMode="auto">
        <a:xfrm>
          <a:off x="6819900" y="86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6</xdr:row>
      <xdr:rowOff>304800</xdr:rowOff>
    </xdr:to>
    <xdr:sp macro="" textlink="">
      <xdr:nvSpPr>
        <xdr:cNvPr id="17" name="AutoShape 5" descr="Studio portrait of a middle-aged man">
          <a:extLst>
            <a:ext uri="{FF2B5EF4-FFF2-40B4-BE49-F238E27FC236}">
              <a16:creationId xmlns:a16="http://schemas.microsoft.com/office/drawing/2014/main" id="{7641F2C8-5DD2-461B-B524-FD07DE1C9490}"/>
            </a:ext>
          </a:extLst>
        </xdr:cNvPr>
        <xdr:cNvSpPr>
          <a:spLocks noChangeAspect="1" noChangeArrowheads="1"/>
        </xdr:cNvSpPr>
      </xdr:nvSpPr>
      <xdr:spPr bwMode="auto">
        <a:xfrm>
          <a:off x="6819900" y="86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7</xdr:row>
      <xdr:rowOff>304800</xdr:rowOff>
    </xdr:to>
    <xdr:sp macro="" textlink="">
      <xdr:nvSpPr>
        <xdr:cNvPr id="18" name="AutoShape 6" descr="Studio portrait of a middle-aged man">
          <a:extLst>
            <a:ext uri="{FF2B5EF4-FFF2-40B4-BE49-F238E27FC236}">
              <a16:creationId xmlns:a16="http://schemas.microsoft.com/office/drawing/2014/main" id="{87ACFE68-47BB-46AB-9928-117D077FA1DC}"/>
            </a:ext>
          </a:extLst>
        </xdr:cNvPr>
        <xdr:cNvSpPr>
          <a:spLocks noChangeAspect="1" noChangeArrowheads="1"/>
        </xdr:cNvSpPr>
      </xdr:nvSpPr>
      <xdr:spPr bwMode="auto">
        <a:xfrm>
          <a:off x="14839950" y="106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114299</xdr:colOff>
      <xdr:row>3</xdr:row>
      <xdr:rowOff>257174</xdr:rowOff>
    </xdr:from>
    <xdr:to>
      <xdr:col>4</xdr:col>
      <xdr:colOff>1805497</xdr:colOff>
      <xdr:row>3</xdr:row>
      <xdr:rowOff>1805174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B34EAF5-1076-85DF-4C9B-64AAF507A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699" y="3362324"/>
          <a:ext cx="1691198" cy="15480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85724</xdr:colOff>
      <xdr:row>4</xdr:row>
      <xdr:rowOff>171449</xdr:rowOff>
    </xdr:from>
    <xdr:to>
      <xdr:col>4</xdr:col>
      <xdr:colOff>1741724</xdr:colOff>
      <xdr:row>4</xdr:row>
      <xdr:rowOff>1827449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D31583B-42D0-C4FF-CBA8-7121FCA7C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4" y="5305424"/>
          <a:ext cx="1656000" cy="16560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238124</xdr:colOff>
      <xdr:row>5</xdr:row>
      <xdr:rowOff>228599</xdr:rowOff>
    </xdr:from>
    <xdr:to>
      <xdr:col>5</xdr:col>
      <xdr:colOff>8174</xdr:colOff>
      <xdr:row>5</xdr:row>
      <xdr:rowOff>1884599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E9D1657-9FE6-AD81-D34E-8ED4BD5F0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4" y="7391399"/>
          <a:ext cx="1656000" cy="16560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76199</xdr:colOff>
      <xdr:row>7</xdr:row>
      <xdr:rowOff>152400</xdr:rowOff>
    </xdr:from>
    <xdr:to>
      <xdr:col>4</xdr:col>
      <xdr:colOff>1768199</xdr:colOff>
      <xdr:row>7</xdr:row>
      <xdr:rowOff>1773337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B7451D4-907D-9D26-DD34-1B1B4038B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599" y="11372850"/>
          <a:ext cx="1692000" cy="162093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114300</xdr:colOff>
      <xdr:row>8</xdr:row>
      <xdr:rowOff>219075</xdr:rowOff>
    </xdr:from>
    <xdr:to>
      <xdr:col>4</xdr:col>
      <xdr:colOff>1734300</xdr:colOff>
      <xdr:row>8</xdr:row>
      <xdr:rowOff>1839075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0023ACD-015C-8CB8-5FA2-4A4B1E19A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0" y="13468350"/>
          <a:ext cx="1620000" cy="16200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123825</xdr:colOff>
      <xdr:row>11</xdr:row>
      <xdr:rowOff>238125</xdr:rowOff>
    </xdr:from>
    <xdr:to>
      <xdr:col>4</xdr:col>
      <xdr:colOff>1707825</xdr:colOff>
      <xdr:row>11</xdr:row>
      <xdr:rowOff>1822125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7F04DAE-2690-80D0-5FE9-D64AA3772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19573875"/>
          <a:ext cx="1584000" cy="15840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95248</xdr:colOff>
      <xdr:row>12</xdr:row>
      <xdr:rowOff>238124</xdr:rowOff>
    </xdr:from>
    <xdr:to>
      <xdr:col>4</xdr:col>
      <xdr:colOff>1752599</xdr:colOff>
      <xdr:row>12</xdr:row>
      <xdr:rowOff>1822124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6E6E918-CF3B-7D0A-A2CB-7D6B3BB02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48" y="21602699"/>
          <a:ext cx="1657351" cy="15840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85725</xdr:colOff>
      <xdr:row>14</xdr:row>
      <xdr:rowOff>238124</xdr:rowOff>
    </xdr:from>
    <xdr:to>
      <xdr:col>4</xdr:col>
      <xdr:colOff>1791449</xdr:colOff>
      <xdr:row>14</xdr:row>
      <xdr:rowOff>1858124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E16BF491-E0BF-C9F0-64DA-47A23FFED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25660349"/>
          <a:ext cx="1705724" cy="16200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133350</xdr:colOff>
      <xdr:row>20</xdr:row>
      <xdr:rowOff>123825</xdr:rowOff>
    </xdr:from>
    <xdr:to>
      <xdr:col>4</xdr:col>
      <xdr:colOff>1668600</xdr:colOff>
      <xdr:row>20</xdr:row>
      <xdr:rowOff>1801820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561FEA39-920F-F2FB-2A58-2062322F5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0" y="37719000"/>
          <a:ext cx="1535250" cy="167799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85723</xdr:colOff>
      <xdr:row>18</xdr:row>
      <xdr:rowOff>85723</xdr:rowOff>
    </xdr:from>
    <xdr:to>
      <xdr:col>4</xdr:col>
      <xdr:colOff>1628774</xdr:colOff>
      <xdr:row>18</xdr:row>
      <xdr:rowOff>1886835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8F5011-1211-8703-727C-3BA47FB6B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3" y="33623248"/>
          <a:ext cx="1543051" cy="180111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190499</xdr:colOff>
      <xdr:row>19</xdr:row>
      <xdr:rowOff>104775</xdr:rowOff>
    </xdr:from>
    <xdr:to>
      <xdr:col>4</xdr:col>
      <xdr:colOff>1724024</xdr:colOff>
      <xdr:row>19</xdr:row>
      <xdr:rowOff>1933301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410D46-D1B7-0978-577F-DFA277418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899" y="35671125"/>
          <a:ext cx="1533525" cy="182852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85725</xdr:colOff>
      <xdr:row>16</xdr:row>
      <xdr:rowOff>180975</xdr:rowOff>
    </xdr:from>
    <xdr:to>
      <xdr:col>4</xdr:col>
      <xdr:colOff>1814195</xdr:colOff>
      <xdr:row>16</xdr:row>
      <xdr:rowOff>1692910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8FB6661-92DA-E6C9-9625-017CD4AF4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29660850"/>
          <a:ext cx="1728470" cy="1511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123824</xdr:colOff>
      <xdr:row>21</xdr:row>
      <xdr:rowOff>85724</xdr:rowOff>
    </xdr:from>
    <xdr:to>
      <xdr:col>4</xdr:col>
      <xdr:colOff>1657349</xdr:colOff>
      <xdr:row>21</xdr:row>
      <xdr:rowOff>1934953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8D4987B-805D-B032-50E2-97AEC7A06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4" y="39709724"/>
          <a:ext cx="1533525" cy="184922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28573</xdr:colOff>
      <xdr:row>22</xdr:row>
      <xdr:rowOff>142873</xdr:rowOff>
    </xdr:from>
    <xdr:to>
      <xdr:col>4</xdr:col>
      <xdr:colOff>1808646</xdr:colOff>
      <xdr:row>23</xdr:row>
      <xdr:rowOff>68094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2EC4F21-0039-41CB-E43B-3C65470C9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3" y="41795698"/>
          <a:ext cx="1780073" cy="195404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123825</xdr:colOff>
      <xdr:row>25</xdr:row>
      <xdr:rowOff>123823</xdr:rowOff>
    </xdr:from>
    <xdr:to>
      <xdr:col>4</xdr:col>
      <xdr:colOff>1781175</xdr:colOff>
      <xdr:row>25</xdr:row>
      <xdr:rowOff>1962150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F49206-AE1E-1747-6899-0D60E2491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47863123"/>
          <a:ext cx="1657350" cy="183832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123824</xdr:colOff>
      <xdr:row>24</xdr:row>
      <xdr:rowOff>95251</xdr:rowOff>
    </xdr:from>
    <xdr:to>
      <xdr:col>4</xdr:col>
      <xdr:colOff>1638299</xdr:colOff>
      <xdr:row>24</xdr:row>
      <xdr:rowOff>1941908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2F9AEFB-FFE9-95AD-516D-D2EE9C71C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4" y="45805726"/>
          <a:ext cx="1514475" cy="184665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142874</xdr:colOff>
      <xdr:row>9</xdr:row>
      <xdr:rowOff>209550</xdr:rowOff>
    </xdr:from>
    <xdr:to>
      <xdr:col>4</xdr:col>
      <xdr:colOff>1695449</xdr:colOff>
      <xdr:row>9</xdr:row>
      <xdr:rowOff>1872524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DC0B400-0746-4FC9-9893-BCB2BEF6AE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779"/>
        <a:stretch>
          <a:fillRect/>
        </a:stretch>
      </xdr:blipFill>
      <xdr:spPr bwMode="auto">
        <a:xfrm>
          <a:off x="6391274" y="15487650"/>
          <a:ext cx="1552575" cy="166297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95250</xdr:colOff>
      <xdr:row>17</xdr:row>
      <xdr:rowOff>209550</xdr:rowOff>
    </xdr:from>
    <xdr:to>
      <xdr:col>4</xdr:col>
      <xdr:colOff>1787250</xdr:colOff>
      <xdr:row>17</xdr:row>
      <xdr:rowOff>1901550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44DDD22-D7AF-82DB-3C1F-6FC7C583A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31718250"/>
          <a:ext cx="1692000" cy="16920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85725</xdr:colOff>
      <xdr:row>2</xdr:row>
      <xdr:rowOff>152400</xdr:rowOff>
    </xdr:from>
    <xdr:to>
      <xdr:col>4</xdr:col>
      <xdr:colOff>1813725</xdr:colOff>
      <xdr:row>2</xdr:row>
      <xdr:rowOff>1759643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D7DE352-532C-47AF-8C5F-7167004B8D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32"/>
        <a:stretch>
          <a:fillRect/>
        </a:stretch>
      </xdr:blipFill>
      <xdr:spPr bwMode="auto">
        <a:xfrm>
          <a:off x="6334125" y="1228725"/>
          <a:ext cx="1728000" cy="160724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76201</xdr:rowOff>
    </xdr:from>
    <xdr:to>
      <xdr:col>2</xdr:col>
      <xdr:colOff>2022300</xdr:colOff>
      <xdr:row>2</xdr:row>
      <xdr:rowOff>1923008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002B802-ED0B-D077-0AA6-8A4BDA8497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90"/>
        <a:stretch>
          <a:fillRect/>
        </a:stretch>
      </xdr:blipFill>
      <xdr:spPr bwMode="auto">
        <a:xfrm>
          <a:off x="3657600" y="1152526"/>
          <a:ext cx="1908000" cy="1846807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76200</xdr:colOff>
      <xdr:row>3</xdr:row>
      <xdr:rowOff>76200</xdr:rowOff>
    </xdr:from>
    <xdr:to>
      <xdr:col>2</xdr:col>
      <xdr:colOff>2019935</xdr:colOff>
      <xdr:row>3</xdr:row>
      <xdr:rowOff>1939290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FD9206D-F45C-5D69-9C7F-D33D1EEAFD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61"/>
        <a:stretch>
          <a:fillRect/>
        </a:stretch>
      </xdr:blipFill>
      <xdr:spPr bwMode="auto">
        <a:xfrm>
          <a:off x="3619500" y="3181350"/>
          <a:ext cx="1943735" cy="186309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95250</xdr:colOff>
      <xdr:row>4</xdr:row>
      <xdr:rowOff>66675</xdr:rowOff>
    </xdr:from>
    <xdr:to>
      <xdr:col>2</xdr:col>
      <xdr:colOff>2038985</xdr:colOff>
      <xdr:row>4</xdr:row>
      <xdr:rowOff>1960245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FE63A5F-9F1D-A8ED-4DA8-D10108C818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82"/>
        <a:stretch>
          <a:fillRect/>
        </a:stretch>
      </xdr:blipFill>
      <xdr:spPr bwMode="auto">
        <a:xfrm>
          <a:off x="3638550" y="5200650"/>
          <a:ext cx="1943735" cy="189357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76200</xdr:colOff>
      <xdr:row>5</xdr:row>
      <xdr:rowOff>76200</xdr:rowOff>
    </xdr:from>
    <xdr:to>
      <xdr:col>2</xdr:col>
      <xdr:colOff>2019935</xdr:colOff>
      <xdr:row>5</xdr:row>
      <xdr:rowOff>1955800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1037213-9B84-42AE-3F8D-E24C78D26C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99"/>
        <a:stretch>
          <a:fillRect/>
        </a:stretch>
      </xdr:blipFill>
      <xdr:spPr bwMode="auto">
        <a:xfrm>
          <a:off x="3619500" y="7239000"/>
          <a:ext cx="1943735" cy="187960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95250</xdr:colOff>
      <xdr:row>7</xdr:row>
      <xdr:rowOff>85725</xdr:rowOff>
    </xdr:from>
    <xdr:to>
      <xdr:col>2</xdr:col>
      <xdr:colOff>1967250</xdr:colOff>
      <xdr:row>7</xdr:row>
      <xdr:rowOff>1957725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0E8CF7F-EC4C-2459-F971-02E35D4B2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11306175"/>
          <a:ext cx="1872000" cy="187200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2</xdr:col>
      <xdr:colOff>95250</xdr:colOff>
      <xdr:row>8</xdr:row>
      <xdr:rowOff>85726</xdr:rowOff>
    </xdr:from>
    <xdr:to>
      <xdr:col>2</xdr:col>
      <xdr:colOff>2003250</xdr:colOff>
      <xdr:row>8</xdr:row>
      <xdr:rowOff>1938652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4FE02875-C818-DCA1-CC50-C6A222950A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24"/>
        <a:stretch>
          <a:fillRect/>
        </a:stretch>
      </xdr:blipFill>
      <xdr:spPr bwMode="auto">
        <a:xfrm>
          <a:off x="3638550" y="13335001"/>
          <a:ext cx="1908000" cy="1852926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266700</xdr:colOff>
      <xdr:row>9</xdr:row>
      <xdr:rowOff>47625</xdr:rowOff>
    </xdr:from>
    <xdr:to>
      <xdr:col>2</xdr:col>
      <xdr:colOff>1981200</xdr:colOff>
      <xdr:row>9</xdr:row>
      <xdr:rowOff>1976579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6F82EB7-BE09-3761-8A0E-BE293019B4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40"/>
        <a:stretch>
          <a:fillRect/>
        </a:stretch>
      </xdr:blipFill>
      <xdr:spPr bwMode="auto">
        <a:xfrm>
          <a:off x="3810000" y="15325725"/>
          <a:ext cx="1714500" cy="1928954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57150</xdr:colOff>
      <xdr:row>11</xdr:row>
      <xdr:rowOff>95251</xdr:rowOff>
    </xdr:from>
    <xdr:to>
      <xdr:col>2</xdr:col>
      <xdr:colOff>2001150</xdr:colOff>
      <xdr:row>11</xdr:row>
      <xdr:rowOff>1936354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6D08AF1A-224A-C36B-943D-58EA562CF6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08"/>
        <a:stretch>
          <a:fillRect/>
        </a:stretch>
      </xdr:blipFill>
      <xdr:spPr bwMode="auto">
        <a:xfrm>
          <a:off x="3600450" y="19431001"/>
          <a:ext cx="1944000" cy="1841103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95250</xdr:colOff>
      <xdr:row>12</xdr:row>
      <xdr:rowOff>85726</xdr:rowOff>
    </xdr:from>
    <xdr:to>
      <xdr:col>2</xdr:col>
      <xdr:colOff>2003250</xdr:colOff>
      <xdr:row>12</xdr:row>
      <xdr:rowOff>1944657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9A3F4772-E1A0-C1A6-2CAF-DFD0C347C3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82"/>
        <a:stretch>
          <a:fillRect/>
        </a:stretch>
      </xdr:blipFill>
      <xdr:spPr bwMode="auto">
        <a:xfrm>
          <a:off x="3638550" y="21450301"/>
          <a:ext cx="1908000" cy="1858931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104775</xdr:colOff>
      <xdr:row>14</xdr:row>
      <xdr:rowOff>95250</xdr:rowOff>
    </xdr:from>
    <xdr:to>
      <xdr:col>2</xdr:col>
      <xdr:colOff>1976755</xdr:colOff>
      <xdr:row>14</xdr:row>
      <xdr:rowOff>1924050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625CE8DA-E3CB-15B9-8003-C479F8BB32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22"/>
        <a:stretch>
          <a:fillRect/>
        </a:stretch>
      </xdr:blipFill>
      <xdr:spPr bwMode="auto">
        <a:xfrm>
          <a:off x="3648075" y="25517475"/>
          <a:ext cx="1871980" cy="182880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85725</xdr:colOff>
      <xdr:row>16</xdr:row>
      <xdr:rowOff>104776</xdr:rowOff>
    </xdr:from>
    <xdr:to>
      <xdr:col>2</xdr:col>
      <xdr:colOff>2029725</xdr:colOff>
      <xdr:row>16</xdr:row>
      <xdr:rowOff>1962417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24033D29-F636-6FDF-302B-1FFA64662C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47"/>
        <a:stretch>
          <a:fillRect/>
        </a:stretch>
      </xdr:blipFill>
      <xdr:spPr bwMode="auto">
        <a:xfrm>
          <a:off x="3629025" y="29584651"/>
          <a:ext cx="1944000" cy="1857641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76200</xdr:colOff>
      <xdr:row>17</xdr:row>
      <xdr:rowOff>85725</xdr:rowOff>
    </xdr:from>
    <xdr:to>
      <xdr:col>2</xdr:col>
      <xdr:colOff>2019935</xdr:colOff>
      <xdr:row>17</xdr:row>
      <xdr:rowOff>1959610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9946FDF-9A9D-BDAC-3A6E-C2FBD6BCF4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87"/>
        <a:stretch>
          <a:fillRect/>
        </a:stretch>
      </xdr:blipFill>
      <xdr:spPr bwMode="auto">
        <a:xfrm>
          <a:off x="3619500" y="31594425"/>
          <a:ext cx="1943735" cy="1873885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85725</xdr:colOff>
      <xdr:row>18</xdr:row>
      <xdr:rowOff>85725</xdr:rowOff>
    </xdr:from>
    <xdr:to>
      <xdr:col>2</xdr:col>
      <xdr:colOff>1993265</xdr:colOff>
      <xdr:row>18</xdr:row>
      <xdr:rowOff>1892300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6A912261-7E42-026F-95D5-CA01833174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08"/>
        <a:stretch>
          <a:fillRect/>
        </a:stretch>
      </xdr:blipFill>
      <xdr:spPr bwMode="auto">
        <a:xfrm>
          <a:off x="3629025" y="33623250"/>
          <a:ext cx="1907540" cy="1806575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66675</xdr:colOff>
      <xdr:row>19</xdr:row>
      <xdr:rowOff>85725</xdr:rowOff>
    </xdr:from>
    <xdr:to>
      <xdr:col>2</xdr:col>
      <xdr:colOff>2010410</xdr:colOff>
      <xdr:row>19</xdr:row>
      <xdr:rowOff>1915160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49C246A7-3BA2-CFEA-A0A6-E35D70200E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882"/>
        <a:stretch>
          <a:fillRect/>
        </a:stretch>
      </xdr:blipFill>
      <xdr:spPr bwMode="auto">
        <a:xfrm>
          <a:off x="3609975" y="35652075"/>
          <a:ext cx="1943735" cy="1829435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76200</xdr:colOff>
      <xdr:row>20</xdr:row>
      <xdr:rowOff>104775</xdr:rowOff>
    </xdr:from>
    <xdr:to>
      <xdr:col>2</xdr:col>
      <xdr:colOff>2019935</xdr:colOff>
      <xdr:row>20</xdr:row>
      <xdr:rowOff>1920240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1480787A-926F-8711-BE10-27A746793F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600"/>
        <a:stretch>
          <a:fillRect/>
        </a:stretch>
      </xdr:blipFill>
      <xdr:spPr bwMode="auto">
        <a:xfrm>
          <a:off x="3619500" y="37699950"/>
          <a:ext cx="1943735" cy="1815465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95250</xdr:colOff>
      <xdr:row>21</xdr:row>
      <xdr:rowOff>114300</xdr:rowOff>
    </xdr:from>
    <xdr:to>
      <xdr:col>2</xdr:col>
      <xdr:colOff>2002790</xdr:colOff>
      <xdr:row>21</xdr:row>
      <xdr:rowOff>1890395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95175F89-A3C2-8E3D-11B4-759626E2A5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887"/>
        <a:stretch>
          <a:fillRect/>
        </a:stretch>
      </xdr:blipFill>
      <xdr:spPr bwMode="auto">
        <a:xfrm>
          <a:off x="3638550" y="39738300"/>
          <a:ext cx="1907540" cy="1776095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95250</xdr:colOff>
      <xdr:row>22</xdr:row>
      <xdr:rowOff>76200</xdr:rowOff>
    </xdr:from>
    <xdr:to>
      <xdr:col>2</xdr:col>
      <xdr:colOff>2038985</xdr:colOff>
      <xdr:row>22</xdr:row>
      <xdr:rowOff>1939290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BD88C7AD-9AE7-A8E6-52A3-3A36C2D02B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61"/>
        <a:stretch>
          <a:fillRect/>
        </a:stretch>
      </xdr:blipFill>
      <xdr:spPr bwMode="auto">
        <a:xfrm>
          <a:off x="3638550" y="41729025"/>
          <a:ext cx="1943735" cy="186309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95250</xdr:colOff>
      <xdr:row>24</xdr:row>
      <xdr:rowOff>104775</xdr:rowOff>
    </xdr:from>
    <xdr:to>
      <xdr:col>2</xdr:col>
      <xdr:colOff>2002790</xdr:colOff>
      <xdr:row>24</xdr:row>
      <xdr:rowOff>1916430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CA7E3E9-A225-D22B-8AF3-DB66124AA2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22"/>
        <a:stretch>
          <a:fillRect/>
        </a:stretch>
      </xdr:blipFill>
      <xdr:spPr bwMode="auto">
        <a:xfrm>
          <a:off x="3638550" y="45815250"/>
          <a:ext cx="1907540" cy="1811655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76200</xdr:colOff>
      <xdr:row>25</xdr:row>
      <xdr:rowOff>104775</xdr:rowOff>
    </xdr:from>
    <xdr:to>
      <xdr:col>2</xdr:col>
      <xdr:colOff>2019935</xdr:colOff>
      <xdr:row>25</xdr:row>
      <xdr:rowOff>1917065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6A7DBF81-FEA5-4A54-34DF-A600C7D542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43"/>
        <a:stretch>
          <a:fillRect/>
        </a:stretch>
      </xdr:blipFill>
      <xdr:spPr bwMode="auto">
        <a:xfrm>
          <a:off x="3619500" y="47844075"/>
          <a:ext cx="1943735" cy="181229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0</xdr:rowOff>
    </xdr:from>
    <xdr:to>
      <xdr:col>2</xdr:col>
      <xdr:colOff>3810</xdr:colOff>
      <xdr:row>1</xdr:row>
      <xdr:rowOff>31172</xdr:rowOff>
    </xdr:to>
    <xdr:sp macro="" textlink="">
      <xdr:nvSpPr>
        <xdr:cNvPr id="2" name="Oval 1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B028ED50-FFFD-471C-B733-DCFD539B1EBB}"/>
            </a:ext>
          </a:extLst>
        </xdr:cNvPr>
        <xdr:cNvSpPr/>
      </xdr:nvSpPr>
      <xdr:spPr>
        <a:xfrm>
          <a:off x="295275" y="0"/>
          <a:ext cx="2289810" cy="259772"/>
        </a:xfrm>
        <a:prstGeom prst="ellipse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98741</xdr:colOff>
      <xdr:row>0</xdr:row>
      <xdr:rowOff>19049</xdr:rowOff>
    </xdr:from>
    <xdr:to>
      <xdr:col>2</xdr:col>
      <xdr:colOff>1914524</xdr:colOff>
      <xdr:row>1</xdr:row>
      <xdr:rowOff>28574</xdr:rowOff>
    </xdr:to>
    <xdr:sp macro="" textlink="">
      <xdr:nvSpPr>
        <xdr:cNvPr id="3" name="Oval 2">
          <a:hlinkClick xmlns:r="http://schemas.openxmlformats.org/officeDocument/2006/relationships" r:id="rId2" tooltip="PROFILE"/>
          <a:extLst>
            <a:ext uri="{FF2B5EF4-FFF2-40B4-BE49-F238E27FC236}">
              <a16:creationId xmlns:a16="http://schemas.microsoft.com/office/drawing/2014/main" id="{9FCF4BD4-F9F0-47EA-B727-DAAD7048C96A}"/>
            </a:ext>
          </a:extLst>
        </xdr:cNvPr>
        <xdr:cNvSpPr/>
      </xdr:nvSpPr>
      <xdr:spPr>
        <a:xfrm>
          <a:off x="2680016" y="19049"/>
          <a:ext cx="1815783" cy="23812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PROFILE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1376796</xdr:colOff>
      <xdr:row>2</xdr:row>
      <xdr:rowOff>34359</xdr:rowOff>
    </xdr:to>
    <xdr:sp macro="" textlink="">
      <xdr:nvSpPr>
        <xdr:cNvPr id="2" name="Arrow: Left 1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SpPr/>
      </xdr:nvSpPr>
      <xdr:spPr>
        <a:xfrm>
          <a:off x="190500" y="0"/>
          <a:ext cx="1870364" cy="484632"/>
        </a:xfrm>
        <a:prstGeom prst="leftArrow">
          <a:avLst/>
        </a:prstGeom>
        <a:solidFill>
          <a:srgbClr val="0000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>
              <a:latin typeface="Arial" panose="020B0604020202020204" pitchFamily="34" charset="0"/>
              <a:cs typeface="Arial" panose="020B06040202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1535546</xdr:colOff>
      <xdr:row>0</xdr:row>
      <xdr:rowOff>63500</xdr:rowOff>
    </xdr:from>
    <xdr:to>
      <xdr:col>4</xdr:col>
      <xdr:colOff>43296</xdr:colOff>
      <xdr:row>2</xdr:row>
      <xdr:rowOff>83126</xdr:rowOff>
    </xdr:to>
    <xdr:sp macro="" textlink="">
      <xdr:nvSpPr>
        <xdr:cNvPr id="4" name="Arrow: Left 3">
          <a:hlinkClick xmlns:r="http://schemas.openxmlformats.org/officeDocument/2006/relationships" r:id="rId2" tooltip="RECORDS"/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SpPr/>
      </xdr:nvSpPr>
      <xdr:spPr>
        <a:xfrm>
          <a:off x="2219614" y="63500"/>
          <a:ext cx="1746250" cy="4698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RECORDS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1022350</xdr:colOff>
      <xdr:row>1</xdr:row>
      <xdr:rowOff>230632</xdr:rowOff>
    </xdr:to>
    <xdr:sp macro="" textlink="">
      <xdr:nvSpPr>
        <xdr:cNvPr id="2" name="Arrow: Left 1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SpPr/>
      </xdr:nvSpPr>
      <xdr:spPr>
        <a:xfrm>
          <a:off x="196850" y="0"/>
          <a:ext cx="1631950" cy="484632"/>
        </a:xfrm>
        <a:prstGeom prst="leftArrow">
          <a:avLst/>
        </a:prstGeom>
        <a:solidFill>
          <a:srgbClr val="0000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>
              <a:latin typeface="Arial" panose="020B0604020202020204" pitchFamily="34" charset="0"/>
              <a:cs typeface="Arial" panose="020B06040202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1320800</xdr:colOff>
      <xdr:row>0</xdr:row>
      <xdr:rowOff>25400</xdr:rowOff>
    </xdr:from>
    <xdr:to>
      <xdr:col>3</xdr:col>
      <xdr:colOff>527050</xdr:colOff>
      <xdr:row>1</xdr:row>
      <xdr:rowOff>241299</xdr:rowOff>
    </xdr:to>
    <xdr:sp macro="" textlink="">
      <xdr:nvSpPr>
        <xdr:cNvPr id="5" name="Arrow: Left 4">
          <a:hlinkClick xmlns:r="http://schemas.openxmlformats.org/officeDocument/2006/relationships" r:id="rId2" tooltip="RECORDS"/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SpPr/>
      </xdr:nvSpPr>
      <xdr:spPr>
        <a:xfrm>
          <a:off x="2127250" y="25400"/>
          <a:ext cx="1701800" cy="4698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RECORDS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1190625</xdr:colOff>
      <xdr:row>1</xdr:row>
      <xdr:rowOff>230632</xdr:rowOff>
    </xdr:to>
    <xdr:sp macro="" textlink="">
      <xdr:nvSpPr>
        <xdr:cNvPr id="6" name="Arrow: Left 1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00000000-0008-0000-4200-000006000000}"/>
            </a:ext>
          </a:extLst>
        </xdr:cNvPr>
        <xdr:cNvSpPr/>
      </xdr:nvSpPr>
      <xdr:spPr>
        <a:xfrm>
          <a:off x="190500" y="0"/>
          <a:ext cx="1771650" cy="478282"/>
        </a:xfrm>
        <a:prstGeom prst="leftArrow">
          <a:avLst/>
        </a:prstGeom>
        <a:solidFill>
          <a:srgbClr val="0000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>
              <a:latin typeface="Arial" panose="020B0604020202020204" pitchFamily="34" charset="0"/>
              <a:cs typeface="Arial" panose="020B0604020202020204" pitchFamily="34" charset="0"/>
            </a:rPr>
            <a:t>DASHBOARD</a:t>
          </a:r>
        </a:p>
      </xdr:txBody>
    </xdr:sp>
    <xdr:clientData/>
  </xdr:twoCellAnchor>
  <xdr:twoCellAnchor>
    <xdr:from>
      <xdr:col>2</xdr:col>
      <xdr:colOff>1320800</xdr:colOff>
      <xdr:row>0</xdr:row>
      <xdr:rowOff>25400</xdr:rowOff>
    </xdr:from>
    <xdr:to>
      <xdr:col>3</xdr:col>
      <xdr:colOff>0</xdr:colOff>
      <xdr:row>1</xdr:row>
      <xdr:rowOff>241299</xdr:rowOff>
    </xdr:to>
    <xdr:sp macro="" textlink="">
      <xdr:nvSpPr>
        <xdr:cNvPr id="7" name="Arrow: Left 4">
          <a:hlinkClick xmlns:r="http://schemas.openxmlformats.org/officeDocument/2006/relationships" r:id="rId2" tooltip="RECORDS"/>
          <a:extLst>
            <a:ext uri="{FF2B5EF4-FFF2-40B4-BE49-F238E27FC236}">
              <a16:creationId xmlns:a16="http://schemas.microsoft.com/office/drawing/2014/main" id="{00000000-0008-0000-4200-000007000000}"/>
            </a:ext>
          </a:extLst>
        </xdr:cNvPr>
        <xdr:cNvSpPr/>
      </xdr:nvSpPr>
      <xdr:spPr>
        <a:xfrm>
          <a:off x="2092325" y="25400"/>
          <a:ext cx="2527300" cy="46354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RECORDS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IAW%20DOCUMENTS\ONUADO%20NA%20EYE%20ACCOUN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IAW%20DOCUMENTS\OLD%20%20PATH%20%20DUES%20ACCOUNT.xlsx" TargetMode="External"/><Relationship Id="rId1" Type="http://schemas.openxmlformats.org/officeDocument/2006/relationships/externalLinkPath" Target="OLD%20%20PATH%20%20DUES%20ACCOU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CONTRIBUTIONS"/>
      <sheetName val="ACCOUNTS"/>
      <sheetName val="PERSONAL PROFILE"/>
      <sheetName val="RECORDS"/>
      <sheetName val="MEMBERS"/>
      <sheetName val=" SPECIAL LEVY FEES"/>
      <sheetName val="SPECIAL LEVY"/>
      <sheetName val="YEARLY DUES FEES"/>
      <sheetName val="YEARLY DUES"/>
      <sheetName val="MONTHLY DUES 2023"/>
      <sheetName val="MONTHLY DUES 2024"/>
      <sheetName val="MONTHLY DUES 2025"/>
      <sheetName val="MONTHLY DUES 2026"/>
      <sheetName val="MONTHLY DUES 2027"/>
      <sheetName val="MONTHLY DUES 2028"/>
      <sheetName val="MONTHLY DUES 2029"/>
      <sheetName val="MONTHLY DUES 2030"/>
      <sheetName val="MONTHLY DUES 2031"/>
      <sheetName val="MONTHLY DUES 2032"/>
      <sheetName val="PAYMENT VOUCHERS"/>
      <sheetName val="DISBURSEMENT OF SPECIAL LEVY"/>
      <sheetName val="GENERAL ACCOUNT"/>
      <sheetName val="TRAIL BALANCE"/>
      <sheetName val="MTN MOMO ACCOUNT"/>
      <sheetName val="BANK ACCOUNT TEMA"/>
      <sheetName val="FIDELITY BANK"/>
      <sheetName val="BANK OF GHANA SHARES"/>
      <sheetName val="B O G SHARES DEVIDENT "/>
      <sheetName val="CHRCK YOUR DUES BALANCE"/>
      <sheetName val="CHRCK YOUR LEVY BALANCE"/>
      <sheetName val="ALEX ACKAH"/>
      <sheetName val="DANSO KINGSLEY "/>
      <sheetName val="EDWARD YAW BEKOE"/>
      <sheetName val="FANUEL HAGAN"/>
      <sheetName val="FRANCIS LARBI"/>
      <sheetName val="FREDERICK WORTEY TAWIAH"/>
      <sheetName val="GEORGE YEBOAH"/>
      <sheetName val="ISAAC DARKO"/>
      <sheetName val="ISAAC DONKOR"/>
      <sheetName val="JOHN DABO"/>
      <sheetName val="JOHN OFOSUHENE ASARE"/>
      <sheetName val="JOHNSON WOOD"/>
      <sheetName val="JONAS WEREKO"/>
      <sheetName val="JONATHAN DANSO SIAW"/>
      <sheetName val="JOSEPH KOFI AMANFO"/>
      <sheetName val="JUSTICE KOJO ACHEAMPONG"/>
      <sheetName val="JUST-MARK KWABENA QUANSAH"/>
      <sheetName val="MAXWELL OFEI SIAW"/>
      <sheetName val="MOSES ODURO"/>
      <sheetName val="OSEI KWAME"/>
      <sheetName val="PETER KINGSFORD NKRUMAH"/>
      <sheetName val="PRINCE ASANTE AHWIRENG"/>
      <sheetName val="SAMUEL YAW NKANSAH"/>
      <sheetName val="VINCENT AGAMATEY"/>
      <sheetName val="WILLIAM KOJO ANANE"/>
      <sheetName val="BRANCHES PASTORS"/>
      <sheetName val="ELD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7">
          <cell r="C7" t="str">
            <v>Alex Ackah</v>
          </cell>
          <cell r="D7">
            <v>0</v>
          </cell>
        </row>
        <row r="8">
          <cell r="C8" t="str">
            <v>Danso Kingsley</v>
          </cell>
          <cell r="D8">
            <v>0</v>
          </cell>
        </row>
        <row r="9">
          <cell r="C9" t="str">
            <v>Fanuel Hagan</v>
          </cell>
          <cell r="D9">
            <v>0</v>
          </cell>
        </row>
        <row r="10">
          <cell r="C10" t="str">
            <v>Frederick Wortey Tawiah</v>
          </cell>
          <cell r="D10">
            <v>0</v>
          </cell>
        </row>
        <row r="11">
          <cell r="C11" t="str">
            <v>George Yeboah</v>
          </cell>
          <cell r="D11">
            <v>0</v>
          </cell>
        </row>
        <row r="12">
          <cell r="C12" t="str">
            <v>Isaac Darko</v>
          </cell>
          <cell r="D12">
            <v>0</v>
          </cell>
        </row>
        <row r="13">
          <cell r="C13" t="str">
            <v>Isaac Donkor</v>
          </cell>
          <cell r="D13">
            <v>0</v>
          </cell>
        </row>
        <row r="14">
          <cell r="C14" t="str">
            <v>John Dabo</v>
          </cell>
          <cell r="D14">
            <v>0</v>
          </cell>
        </row>
        <row r="15">
          <cell r="C15" t="str">
            <v>John Ofosuhene Asare</v>
          </cell>
          <cell r="D15">
            <v>0</v>
          </cell>
        </row>
        <row r="16">
          <cell r="C16" t="str">
            <v>Johnson Wood</v>
          </cell>
          <cell r="D16">
            <v>0</v>
          </cell>
        </row>
        <row r="17">
          <cell r="C17" t="str">
            <v>Jonas Wereko</v>
          </cell>
          <cell r="D17">
            <v>0</v>
          </cell>
        </row>
        <row r="18">
          <cell r="C18" t="str">
            <v>Jonathan Danso Siaw</v>
          </cell>
          <cell r="D18">
            <v>0</v>
          </cell>
        </row>
        <row r="19">
          <cell r="C19" t="str">
            <v>Joseph Kofi Amanfo</v>
          </cell>
          <cell r="D19">
            <v>0</v>
          </cell>
        </row>
        <row r="20">
          <cell r="C20" t="str">
            <v>Justice Kojo Acheampong</v>
          </cell>
          <cell r="D20">
            <v>0</v>
          </cell>
        </row>
        <row r="21">
          <cell r="C21" t="str">
            <v>Just-Mark Kwabena Quansah</v>
          </cell>
          <cell r="D21">
            <v>0</v>
          </cell>
        </row>
        <row r="22">
          <cell r="C22" t="str">
            <v>Maxwell Ofei Siaw</v>
          </cell>
          <cell r="D22">
            <v>0</v>
          </cell>
        </row>
        <row r="23">
          <cell r="C23" t="str">
            <v>Moses Oduro</v>
          </cell>
          <cell r="D23">
            <v>0</v>
          </cell>
        </row>
        <row r="24">
          <cell r="C24" t="str">
            <v>Osei Kwame</v>
          </cell>
          <cell r="D24">
            <v>0</v>
          </cell>
        </row>
        <row r="25">
          <cell r="C25" t="str">
            <v>Vincent Agamatey</v>
          </cell>
          <cell r="D25">
            <v>0</v>
          </cell>
        </row>
        <row r="26">
          <cell r="C26" t="str">
            <v>Prince Asante Ahwireng</v>
          </cell>
          <cell r="D26">
            <v>0</v>
          </cell>
        </row>
        <row r="27">
          <cell r="C27" t="str">
            <v>Samuel Yaw Nkansah</v>
          </cell>
          <cell r="D27">
            <v>0</v>
          </cell>
        </row>
        <row r="28">
          <cell r="C28" t="str">
            <v>Vicent Agamatey</v>
          </cell>
          <cell r="D28">
            <v>0</v>
          </cell>
        </row>
        <row r="29">
          <cell r="C29" t="str">
            <v>William Kojo Anane</v>
          </cell>
          <cell r="D29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CONTRIBUTORS"/>
      <sheetName val="LIST OF  CONTRIBUTED"/>
      <sheetName val="MONTHLY DUES"/>
      <sheetName val="ACCOUNTS"/>
      <sheetName val="PERSONAL PROFILE"/>
      <sheetName val="CONTRIBUTIONS"/>
      <sheetName val="PAID CONTRIBUTED"/>
      <sheetName val="PAID CONTRIBUTIONS"/>
      <sheetName val="DISBURSEMENT"/>
      <sheetName val="PRESIDENT ALLAWANCE"/>
      <sheetName val="MTN ACCOUNT"/>
      <sheetName val="CASH ACCOUNT"/>
      <sheetName val="TRAIL BALAMCE"/>
      <sheetName val="CONTRIBUTERS 1ST - 5TH"/>
      <sheetName val="CONTRIBUTERS 6TH - 10TH"/>
      <sheetName val="CONTRIBUTERS 11TH - 15TH"/>
      <sheetName val="CONTRIBUTERS 16TH - 20TH"/>
      <sheetName val="YEARLY DUES FEES"/>
      <sheetName val="YEARLY DUES PAID"/>
      <sheetName val="DUES 2026"/>
      <sheetName val="DUES 2027"/>
      <sheetName val="DUES 2028"/>
      <sheetName val="DUES 2029"/>
      <sheetName val="DUES 2030"/>
      <sheetName val="DUES 2031"/>
      <sheetName val="DUES 2032"/>
      <sheetName val="DUES 2033"/>
      <sheetName val="DUES 2034"/>
      <sheetName val="DUES 2035"/>
      <sheetName val="MEMBERS"/>
      <sheetName val="PERSONAL ACCOUNTS"/>
      <sheetName val="PICTURES"/>
      <sheetName val="REGISTRATION FORM"/>
      <sheetName val="BANK ACCOU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C5" t="str">
            <v>Albert Boateng</v>
          </cell>
          <cell r="D5">
            <v>600</v>
          </cell>
          <cell r="E5">
            <v>600</v>
          </cell>
          <cell r="F5"/>
          <cell r="G5"/>
          <cell r="H5"/>
          <cell r="I5"/>
          <cell r="J5"/>
          <cell r="K5"/>
          <cell r="L5"/>
          <cell r="M5"/>
          <cell r="N5"/>
        </row>
        <row r="6">
          <cell r="C6" t="str">
            <v>Alexander Amponsah</v>
          </cell>
          <cell r="D6">
            <v>600</v>
          </cell>
          <cell r="E6">
            <v>600</v>
          </cell>
          <cell r="F6"/>
          <cell r="G6"/>
          <cell r="H6"/>
          <cell r="I6"/>
          <cell r="J6"/>
          <cell r="K6"/>
          <cell r="L6"/>
          <cell r="M6"/>
          <cell r="N6"/>
        </row>
        <row r="7">
          <cell r="C7" t="str">
            <v>Alexander Armah</v>
          </cell>
          <cell r="D7">
            <v>600</v>
          </cell>
          <cell r="E7">
            <v>600</v>
          </cell>
          <cell r="F7"/>
          <cell r="G7"/>
          <cell r="H7"/>
          <cell r="I7"/>
          <cell r="J7"/>
          <cell r="K7"/>
          <cell r="L7"/>
          <cell r="M7"/>
          <cell r="N7"/>
        </row>
        <row r="8">
          <cell r="C8" t="str">
            <v>Benedicta Asamoah</v>
          </cell>
          <cell r="D8">
            <v>600</v>
          </cell>
          <cell r="E8">
            <v>600</v>
          </cell>
          <cell r="F8"/>
          <cell r="G8"/>
          <cell r="H8"/>
          <cell r="I8"/>
          <cell r="J8"/>
          <cell r="K8"/>
          <cell r="L8"/>
          <cell r="M8"/>
          <cell r="N8"/>
        </row>
        <row r="9">
          <cell r="C9" t="str">
            <v>Benedicta Benny</v>
          </cell>
          <cell r="D9">
            <v>600</v>
          </cell>
          <cell r="E9">
            <v>600</v>
          </cell>
          <cell r="F9"/>
          <cell r="G9"/>
          <cell r="H9"/>
          <cell r="I9"/>
          <cell r="J9"/>
          <cell r="K9"/>
          <cell r="L9"/>
          <cell r="M9"/>
          <cell r="N9"/>
        </row>
        <row r="10">
          <cell r="C10" t="str">
            <v>Benedicta Yeboah</v>
          </cell>
          <cell r="D10">
            <v>600</v>
          </cell>
          <cell r="E10">
            <v>600</v>
          </cell>
          <cell r="F10"/>
          <cell r="G10"/>
          <cell r="H10"/>
          <cell r="I10"/>
          <cell r="J10"/>
          <cell r="K10"/>
          <cell r="L10"/>
          <cell r="M10"/>
          <cell r="N10"/>
        </row>
        <row r="11">
          <cell r="C11" t="str">
            <v>Benjamin Bekoe</v>
          </cell>
          <cell r="D11">
            <v>600</v>
          </cell>
          <cell r="E11">
            <v>600</v>
          </cell>
          <cell r="F11"/>
          <cell r="G11"/>
          <cell r="H11"/>
          <cell r="I11"/>
          <cell r="J11"/>
          <cell r="K11"/>
          <cell r="L11"/>
          <cell r="M11"/>
          <cell r="N11"/>
        </row>
        <row r="12">
          <cell r="C12" t="str">
            <v>Christiana Diatey</v>
          </cell>
          <cell r="D12">
            <v>600</v>
          </cell>
          <cell r="E12">
            <v>600</v>
          </cell>
          <cell r="F12"/>
          <cell r="G12"/>
          <cell r="H12"/>
          <cell r="I12"/>
          <cell r="J12"/>
          <cell r="K12"/>
          <cell r="L12"/>
          <cell r="M12"/>
          <cell r="N12"/>
        </row>
        <row r="13">
          <cell r="C13" t="str">
            <v>Christy Okyere</v>
          </cell>
          <cell r="D13">
            <v>600</v>
          </cell>
          <cell r="E13">
            <v>600</v>
          </cell>
          <cell r="F13"/>
          <cell r="G13"/>
          <cell r="H13"/>
          <cell r="I13"/>
          <cell r="J13"/>
          <cell r="K13"/>
          <cell r="L13"/>
          <cell r="M13"/>
          <cell r="N13"/>
        </row>
        <row r="14">
          <cell r="C14" t="str">
            <v>Clement William Danso</v>
          </cell>
          <cell r="D14">
            <v>600</v>
          </cell>
          <cell r="E14">
            <v>600</v>
          </cell>
          <cell r="F14"/>
          <cell r="G14"/>
          <cell r="H14"/>
          <cell r="I14"/>
          <cell r="J14"/>
          <cell r="K14"/>
          <cell r="L14"/>
          <cell r="M14"/>
          <cell r="N14"/>
        </row>
        <row r="15">
          <cell r="C15" t="str">
            <v>Constance Achaama</v>
          </cell>
          <cell r="D15">
            <v>600</v>
          </cell>
          <cell r="E15">
            <v>600</v>
          </cell>
          <cell r="F15"/>
          <cell r="G15"/>
          <cell r="H15"/>
          <cell r="I15"/>
          <cell r="J15"/>
          <cell r="K15"/>
          <cell r="L15"/>
          <cell r="M15"/>
          <cell r="N15"/>
        </row>
        <row r="16">
          <cell r="C16" t="str">
            <v>Daniel Habia</v>
          </cell>
          <cell r="D16">
            <v>600</v>
          </cell>
          <cell r="E16">
            <v>600</v>
          </cell>
          <cell r="F16"/>
          <cell r="G16"/>
          <cell r="H16"/>
          <cell r="I16"/>
          <cell r="J16"/>
          <cell r="K16"/>
          <cell r="L16"/>
          <cell r="M16"/>
          <cell r="N16"/>
        </row>
        <row r="17">
          <cell r="C17" t="str">
            <v>Daniel Kumi</v>
          </cell>
          <cell r="D17">
            <v>600</v>
          </cell>
          <cell r="E17">
            <v>600</v>
          </cell>
          <cell r="F17"/>
          <cell r="G17"/>
          <cell r="H17"/>
          <cell r="I17"/>
          <cell r="J17"/>
          <cell r="K17"/>
          <cell r="L17"/>
          <cell r="M17"/>
          <cell r="N17"/>
        </row>
        <row r="18">
          <cell r="C18" t="str">
            <v>Daniel Quaye</v>
          </cell>
          <cell r="D18">
            <v>600</v>
          </cell>
          <cell r="E18">
            <v>600</v>
          </cell>
          <cell r="F18"/>
          <cell r="G18"/>
          <cell r="H18"/>
          <cell r="I18"/>
          <cell r="J18"/>
          <cell r="K18"/>
          <cell r="L18"/>
          <cell r="M18"/>
          <cell r="N18"/>
        </row>
        <row r="19">
          <cell r="C19" t="str">
            <v>Daniel Tweneboah</v>
          </cell>
          <cell r="D19">
            <v>600</v>
          </cell>
          <cell r="E19">
            <v>600</v>
          </cell>
          <cell r="F19"/>
          <cell r="G19"/>
          <cell r="H19"/>
          <cell r="I19"/>
          <cell r="J19"/>
          <cell r="K19"/>
          <cell r="L19"/>
          <cell r="M19"/>
          <cell r="N19"/>
        </row>
        <row r="20">
          <cell r="C20" t="str">
            <v>Dorothy Afram</v>
          </cell>
          <cell r="D20">
            <v>600</v>
          </cell>
          <cell r="E20">
            <v>600</v>
          </cell>
          <cell r="F20"/>
          <cell r="G20"/>
          <cell r="H20"/>
          <cell r="I20"/>
          <cell r="J20"/>
          <cell r="K20"/>
          <cell r="L20"/>
          <cell r="M20"/>
          <cell r="N20"/>
        </row>
        <row r="21">
          <cell r="C21" t="str">
            <v>Edward Bekoe</v>
          </cell>
          <cell r="D21">
            <v>600</v>
          </cell>
          <cell r="E21">
            <v>600</v>
          </cell>
          <cell r="F21"/>
          <cell r="G21"/>
          <cell r="H21"/>
          <cell r="I21"/>
          <cell r="J21"/>
          <cell r="K21"/>
          <cell r="L21"/>
          <cell r="M21"/>
          <cell r="N21"/>
        </row>
        <row r="22">
          <cell r="C22" t="str">
            <v>Eric Atah Boateng</v>
          </cell>
          <cell r="D22">
            <v>600</v>
          </cell>
          <cell r="E22">
            <v>600</v>
          </cell>
          <cell r="F22"/>
          <cell r="G22"/>
          <cell r="H22"/>
          <cell r="I22"/>
          <cell r="J22"/>
          <cell r="K22"/>
          <cell r="L22"/>
          <cell r="M22"/>
          <cell r="N22"/>
        </row>
        <row r="23">
          <cell r="C23" t="str">
            <v>Ernest Asiedu</v>
          </cell>
          <cell r="D23">
            <v>600</v>
          </cell>
          <cell r="E23">
            <v>600</v>
          </cell>
          <cell r="F23"/>
          <cell r="G23"/>
          <cell r="H23"/>
          <cell r="I23"/>
          <cell r="J23"/>
          <cell r="K23"/>
          <cell r="L23"/>
          <cell r="M23"/>
          <cell r="N23"/>
        </row>
        <row r="24">
          <cell r="C24" t="str">
            <v>Ernest Kumi</v>
          </cell>
          <cell r="D24">
            <v>600</v>
          </cell>
          <cell r="E24">
            <v>600</v>
          </cell>
          <cell r="F24"/>
          <cell r="G24"/>
          <cell r="H24"/>
          <cell r="I24"/>
          <cell r="J24"/>
          <cell r="K24"/>
          <cell r="L24"/>
          <cell r="M24"/>
          <cell r="N24"/>
        </row>
        <row r="25">
          <cell r="C25" t="str">
            <v>Isaac Bentil</v>
          </cell>
          <cell r="D25">
            <v>600</v>
          </cell>
          <cell r="E25">
            <v>600</v>
          </cell>
          <cell r="F25"/>
          <cell r="G25"/>
          <cell r="H25"/>
          <cell r="I25"/>
          <cell r="J25"/>
          <cell r="K25"/>
          <cell r="L25"/>
          <cell r="M25"/>
          <cell r="N25"/>
        </row>
        <row r="26">
          <cell r="C26" t="str">
            <v>Jeremiah Duku</v>
          </cell>
          <cell r="D26">
            <v>600</v>
          </cell>
          <cell r="E26">
            <v>600</v>
          </cell>
          <cell r="F26"/>
          <cell r="G26"/>
          <cell r="H26"/>
          <cell r="I26"/>
          <cell r="J26"/>
          <cell r="K26"/>
          <cell r="L26"/>
          <cell r="M26"/>
          <cell r="N26"/>
        </row>
        <row r="27">
          <cell r="C27" t="str">
            <v>John Aidoo</v>
          </cell>
          <cell r="D27">
            <v>600</v>
          </cell>
          <cell r="E27">
            <v>600</v>
          </cell>
          <cell r="F27"/>
          <cell r="G27"/>
          <cell r="H27"/>
          <cell r="I27"/>
          <cell r="J27"/>
          <cell r="K27"/>
          <cell r="L27"/>
          <cell r="M27"/>
          <cell r="N27"/>
        </row>
        <row r="28">
          <cell r="C28" t="str">
            <v>Jonathan Danso Siaw</v>
          </cell>
          <cell r="D28">
            <v>600</v>
          </cell>
          <cell r="E28">
            <v>600</v>
          </cell>
          <cell r="F28"/>
          <cell r="G28"/>
          <cell r="H28"/>
          <cell r="I28"/>
          <cell r="J28"/>
          <cell r="K28"/>
          <cell r="L28"/>
          <cell r="M28"/>
          <cell r="N28"/>
        </row>
        <row r="29">
          <cell r="C29" t="str">
            <v>Joseph Boadu</v>
          </cell>
          <cell r="D29">
            <v>600</v>
          </cell>
          <cell r="E29">
            <v>600</v>
          </cell>
          <cell r="F29"/>
          <cell r="G29"/>
          <cell r="H29"/>
          <cell r="I29"/>
          <cell r="J29"/>
          <cell r="K29"/>
          <cell r="L29"/>
          <cell r="M29"/>
          <cell r="N29"/>
        </row>
        <row r="30">
          <cell r="C30" t="str">
            <v>Juliet Aku Adotei</v>
          </cell>
          <cell r="D30">
            <v>600</v>
          </cell>
          <cell r="E30">
            <v>600</v>
          </cell>
          <cell r="F30"/>
          <cell r="G30"/>
          <cell r="H30"/>
          <cell r="I30"/>
          <cell r="J30"/>
          <cell r="K30"/>
          <cell r="L30"/>
          <cell r="M30"/>
          <cell r="N30"/>
        </row>
        <row r="31">
          <cell r="C31" t="str">
            <v>Just-Mark Quansah</v>
          </cell>
          <cell r="D31">
            <v>600</v>
          </cell>
          <cell r="E31">
            <v>600</v>
          </cell>
          <cell r="F31"/>
          <cell r="G31"/>
          <cell r="H31"/>
          <cell r="I31"/>
          <cell r="J31"/>
          <cell r="K31"/>
          <cell r="L31"/>
          <cell r="M31"/>
          <cell r="N31"/>
        </row>
        <row r="32">
          <cell r="C32" t="str">
            <v>Lady Apostle Rose</v>
          </cell>
          <cell r="D32">
            <v>600</v>
          </cell>
          <cell r="E32">
            <v>600</v>
          </cell>
          <cell r="F32"/>
          <cell r="G32"/>
          <cell r="H32"/>
          <cell r="I32"/>
          <cell r="J32"/>
          <cell r="K32"/>
          <cell r="L32"/>
          <cell r="M32"/>
          <cell r="N32"/>
        </row>
        <row r="33">
          <cell r="C33" t="str">
            <v>Lydia Newton</v>
          </cell>
          <cell r="D33">
            <v>600</v>
          </cell>
          <cell r="E33">
            <v>600</v>
          </cell>
          <cell r="F33"/>
          <cell r="G33"/>
          <cell r="H33"/>
          <cell r="I33"/>
          <cell r="J33"/>
          <cell r="K33"/>
          <cell r="L33"/>
          <cell r="M33"/>
          <cell r="N33"/>
        </row>
        <row r="34">
          <cell r="C34" t="str">
            <v>Mame Afua Lydia</v>
          </cell>
          <cell r="D34">
            <v>600</v>
          </cell>
          <cell r="E34">
            <v>600</v>
          </cell>
          <cell r="F34"/>
          <cell r="G34"/>
          <cell r="H34"/>
          <cell r="I34"/>
          <cell r="J34"/>
          <cell r="K34"/>
          <cell r="L34"/>
          <cell r="M34"/>
          <cell r="N34"/>
        </row>
        <row r="35">
          <cell r="C35" t="str">
            <v>Mark Mensah</v>
          </cell>
          <cell r="D35">
            <v>600</v>
          </cell>
          <cell r="E35">
            <v>600</v>
          </cell>
          <cell r="F35"/>
          <cell r="G35"/>
          <cell r="H35"/>
          <cell r="I35"/>
          <cell r="J35"/>
          <cell r="K35"/>
          <cell r="L35"/>
          <cell r="M35"/>
          <cell r="N35"/>
        </row>
        <row r="36">
          <cell r="C36" t="str">
            <v>Nana Agyei Sikapa</v>
          </cell>
          <cell r="D36">
            <v>600</v>
          </cell>
          <cell r="E36">
            <v>600</v>
          </cell>
          <cell r="F36"/>
          <cell r="G36"/>
          <cell r="H36"/>
          <cell r="I36"/>
          <cell r="J36"/>
          <cell r="K36"/>
          <cell r="L36"/>
          <cell r="M36"/>
          <cell r="N36"/>
        </row>
        <row r="37">
          <cell r="C37" t="str">
            <v>Peter G Nkrumah</v>
          </cell>
          <cell r="D37">
            <v>600</v>
          </cell>
          <cell r="E37">
            <v>600</v>
          </cell>
          <cell r="F37"/>
          <cell r="G37"/>
          <cell r="H37"/>
          <cell r="I37"/>
          <cell r="J37"/>
          <cell r="K37"/>
          <cell r="L37"/>
          <cell r="M37"/>
          <cell r="N37"/>
        </row>
        <row r="38">
          <cell r="C38" t="str">
            <v>Philip Osafo Kwafo</v>
          </cell>
          <cell r="D38">
            <v>600</v>
          </cell>
          <cell r="E38">
            <v>600</v>
          </cell>
          <cell r="F38"/>
          <cell r="G38"/>
          <cell r="H38"/>
          <cell r="I38"/>
          <cell r="J38"/>
          <cell r="K38"/>
          <cell r="L38"/>
          <cell r="M38"/>
          <cell r="N38"/>
        </row>
        <row r="39">
          <cell r="C39" t="str">
            <v>Prince Asante Ahwireng</v>
          </cell>
          <cell r="D39">
            <v>600</v>
          </cell>
          <cell r="E39">
            <v>600</v>
          </cell>
          <cell r="F39"/>
          <cell r="G39"/>
          <cell r="H39"/>
          <cell r="I39"/>
          <cell r="J39"/>
          <cell r="K39"/>
          <cell r="L39"/>
          <cell r="M39"/>
          <cell r="N39"/>
        </row>
        <row r="40">
          <cell r="C40" t="str">
            <v>Robert Mensah</v>
          </cell>
          <cell r="D40">
            <v>600</v>
          </cell>
          <cell r="E40">
            <v>600</v>
          </cell>
          <cell r="F40"/>
          <cell r="G40"/>
          <cell r="H40"/>
          <cell r="I40"/>
          <cell r="J40"/>
          <cell r="K40"/>
          <cell r="L40"/>
          <cell r="M40"/>
          <cell r="N40"/>
        </row>
        <row r="41">
          <cell r="C41" t="str">
            <v>Sandra Boahenmaa</v>
          </cell>
          <cell r="D41">
            <v>600</v>
          </cell>
          <cell r="E41">
            <v>600</v>
          </cell>
          <cell r="F41"/>
          <cell r="G41"/>
          <cell r="H41"/>
          <cell r="I41"/>
          <cell r="J41"/>
          <cell r="K41"/>
          <cell r="L41"/>
          <cell r="M41"/>
          <cell r="N41"/>
        </row>
        <row r="42">
          <cell r="C42" t="str">
            <v>Sarah Ankomahene</v>
          </cell>
          <cell r="D42">
            <v>600</v>
          </cell>
          <cell r="E42">
            <v>600</v>
          </cell>
          <cell r="F42"/>
          <cell r="G42"/>
          <cell r="H42"/>
          <cell r="I42"/>
          <cell r="J42"/>
          <cell r="K42"/>
          <cell r="L42"/>
          <cell r="M42"/>
          <cell r="N42"/>
        </row>
        <row r="43">
          <cell r="C43" t="str">
            <v>Shadrack Duncan</v>
          </cell>
          <cell r="D43">
            <v>600</v>
          </cell>
          <cell r="E43">
            <v>600</v>
          </cell>
          <cell r="F43"/>
          <cell r="G43"/>
          <cell r="H43"/>
          <cell r="I43"/>
          <cell r="J43"/>
          <cell r="K43"/>
          <cell r="L43"/>
          <cell r="M43"/>
          <cell r="N43"/>
        </row>
        <row r="44">
          <cell r="C44" t="str">
            <v>Stella Agyei</v>
          </cell>
          <cell r="D44">
            <v>600</v>
          </cell>
          <cell r="E44">
            <v>600</v>
          </cell>
          <cell r="F44"/>
          <cell r="G44"/>
          <cell r="H44"/>
          <cell r="I44"/>
          <cell r="J44"/>
          <cell r="K44"/>
          <cell r="L44"/>
          <cell r="M44"/>
          <cell r="N44"/>
        </row>
        <row r="45">
          <cell r="C45" t="str">
            <v>Sylvester Appiah</v>
          </cell>
          <cell r="D45">
            <v>600</v>
          </cell>
          <cell r="E45">
            <v>600</v>
          </cell>
          <cell r="F45"/>
          <cell r="G45"/>
          <cell r="H45"/>
          <cell r="I45"/>
          <cell r="J45"/>
          <cell r="K45"/>
          <cell r="L45"/>
          <cell r="M45"/>
          <cell r="N45"/>
        </row>
        <row r="46">
          <cell r="C46" t="str">
            <v>T Jerry</v>
          </cell>
          <cell r="D46">
            <v>600</v>
          </cell>
          <cell r="E46">
            <v>600</v>
          </cell>
          <cell r="F46"/>
          <cell r="G46"/>
          <cell r="H46"/>
          <cell r="I46"/>
          <cell r="J46"/>
          <cell r="K46"/>
          <cell r="L46"/>
          <cell r="M46"/>
          <cell r="N46"/>
        </row>
        <row r="47">
          <cell r="C47"/>
          <cell r="D47">
            <v>0</v>
          </cell>
          <cell r="E47"/>
          <cell r="F47"/>
          <cell r="G47"/>
          <cell r="H47"/>
          <cell r="I47"/>
          <cell r="J47"/>
          <cell r="K47"/>
          <cell r="L47"/>
          <cell r="M47"/>
          <cell r="N47"/>
        </row>
        <row r="48"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</row>
      </sheetData>
      <sheetData sheetId="19">
        <row r="5">
          <cell r="C5" t="str">
            <v>Albert Boateng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</row>
        <row r="6">
          <cell r="C6" t="str">
            <v>Alexander Amponsah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C7" t="str">
            <v>Alexander Armah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C8" t="str">
            <v>Benedicta Asamoah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C9" t="str">
            <v>Benedicta Benny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C10" t="str">
            <v>Benedicta Yeboah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 t="str">
            <v>Benjamin Bekoe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C12" t="str">
            <v>Christiana Diatey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C13" t="str">
            <v>Christy Okyere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C14" t="str">
            <v>Clement William Danso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C15" t="str">
            <v>Constance Achaama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C16" t="str">
            <v>Daniel Habia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C17" t="str">
            <v>Daniel Kumi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 t="str">
            <v>Daniel Quaye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C19" t="str">
            <v>Daniel Tweneboah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 t="str">
            <v>Dorothy Afram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C21" t="str">
            <v>Edward Bekoe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C22" t="str">
            <v>Eric Atah Boateng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C23" t="str">
            <v>Ernest Asiedu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C24" t="str">
            <v>Ernest Kumi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Isaac Bentil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C26" t="str">
            <v>Jeremiah Duku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C27" t="str">
            <v>John Aidoo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C28" t="str">
            <v>Jonathan Danso Siaw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C29" t="str">
            <v>Joseph Boadu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C30" t="str">
            <v>Juliet Aku Adotei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C31" t="str">
            <v>Just-Mark Quansah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C32" t="str">
            <v>Lady Apostle Rose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C33" t="str">
            <v>Lydia Newton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C34" t="str">
            <v>Mame Afua Lydia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C35" t="str">
            <v>Mark Mensah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C36" t="str">
            <v>Nana Agyei Sikapa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C37" t="str">
            <v>Peter G Nkrumah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C38" t="str">
            <v>Philip Osafo Kwafo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C39" t="str">
            <v>Prince Asante Ahwireng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C40" t="str">
            <v>Robert Mensah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C41" t="str">
            <v>Sandra Boahenmaa</v>
          </cell>
          <cell r="D41"/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C42" t="str">
            <v>Sarah Ankomahene</v>
          </cell>
          <cell r="D42"/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C43" t="str">
            <v>Shadrack Duncan</v>
          </cell>
          <cell r="D43"/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C44" t="str">
            <v>Stella Agyei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C45" t="str">
            <v>Sylvester Appiah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C46" t="str">
            <v>T Jerry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C47"/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6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2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2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hyperlink" Target="mailto:princeahwiren6152@gmail.com" TargetMode="External"/><Relationship Id="rId2" Type="http://schemas.openxmlformats.org/officeDocument/2006/relationships/hyperlink" Target="mailto:mosesoduro1966@gmail.com" TargetMode="External"/><Relationship Id="rId1" Type="http://schemas.openxmlformats.org/officeDocument/2006/relationships/hyperlink" Target="mailto:justiceacheampong30400@gmail.com" TargetMode="External"/><Relationship Id="rId5" Type="http://schemas.openxmlformats.org/officeDocument/2006/relationships/drawing" Target="../drawings/drawing48.xml"/><Relationship Id="rId4" Type="http://schemas.openxmlformats.org/officeDocument/2006/relationships/printerSettings" Target="../printerSettings/printerSettings29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30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31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32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33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T11"/>
  <sheetViews>
    <sheetView zoomScale="110" zoomScaleNormal="110" workbookViewId="0"/>
  </sheetViews>
  <sheetFormatPr defaultColWidth="8.7109375" defaultRowHeight="20.100000000000001" customHeight="1" x14ac:dyDescent="0.25"/>
  <cols>
    <col min="1" max="1" width="4.42578125" style="86" customWidth="1"/>
    <col min="2" max="16384" width="8.7109375" style="86"/>
  </cols>
  <sheetData>
    <row r="1" spans="1:20" ht="20.100000000000001" customHeight="1" x14ac:dyDescent="0.25">
      <c r="A1" s="473" t="s">
        <v>981</v>
      </c>
    </row>
    <row r="11" spans="1:20" ht="20.100000000000001" customHeight="1" x14ac:dyDescent="0.3">
      <c r="T11" s="80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"/>
  <sheetViews>
    <sheetView workbookViewId="0"/>
  </sheetViews>
  <sheetFormatPr defaultColWidth="8.7109375" defaultRowHeight="18" customHeight="1" x14ac:dyDescent="0.25"/>
  <cols>
    <col min="1" max="1" width="3.5703125" style="87" customWidth="1"/>
    <col min="2" max="16384" width="8.7109375" style="87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511B-2629-412F-A7BE-D1D818096224}">
  <sheetPr>
    <tabColor rgb="FF0000FF"/>
  </sheetPr>
  <dimension ref="A1"/>
  <sheetViews>
    <sheetView workbookViewId="0"/>
  </sheetViews>
  <sheetFormatPr defaultColWidth="8.7109375" defaultRowHeight="18" customHeight="1" x14ac:dyDescent="0.25"/>
  <cols>
    <col min="1" max="1" width="3.5703125" style="87" customWidth="1"/>
    <col min="2" max="16384" width="8.7109375" style="87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7:A14"/>
  <sheetViews>
    <sheetView workbookViewId="0"/>
  </sheetViews>
  <sheetFormatPr defaultColWidth="8.7109375" defaultRowHeight="15" x14ac:dyDescent="0.25"/>
  <cols>
    <col min="1" max="1" width="4.5703125" style="88" customWidth="1"/>
    <col min="2" max="16384" width="8.7109375" style="88"/>
  </cols>
  <sheetData>
    <row r="7" ht="11.25" customHeight="1" x14ac:dyDescent="0.25"/>
    <row r="14" ht="20.25" customHeight="1" x14ac:dyDescent="0.25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7E9F-CF6E-44C3-881A-C429206289C0}">
  <sheetPr>
    <tabColor rgb="FF0000FF"/>
  </sheetPr>
  <dimension ref="A7"/>
  <sheetViews>
    <sheetView workbookViewId="0"/>
  </sheetViews>
  <sheetFormatPr defaultColWidth="8.7109375" defaultRowHeight="15" x14ac:dyDescent="0.25"/>
  <cols>
    <col min="1" max="1" width="4.5703125" style="88" customWidth="1"/>
    <col min="2" max="16384" width="8.7109375" style="88"/>
  </cols>
  <sheetData>
    <row r="7" ht="11.25" customHeight="1" x14ac:dyDescent="0.25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0E16-B69A-4A39-A80B-6FAED66AE6B8}">
  <sheetPr>
    <tabColor rgb="FF0000FF"/>
  </sheetPr>
  <dimension ref="A7:A15"/>
  <sheetViews>
    <sheetView workbookViewId="0"/>
  </sheetViews>
  <sheetFormatPr defaultColWidth="8.7109375" defaultRowHeight="15" x14ac:dyDescent="0.25"/>
  <cols>
    <col min="1" max="1" width="4.5703125" style="88" customWidth="1"/>
    <col min="2" max="16384" width="8.7109375" style="88"/>
  </cols>
  <sheetData>
    <row r="7" ht="11.25" customHeight="1" x14ac:dyDescent="0.25"/>
    <row r="15" ht="34.5" customHeight="1" x14ac:dyDescent="0.25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A7"/>
  <sheetViews>
    <sheetView workbookViewId="0"/>
  </sheetViews>
  <sheetFormatPr defaultColWidth="8.7109375" defaultRowHeight="18" x14ac:dyDescent="0.25"/>
  <cols>
    <col min="1" max="16384" width="8.7109375" style="85"/>
  </cols>
  <sheetData>
    <row r="1" ht="11.45" customHeight="1" x14ac:dyDescent="0.25"/>
    <row r="7" ht="9.9499999999999993" customHeight="1" x14ac:dyDescent="0.2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"/>
  <sheetViews>
    <sheetView workbookViewId="0"/>
  </sheetViews>
  <sheetFormatPr defaultColWidth="8.7109375" defaultRowHeight="18.75" x14ac:dyDescent="0.3"/>
  <cols>
    <col min="1" max="1" width="3.42578125" style="105" customWidth="1"/>
    <col min="2" max="16384" width="8.7109375" style="105"/>
  </cols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/>
  </sheetPr>
  <dimension ref="A1:N32"/>
  <sheetViews>
    <sheetView workbookViewId="0">
      <selection activeCell="I11" sqref="I11"/>
    </sheetView>
  </sheetViews>
  <sheetFormatPr defaultColWidth="9.140625" defaultRowHeight="18" x14ac:dyDescent="0.25"/>
  <cols>
    <col min="1" max="1" width="3.5703125" style="77" customWidth="1"/>
    <col min="2" max="2" width="8.42578125" style="76" customWidth="1"/>
    <col min="3" max="3" width="48.28515625" style="77" bestFit="1" customWidth="1"/>
    <col min="4" max="6" width="21.7109375" style="77" bestFit="1" customWidth="1"/>
    <col min="7" max="14" width="21.7109375" style="77" customWidth="1"/>
    <col min="15" max="16384" width="9.140625" style="77"/>
  </cols>
  <sheetData>
    <row r="1" spans="1:14" ht="24" customHeight="1" x14ac:dyDescent="0.25">
      <c r="A1" s="89"/>
    </row>
    <row r="2" spans="1:14" s="70" customFormat="1" ht="47.25" thickBot="1" x14ac:dyDescent="0.8">
      <c r="B2" s="1043" t="s">
        <v>536</v>
      </c>
      <c r="C2" s="1043"/>
      <c r="D2" s="1043"/>
      <c r="H2" s="82"/>
      <c r="I2" s="82"/>
      <c r="J2" s="78"/>
    </row>
    <row r="3" spans="1:14" s="64" customFormat="1" ht="33.6" customHeight="1" thickTop="1" thickBot="1" x14ac:dyDescent="0.45">
      <c r="B3" s="147" t="s">
        <v>125</v>
      </c>
      <c r="C3" s="148" t="s">
        <v>483</v>
      </c>
      <c r="D3" s="148" t="s">
        <v>466</v>
      </c>
      <c r="E3" s="149">
        <v>2023</v>
      </c>
      <c r="F3" s="149">
        <v>2024</v>
      </c>
      <c r="G3" s="149">
        <v>2025</v>
      </c>
      <c r="H3" s="149">
        <v>2026</v>
      </c>
      <c r="I3" s="149">
        <v>2027</v>
      </c>
      <c r="J3" s="149">
        <v>2028</v>
      </c>
      <c r="K3" s="149">
        <v>2029</v>
      </c>
      <c r="L3" s="149">
        <v>2030</v>
      </c>
      <c r="M3" s="149">
        <v>2031</v>
      </c>
      <c r="N3" s="149">
        <v>2032</v>
      </c>
    </row>
    <row r="4" spans="1:14" s="64" customFormat="1" ht="29.1" customHeight="1" thickTop="1" thickBot="1" x14ac:dyDescent="0.4">
      <c r="B4" s="150"/>
      <c r="C4" s="151"/>
      <c r="D4" s="151" t="s">
        <v>124</v>
      </c>
      <c r="E4" s="151" t="s">
        <v>56</v>
      </c>
      <c r="F4" s="151" t="s">
        <v>56</v>
      </c>
      <c r="G4" s="151" t="s">
        <v>56</v>
      </c>
      <c r="H4" s="151" t="s">
        <v>56</v>
      </c>
      <c r="I4" s="151" t="s">
        <v>56</v>
      </c>
      <c r="J4" s="151" t="s">
        <v>56</v>
      </c>
      <c r="K4" s="151" t="s">
        <v>56</v>
      </c>
      <c r="L4" s="151" t="s">
        <v>56</v>
      </c>
      <c r="M4" s="151" t="s">
        <v>56</v>
      </c>
      <c r="N4" s="151"/>
    </row>
    <row r="5" spans="1:14" ht="26.1" customHeight="1" thickBot="1" x14ac:dyDescent="0.4">
      <c r="B5" s="251">
        <v>1</v>
      </c>
      <c r="C5" s="256" t="s">
        <v>620</v>
      </c>
      <c r="D5" s="203">
        <f t="shared" ref="D5:D28" si="0">SUM(E5:N5)</f>
        <v>3300</v>
      </c>
      <c r="E5" s="204"/>
      <c r="F5" s="204">
        <v>900</v>
      </c>
      <c r="G5" s="205">
        <v>1200</v>
      </c>
      <c r="H5" s="205">
        <v>1200</v>
      </c>
      <c r="I5" s="205"/>
      <c r="J5" s="205"/>
      <c r="K5" s="205"/>
      <c r="L5" s="205"/>
      <c r="M5" s="205"/>
      <c r="N5" s="206"/>
    </row>
    <row r="6" spans="1:14" ht="26.1" customHeight="1" thickTop="1" thickBot="1" x14ac:dyDescent="0.4">
      <c r="B6" s="287">
        <v>2</v>
      </c>
      <c r="C6" s="239" t="s">
        <v>687</v>
      </c>
      <c r="D6" s="203">
        <f t="shared" si="0"/>
        <v>2400</v>
      </c>
      <c r="E6" s="289"/>
      <c r="F6" s="289"/>
      <c r="G6" s="290">
        <v>1200</v>
      </c>
      <c r="H6" s="205">
        <v>1200</v>
      </c>
      <c r="I6" s="290"/>
      <c r="J6" s="290"/>
      <c r="K6" s="290"/>
      <c r="L6" s="290"/>
      <c r="M6" s="290"/>
      <c r="N6" s="291"/>
    </row>
    <row r="7" spans="1:14" ht="26.1" customHeight="1" thickTop="1" thickBot="1" x14ac:dyDescent="0.4">
      <c r="B7" s="287">
        <v>3</v>
      </c>
      <c r="C7" s="241" t="s">
        <v>458</v>
      </c>
      <c r="D7" s="207">
        <f t="shared" si="0"/>
        <v>3900</v>
      </c>
      <c r="E7" s="208">
        <v>600</v>
      </c>
      <c r="F7" s="208">
        <v>900</v>
      </c>
      <c r="G7" s="209">
        <v>1200</v>
      </c>
      <c r="H7" s="205">
        <v>1200</v>
      </c>
      <c r="I7" s="209"/>
      <c r="J7" s="209"/>
      <c r="K7" s="209"/>
      <c r="L7" s="209"/>
      <c r="M7" s="209"/>
      <c r="N7" s="210"/>
    </row>
    <row r="8" spans="1:14" ht="26.1" customHeight="1" thickTop="1" thickBot="1" x14ac:dyDescent="0.4">
      <c r="B8" s="287">
        <v>4</v>
      </c>
      <c r="C8" s="241" t="s">
        <v>211</v>
      </c>
      <c r="D8" s="207">
        <f t="shared" si="0"/>
        <v>3900</v>
      </c>
      <c r="E8" s="208">
        <v>600</v>
      </c>
      <c r="F8" s="208">
        <v>900</v>
      </c>
      <c r="G8" s="209">
        <v>1200</v>
      </c>
      <c r="H8" s="205">
        <v>1200</v>
      </c>
      <c r="I8" s="209"/>
      <c r="J8" s="209"/>
      <c r="K8" s="209"/>
      <c r="L8" s="209"/>
      <c r="M8" s="209"/>
      <c r="N8" s="210"/>
    </row>
    <row r="9" spans="1:14" ht="26.1" customHeight="1" thickTop="1" thickBot="1" x14ac:dyDescent="0.4">
      <c r="B9" s="287">
        <v>5</v>
      </c>
      <c r="C9" s="241" t="s">
        <v>273</v>
      </c>
      <c r="D9" s="207">
        <f t="shared" si="0"/>
        <v>2400</v>
      </c>
      <c r="E9" s="208"/>
      <c r="F9" s="208"/>
      <c r="G9" s="209">
        <v>1200</v>
      </c>
      <c r="H9" s="205">
        <v>1200</v>
      </c>
      <c r="I9" s="209"/>
      <c r="J9" s="209"/>
      <c r="K9" s="209"/>
      <c r="L9" s="209"/>
      <c r="M9" s="209"/>
      <c r="N9" s="210"/>
    </row>
    <row r="10" spans="1:14" ht="26.1" customHeight="1" thickTop="1" thickBot="1" x14ac:dyDescent="0.4">
      <c r="B10" s="287">
        <v>6</v>
      </c>
      <c r="C10" s="241" t="s">
        <v>186</v>
      </c>
      <c r="D10" s="207">
        <f t="shared" si="0"/>
        <v>3900</v>
      </c>
      <c r="E10" s="208">
        <v>600</v>
      </c>
      <c r="F10" s="208">
        <v>900</v>
      </c>
      <c r="G10" s="209">
        <v>1200</v>
      </c>
      <c r="H10" s="205">
        <v>1200</v>
      </c>
      <c r="I10" s="209"/>
      <c r="J10" s="209"/>
      <c r="K10" s="209"/>
      <c r="L10" s="209"/>
      <c r="M10" s="209"/>
      <c r="N10" s="210"/>
    </row>
    <row r="11" spans="1:14" ht="26.1" customHeight="1" thickTop="1" thickBot="1" x14ac:dyDescent="0.4">
      <c r="B11" s="287">
        <v>7</v>
      </c>
      <c r="C11" s="241" t="s">
        <v>351</v>
      </c>
      <c r="D11" s="207">
        <f t="shared" si="0"/>
        <v>3300</v>
      </c>
      <c r="E11" s="208"/>
      <c r="F11" s="208">
        <v>900</v>
      </c>
      <c r="G11" s="209">
        <v>1200</v>
      </c>
      <c r="H11" s="205">
        <v>1200</v>
      </c>
      <c r="I11" s="209"/>
      <c r="J11" s="209"/>
      <c r="K11" s="209"/>
      <c r="L11" s="209"/>
      <c r="M11" s="209"/>
      <c r="N11" s="210"/>
    </row>
    <row r="12" spans="1:14" ht="26.1" customHeight="1" thickTop="1" thickBot="1" x14ac:dyDescent="0.4">
      <c r="B12" s="287">
        <v>8</v>
      </c>
      <c r="C12" s="241" t="s">
        <v>1136</v>
      </c>
      <c r="D12" s="207">
        <f t="shared" ref="D12" si="1">SUM(E12:N12)</f>
        <v>1200</v>
      </c>
      <c r="E12" s="208"/>
      <c r="F12" s="208"/>
      <c r="G12" s="209"/>
      <c r="H12" s="205">
        <v>1200</v>
      </c>
      <c r="I12" s="209"/>
      <c r="J12" s="209"/>
      <c r="K12" s="209"/>
      <c r="L12" s="209"/>
      <c r="M12" s="209"/>
      <c r="N12" s="210"/>
    </row>
    <row r="13" spans="1:14" ht="26.1" customHeight="1" thickTop="1" thickBot="1" x14ac:dyDescent="0.4">
      <c r="B13" s="287">
        <v>9</v>
      </c>
      <c r="C13" s="241" t="s">
        <v>776</v>
      </c>
      <c r="D13" s="207">
        <f t="shared" si="0"/>
        <v>2400</v>
      </c>
      <c r="E13" s="208"/>
      <c r="F13" s="208"/>
      <c r="G13" s="209">
        <v>1200</v>
      </c>
      <c r="H13" s="205">
        <v>1200</v>
      </c>
      <c r="I13" s="209"/>
      <c r="J13" s="209"/>
      <c r="K13" s="209"/>
      <c r="L13" s="209"/>
      <c r="M13" s="209"/>
      <c r="N13" s="210"/>
    </row>
    <row r="14" spans="1:14" ht="26.1" customHeight="1" thickTop="1" thickBot="1" x14ac:dyDescent="0.4">
      <c r="B14" s="287">
        <v>10</v>
      </c>
      <c r="C14" s="241" t="s">
        <v>232</v>
      </c>
      <c r="D14" s="207">
        <f t="shared" si="0"/>
        <v>3900</v>
      </c>
      <c r="E14" s="208">
        <v>600</v>
      </c>
      <c r="F14" s="208">
        <v>900</v>
      </c>
      <c r="G14" s="209">
        <v>1200</v>
      </c>
      <c r="H14" s="205">
        <v>1200</v>
      </c>
      <c r="I14" s="209"/>
      <c r="J14" s="209"/>
      <c r="K14" s="209"/>
      <c r="L14" s="209"/>
      <c r="M14" s="209"/>
      <c r="N14" s="210"/>
    </row>
    <row r="15" spans="1:14" ht="26.1" customHeight="1" thickTop="1" thickBot="1" x14ac:dyDescent="0.4">
      <c r="B15" s="287">
        <v>11</v>
      </c>
      <c r="C15" s="241" t="s">
        <v>410</v>
      </c>
      <c r="D15" s="207">
        <f t="shared" si="0"/>
        <v>3900</v>
      </c>
      <c r="E15" s="208">
        <v>600</v>
      </c>
      <c r="F15" s="208">
        <v>900</v>
      </c>
      <c r="G15" s="209">
        <v>1200</v>
      </c>
      <c r="H15" s="205">
        <v>1200</v>
      </c>
      <c r="I15" s="209"/>
      <c r="J15" s="209"/>
      <c r="K15" s="209"/>
      <c r="L15" s="209"/>
      <c r="M15" s="209"/>
      <c r="N15" s="210"/>
    </row>
    <row r="16" spans="1:14" ht="26.1" customHeight="1" thickTop="1" thickBot="1" x14ac:dyDescent="0.4">
      <c r="B16" s="287">
        <v>12</v>
      </c>
      <c r="C16" s="241" t="s">
        <v>346</v>
      </c>
      <c r="D16" s="207">
        <f t="shared" si="0"/>
        <v>3900</v>
      </c>
      <c r="E16" s="208">
        <v>600</v>
      </c>
      <c r="F16" s="208">
        <v>900</v>
      </c>
      <c r="G16" s="209">
        <v>1200</v>
      </c>
      <c r="H16" s="205">
        <v>1200</v>
      </c>
      <c r="I16" s="209"/>
      <c r="J16" s="209"/>
      <c r="K16" s="209"/>
      <c r="L16" s="209"/>
      <c r="M16" s="209"/>
      <c r="N16" s="210"/>
    </row>
    <row r="17" spans="2:14" ht="26.1" customHeight="1" thickTop="1" thickBot="1" x14ac:dyDescent="0.4">
      <c r="B17" s="287">
        <v>13</v>
      </c>
      <c r="C17" s="242" t="s">
        <v>62</v>
      </c>
      <c r="D17" s="207">
        <f t="shared" si="0"/>
        <v>3900</v>
      </c>
      <c r="E17" s="208">
        <v>600</v>
      </c>
      <c r="F17" s="208">
        <v>900</v>
      </c>
      <c r="G17" s="209">
        <v>1200</v>
      </c>
      <c r="H17" s="205">
        <v>1200</v>
      </c>
      <c r="I17" s="209"/>
      <c r="J17" s="209"/>
      <c r="K17" s="209"/>
      <c r="L17" s="209"/>
      <c r="M17" s="209"/>
      <c r="N17" s="210"/>
    </row>
    <row r="18" spans="2:14" ht="26.1" customHeight="1" thickTop="1" thickBot="1" x14ac:dyDescent="0.4">
      <c r="B18" s="287">
        <v>14</v>
      </c>
      <c r="C18" s="242" t="s">
        <v>68</v>
      </c>
      <c r="D18" s="207">
        <f t="shared" si="0"/>
        <v>3900</v>
      </c>
      <c r="E18" s="208">
        <v>600</v>
      </c>
      <c r="F18" s="208">
        <v>900</v>
      </c>
      <c r="G18" s="209">
        <v>1200</v>
      </c>
      <c r="H18" s="205">
        <v>1200</v>
      </c>
      <c r="I18" s="209"/>
      <c r="J18" s="209"/>
      <c r="K18" s="209"/>
      <c r="L18" s="209"/>
      <c r="M18" s="209"/>
      <c r="N18" s="210"/>
    </row>
    <row r="19" spans="2:14" ht="26.1" customHeight="1" thickTop="1" thickBot="1" x14ac:dyDescent="0.4">
      <c r="B19" s="287">
        <v>15</v>
      </c>
      <c r="C19" s="242" t="s">
        <v>158</v>
      </c>
      <c r="D19" s="207">
        <f t="shared" si="0"/>
        <v>3900</v>
      </c>
      <c r="E19" s="208">
        <v>600</v>
      </c>
      <c r="F19" s="208">
        <v>900</v>
      </c>
      <c r="G19" s="209">
        <v>1200</v>
      </c>
      <c r="H19" s="205">
        <v>1200</v>
      </c>
      <c r="I19" s="209"/>
      <c r="J19" s="209"/>
      <c r="K19" s="209"/>
      <c r="L19" s="209"/>
      <c r="M19" s="209"/>
      <c r="N19" s="210"/>
    </row>
    <row r="20" spans="2:14" ht="26.1" customHeight="1" thickTop="1" thickBot="1" x14ac:dyDescent="0.4">
      <c r="B20" s="287">
        <v>16</v>
      </c>
      <c r="C20" s="241" t="s">
        <v>212</v>
      </c>
      <c r="D20" s="207">
        <f t="shared" si="0"/>
        <v>3900</v>
      </c>
      <c r="E20" s="208">
        <v>600</v>
      </c>
      <c r="F20" s="208">
        <v>900</v>
      </c>
      <c r="G20" s="209">
        <v>1200</v>
      </c>
      <c r="H20" s="205">
        <v>1200</v>
      </c>
      <c r="I20" s="209"/>
      <c r="J20" s="209"/>
      <c r="K20" s="209"/>
      <c r="L20" s="209"/>
      <c r="M20" s="209"/>
      <c r="N20" s="210"/>
    </row>
    <row r="21" spans="2:14" ht="26.1" customHeight="1" thickTop="1" thickBot="1" x14ac:dyDescent="0.4">
      <c r="B21" s="287">
        <v>17</v>
      </c>
      <c r="C21" s="242" t="s">
        <v>75</v>
      </c>
      <c r="D21" s="207">
        <f t="shared" si="0"/>
        <v>3900</v>
      </c>
      <c r="E21" s="208">
        <v>600</v>
      </c>
      <c r="F21" s="208">
        <v>900</v>
      </c>
      <c r="G21" s="209">
        <v>1200</v>
      </c>
      <c r="H21" s="205">
        <v>1200</v>
      </c>
      <c r="I21" s="209"/>
      <c r="J21" s="209"/>
      <c r="K21" s="209"/>
      <c r="L21" s="209"/>
      <c r="M21" s="209"/>
      <c r="N21" s="210"/>
    </row>
    <row r="22" spans="2:14" ht="26.1" customHeight="1" thickTop="1" thickBot="1" x14ac:dyDescent="0.4">
      <c r="B22" s="287">
        <v>18</v>
      </c>
      <c r="C22" s="241" t="s">
        <v>134</v>
      </c>
      <c r="D22" s="207">
        <f t="shared" si="0"/>
        <v>3900</v>
      </c>
      <c r="E22" s="208">
        <v>600</v>
      </c>
      <c r="F22" s="208">
        <v>900</v>
      </c>
      <c r="G22" s="209">
        <v>1200</v>
      </c>
      <c r="H22" s="205">
        <v>1200</v>
      </c>
      <c r="I22" s="209"/>
      <c r="J22" s="209"/>
      <c r="K22" s="209"/>
      <c r="L22" s="209"/>
      <c r="M22" s="209"/>
      <c r="N22" s="210"/>
    </row>
    <row r="23" spans="2:14" ht="26.1" customHeight="1" thickTop="1" thickBot="1" x14ac:dyDescent="0.4">
      <c r="B23" s="287">
        <v>19</v>
      </c>
      <c r="C23" s="242" t="s">
        <v>524</v>
      </c>
      <c r="D23" s="207">
        <f t="shared" si="0"/>
        <v>3900</v>
      </c>
      <c r="E23" s="208">
        <v>600</v>
      </c>
      <c r="F23" s="208">
        <v>900</v>
      </c>
      <c r="G23" s="209">
        <v>1200</v>
      </c>
      <c r="H23" s="205">
        <v>1200</v>
      </c>
      <c r="I23" s="209"/>
      <c r="J23" s="209"/>
      <c r="K23" s="209"/>
      <c r="L23" s="209"/>
      <c r="M23" s="209"/>
      <c r="N23" s="210"/>
    </row>
    <row r="24" spans="2:14" ht="26.1" customHeight="1" thickTop="1" thickBot="1" x14ac:dyDescent="0.4">
      <c r="B24" s="287">
        <v>20</v>
      </c>
      <c r="C24" s="242" t="s">
        <v>76</v>
      </c>
      <c r="D24" s="207">
        <f t="shared" si="0"/>
        <v>3900</v>
      </c>
      <c r="E24" s="208">
        <v>600</v>
      </c>
      <c r="F24" s="208">
        <v>900</v>
      </c>
      <c r="G24" s="209">
        <v>1200</v>
      </c>
      <c r="H24" s="205">
        <v>1200</v>
      </c>
      <c r="I24" s="209"/>
      <c r="J24" s="209"/>
      <c r="K24" s="209"/>
      <c r="L24" s="209"/>
      <c r="M24" s="209"/>
      <c r="N24" s="210"/>
    </row>
    <row r="25" spans="2:14" ht="26.1" customHeight="1" thickTop="1" thickBot="1" x14ac:dyDescent="0.4">
      <c r="B25" s="287">
        <v>21</v>
      </c>
      <c r="C25" s="242" t="s">
        <v>66</v>
      </c>
      <c r="D25" s="207">
        <f t="shared" si="0"/>
        <v>3900</v>
      </c>
      <c r="E25" s="208">
        <v>600</v>
      </c>
      <c r="F25" s="208">
        <v>900</v>
      </c>
      <c r="G25" s="209">
        <v>1200</v>
      </c>
      <c r="H25" s="205">
        <v>1200</v>
      </c>
      <c r="I25" s="209"/>
      <c r="J25" s="209"/>
      <c r="K25" s="209"/>
      <c r="L25" s="209"/>
      <c r="M25" s="209"/>
      <c r="N25" s="210"/>
    </row>
    <row r="26" spans="2:14" ht="26.1" customHeight="1" thickTop="1" thickBot="1" x14ac:dyDescent="0.4">
      <c r="B26" s="287">
        <v>22</v>
      </c>
      <c r="C26" s="241" t="s">
        <v>469</v>
      </c>
      <c r="D26" s="207">
        <f t="shared" si="0"/>
        <v>3900</v>
      </c>
      <c r="E26" s="208">
        <v>600</v>
      </c>
      <c r="F26" s="208">
        <v>900</v>
      </c>
      <c r="G26" s="209">
        <v>1200</v>
      </c>
      <c r="H26" s="205">
        <v>1200</v>
      </c>
      <c r="I26" s="209"/>
      <c r="J26" s="209"/>
      <c r="K26" s="209"/>
      <c r="L26" s="209"/>
      <c r="M26" s="209"/>
      <c r="N26" s="210"/>
    </row>
    <row r="27" spans="2:14" ht="26.1" customHeight="1" thickTop="1" thickBot="1" x14ac:dyDescent="0.4">
      <c r="B27" s="287">
        <v>23</v>
      </c>
      <c r="C27" s="241" t="s">
        <v>758</v>
      </c>
      <c r="D27" s="207">
        <f t="shared" si="0"/>
        <v>3900</v>
      </c>
      <c r="E27" s="208">
        <v>600</v>
      </c>
      <c r="F27" s="208">
        <v>900</v>
      </c>
      <c r="G27" s="209">
        <v>1200</v>
      </c>
      <c r="H27" s="205">
        <v>1200</v>
      </c>
      <c r="I27" s="209"/>
      <c r="J27" s="209"/>
      <c r="K27" s="209"/>
      <c r="L27" s="209"/>
      <c r="M27" s="209"/>
      <c r="N27" s="210"/>
    </row>
    <row r="28" spans="2:14" ht="26.1" customHeight="1" thickTop="1" thickBot="1" x14ac:dyDescent="0.4">
      <c r="B28" s="287">
        <v>24</v>
      </c>
      <c r="C28" s="241" t="s">
        <v>213</v>
      </c>
      <c r="D28" s="207">
        <f t="shared" si="0"/>
        <v>3900</v>
      </c>
      <c r="E28" s="208">
        <v>600</v>
      </c>
      <c r="F28" s="208">
        <v>900</v>
      </c>
      <c r="G28" s="209">
        <v>1200</v>
      </c>
      <c r="H28" s="205">
        <v>1200</v>
      </c>
      <c r="I28" s="209"/>
      <c r="J28" s="209"/>
      <c r="K28" s="209"/>
      <c r="L28" s="209"/>
      <c r="M28" s="209"/>
      <c r="N28" s="210"/>
    </row>
    <row r="29" spans="2:14" ht="26.1" customHeight="1" thickTop="1" thickBot="1" x14ac:dyDescent="0.4">
      <c r="B29" s="145"/>
      <c r="C29" s="146"/>
      <c r="D29" s="211"/>
      <c r="E29" s="212"/>
      <c r="F29" s="212"/>
      <c r="G29" s="212"/>
      <c r="H29" s="212"/>
      <c r="I29" s="212"/>
      <c r="J29" s="212"/>
      <c r="K29" s="212"/>
      <c r="L29" s="212"/>
      <c r="M29" s="212"/>
      <c r="N29" s="213"/>
    </row>
    <row r="30" spans="2:14" s="81" customFormat="1" ht="34.5" customHeight="1" thickBot="1" x14ac:dyDescent="0.45">
      <c r="B30" s="1044" t="s">
        <v>1</v>
      </c>
      <c r="C30" s="1045"/>
      <c r="D30" s="92">
        <f t="shared" ref="D30:N30" si="2">SUBTOTAL(9,D5:D28)</f>
        <v>85200</v>
      </c>
      <c r="E30" s="92">
        <f t="shared" si="2"/>
        <v>10800</v>
      </c>
      <c r="F30" s="92">
        <f t="shared" si="2"/>
        <v>18000</v>
      </c>
      <c r="G30" s="92">
        <f t="shared" si="2"/>
        <v>27600</v>
      </c>
      <c r="H30" s="92">
        <f t="shared" si="2"/>
        <v>28800</v>
      </c>
      <c r="I30" s="92">
        <f t="shared" si="2"/>
        <v>0</v>
      </c>
      <c r="J30" s="92">
        <f t="shared" si="2"/>
        <v>0</v>
      </c>
      <c r="K30" s="92">
        <f t="shared" si="2"/>
        <v>0</v>
      </c>
      <c r="L30" s="92">
        <f t="shared" si="2"/>
        <v>0</v>
      </c>
      <c r="M30" s="92">
        <f t="shared" si="2"/>
        <v>0</v>
      </c>
      <c r="N30" s="92">
        <f t="shared" si="2"/>
        <v>0</v>
      </c>
    </row>
    <row r="31" spans="2:14" s="248" customFormat="1" ht="34.5" customHeight="1" thickTop="1" thickBot="1" x14ac:dyDescent="0.45">
      <c r="B31" s="1046" t="s">
        <v>650</v>
      </c>
      <c r="C31" s="1047"/>
      <c r="D31" s="237">
        <f t="shared" ref="D31:N31" si="3">COUNTIF(D5:D29,"&gt;0")</f>
        <v>24</v>
      </c>
      <c r="E31" s="237">
        <f t="shared" si="3"/>
        <v>18</v>
      </c>
      <c r="F31" s="237">
        <f t="shared" si="3"/>
        <v>20</v>
      </c>
      <c r="G31" s="237">
        <f t="shared" si="3"/>
        <v>23</v>
      </c>
      <c r="H31" s="237">
        <f t="shared" si="3"/>
        <v>24</v>
      </c>
      <c r="I31" s="237">
        <f t="shared" si="3"/>
        <v>0</v>
      </c>
      <c r="J31" s="237">
        <f t="shared" si="3"/>
        <v>0</v>
      </c>
      <c r="K31" s="237">
        <f t="shared" si="3"/>
        <v>0</v>
      </c>
      <c r="L31" s="237">
        <f t="shared" si="3"/>
        <v>0</v>
      </c>
      <c r="M31" s="237">
        <f t="shared" si="3"/>
        <v>0</v>
      </c>
      <c r="N31" s="237">
        <f t="shared" si="3"/>
        <v>0</v>
      </c>
    </row>
    <row r="32" spans="2:14" ht="19.5" customHeight="1" thickTop="1" x14ac:dyDescent="0.25"/>
  </sheetData>
  <autoFilter ref="B4:N27" xr:uid="{00000000-0009-0000-0000-000009000000}"/>
  <sortState xmlns:xlrd2="http://schemas.microsoft.com/office/spreadsheetml/2017/richdata2" ref="C5:F25">
    <sortCondition ref="C5:C25"/>
  </sortState>
  <mergeCells count="3">
    <mergeCell ref="B2:D2"/>
    <mergeCell ref="B30:C30"/>
    <mergeCell ref="B31:C31"/>
  </mergeCells>
  <conditionalFormatting sqref="D30:N31">
    <cfRule type="cellIs" dxfId="88" priority="1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</sheetPr>
  <dimension ref="A1:N32"/>
  <sheetViews>
    <sheetView workbookViewId="0">
      <selection activeCell="K9" sqref="K9"/>
    </sheetView>
  </sheetViews>
  <sheetFormatPr defaultColWidth="9.140625" defaultRowHeight="18" x14ac:dyDescent="0.25"/>
  <cols>
    <col min="1" max="1" width="3.5703125" style="77" customWidth="1"/>
    <col min="2" max="2" width="8.42578125" style="76" customWidth="1"/>
    <col min="3" max="3" width="48.28515625" style="77" bestFit="1" customWidth="1"/>
    <col min="4" max="4" width="21.7109375" style="77" bestFit="1" customWidth="1"/>
    <col min="5" max="14" width="21.7109375" style="77" customWidth="1"/>
    <col min="15" max="16384" width="9.140625" style="77"/>
  </cols>
  <sheetData>
    <row r="1" spans="1:14" ht="24.75" customHeight="1" x14ac:dyDescent="0.25">
      <c r="A1" s="89"/>
    </row>
    <row r="2" spans="1:14" s="70" customFormat="1" ht="47.25" thickBot="1" x14ac:dyDescent="0.8">
      <c r="B2" s="1043" t="s">
        <v>532</v>
      </c>
      <c r="C2" s="1043"/>
      <c r="D2" s="1043"/>
      <c r="H2" s="82"/>
      <c r="I2" s="82"/>
      <c r="J2" s="78"/>
    </row>
    <row r="3" spans="1:14" s="64" customFormat="1" ht="33.6" customHeight="1" thickTop="1" thickBot="1" x14ac:dyDescent="0.45">
      <c r="B3" s="67" t="s">
        <v>125</v>
      </c>
      <c r="C3" s="65" t="s">
        <v>483</v>
      </c>
      <c r="D3" s="65" t="s">
        <v>466</v>
      </c>
      <c r="E3" s="90">
        <v>2023</v>
      </c>
      <c r="F3" s="90">
        <v>2024</v>
      </c>
      <c r="G3" s="90">
        <v>2025</v>
      </c>
      <c r="H3" s="90">
        <v>2026</v>
      </c>
      <c r="I3" s="90">
        <v>2027</v>
      </c>
      <c r="J3" s="90">
        <v>2028</v>
      </c>
      <c r="K3" s="90">
        <v>2029</v>
      </c>
      <c r="L3" s="90">
        <v>2030</v>
      </c>
      <c r="M3" s="90">
        <v>2031</v>
      </c>
      <c r="N3" s="90">
        <v>2032</v>
      </c>
    </row>
    <row r="4" spans="1:14" s="64" customFormat="1" ht="29.1" customHeight="1" thickTop="1" thickBot="1" x14ac:dyDescent="0.4">
      <c r="B4" s="69"/>
      <c r="C4" s="66"/>
      <c r="D4" s="66" t="s">
        <v>124</v>
      </c>
      <c r="E4" s="66" t="s">
        <v>56</v>
      </c>
      <c r="F4" s="66" t="s">
        <v>56</v>
      </c>
      <c r="G4" s="66" t="s">
        <v>56</v>
      </c>
      <c r="H4" s="66" t="s">
        <v>56</v>
      </c>
      <c r="I4" s="66" t="s">
        <v>56</v>
      </c>
      <c r="J4" s="66" t="s">
        <v>56</v>
      </c>
      <c r="K4" s="66" t="s">
        <v>56</v>
      </c>
      <c r="L4" s="66" t="s">
        <v>56</v>
      </c>
      <c r="M4" s="66" t="s">
        <v>56</v>
      </c>
      <c r="N4" s="66"/>
    </row>
    <row r="5" spans="1:14" ht="26.1" customHeight="1" thickBot="1" x14ac:dyDescent="0.4">
      <c r="B5" s="257">
        <v>1</v>
      </c>
      <c r="C5" s="258" t="s">
        <v>620</v>
      </c>
      <c r="D5" s="259">
        <f t="shared" ref="D5:D28" si="0">SUM(E5:N5)</f>
        <v>3000</v>
      </c>
      <c r="E5" s="260">
        <f>IFERROR(VLOOKUP($C5,'MONTHLY DUES 2023'!$C$5:$D$25,2,0),0)</f>
        <v>0</v>
      </c>
      <c r="F5" s="260">
        <f>IFERROR(VLOOKUP($C5,'MONTHLY DUES 2024'!$C$5:$D$25,2,0),0)</f>
        <v>900</v>
      </c>
      <c r="G5" s="260">
        <f>IFERROR(VLOOKUP($C5,'MONTHLY DUES 2025'!$C$5:$D$25,2,0),0)</f>
        <v>1200</v>
      </c>
      <c r="H5" s="139">
        <f>IFERROR(VLOOKUP($C5,'MONTHLY DUES 2026'!$C$5:$D$26,2,0),0)</f>
        <v>900</v>
      </c>
      <c r="I5" s="139">
        <f>IFERROR(VLOOKUP($C5,'MONTHLY DUES 2027'!$C$5:$D$27,2,0),0)</f>
        <v>0</v>
      </c>
      <c r="J5" s="139">
        <f>IFERROR(VLOOKUP($C5,'MONTHLY DUES 2028'!$C$5:$D$27,2,0),0)</f>
        <v>0</v>
      </c>
      <c r="K5" s="139">
        <f>IFERROR(VLOOKUP($C5,'MONTHLY DUES 2029'!$C$5:$D$27,2,0),0)</f>
        <v>0</v>
      </c>
      <c r="L5" s="139">
        <f>IFERROR(VLOOKUP($C5,'MONTHLY DUES 2030'!$C$5:$D$27,2,0),0)</f>
        <v>0</v>
      </c>
      <c r="M5" s="139">
        <f>IFERROR(VLOOKUP($C5,'MONTHLY DUES 2031'!$C$5:$D$27,2,0),0)</f>
        <v>0</v>
      </c>
      <c r="N5" s="139">
        <f>IFERROR(VLOOKUP($C5,'MONTHLY DUES 2032'!$C$5:$D$27,2,0),0)</f>
        <v>0</v>
      </c>
    </row>
    <row r="6" spans="1:14" ht="26.1" customHeight="1" thickTop="1" thickBot="1" x14ac:dyDescent="0.4">
      <c r="B6" s="292">
        <v>2</v>
      </c>
      <c r="C6" s="293" t="s">
        <v>687</v>
      </c>
      <c r="D6" s="259">
        <f t="shared" si="0"/>
        <v>1500</v>
      </c>
      <c r="E6" s="260">
        <f>IFERROR(VLOOKUP($C6,'MONTHLY DUES 2023'!$C$5:$D$25,2,0),0)</f>
        <v>0</v>
      </c>
      <c r="F6" s="260">
        <f>IFERROR(VLOOKUP($C6,'MONTHLY DUES 2024'!$C$5:$D$25,2,0),0)</f>
        <v>0</v>
      </c>
      <c r="G6" s="260">
        <f>IFERROR(VLOOKUP($C6,'MONTHLY DUES 2025'!$C$5:$D$25,2,0),0)</f>
        <v>1200</v>
      </c>
      <c r="H6" s="139">
        <f>IFERROR(VLOOKUP($C6,'MONTHLY DUES 2026'!$C$5:$D$26,2,0),0)</f>
        <v>300</v>
      </c>
      <c r="I6" s="139">
        <f>IFERROR(VLOOKUP($C6,'MONTHLY DUES 2027'!$C$5:$D$27,2,0),0)</f>
        <v>0</v>
      </c>
      <c r="J6" s="139">
        <f>IFERROR(VLOOKUP($C6,'MONTHLY DUES 2028'!$C$5:$D$27,2,0),0)</f>
        <v>0</v>
      </c>
      <c r="K6" s="139">
        <f>IFERROR(VLOOKUP($C6,'MONTHLY DUES 2029'!$C$5:$D$27,2,0),0)</f>
        <v>0</v>
      </c>
      <c r="L6" s="139">
        <f>IFERROR(VLOOKUP($C6,'MONTHLY DUES 2030'!$C$5:$D$27,2,0),0)</f>
        <v>0</v>
      </c>
      <c r="M6" s="139">
        <f>IFERROR(VLOOKUP($C6,'MONTHLY DUES 2031'!$C$5:$D$27,2,0),0)</f>
        <v>0</v>
      </c>
      <c r="N6" s="139">
        <f>IFERROR(VLOOKUP($C6,'MONTHLY DUES 2032'!$C$5:$D$27,2,0),0)</f>
        <v>0</v>
      </c>
    </row>
    <row r="7" spans="1:14" ht="26.1" customHeight="1" thickTop="1" thickBot="1" x14ac:dyDescent="0.4">
      <c r="B7" s="292">
        <v>3</v>
      </c>
      <c r="C7" s="261" t="s">
        <v>458</v>
      </c>
      <c r="D7" s="262">
        <f t="shared" si="0"/>
        <v>3400</v>
      </c>
      <c r="E7" s="260">
        <f>IFERROR(VLOOKUP($C7,'MONTHLY DUES 2023'!$C$5:$D$25,2,0),0)</f>
        <v>600</v>
      </c>
      <c r="F7" s="260">
        <f>IFERROR(VLOOKUP($C7,'MONTHLY DUES 2024'!$C$5:$D$25,2,0),0)</f>
        <v>900</v>
      </c>
      <c r="G7" s="260">
        <f>IFERROR(VLOOKUP($C7,'MONTHLY DUES 2025'!$C$5:$D$25,2,0),0)</f>
        <v>1200</v>
      </c>
      <c r="H7" s="139">
        <f>IFERROR(VLOOKUP($C7,'MONTHLY DUES 2026'!$C$5:$D$26,2,0),0)</f>
        <v>700</v>
      </c>
      <c r="I7" s="139">
        <f>IFERROR(VLOOKUP($C7,'MONTHLY DUES 2027'!$C$5:$D$27,2,0),0)</f>
        <v>0</v>
      </c>
      <c r="J7" s="139">
        <f>IFERROR(VLOOKUP($C7,'MONTHLY DUES 2028'!$C$5:$D$27,2,0),0)</f>
        <v>0</v>
      </c>
      <c r="K7" s="139">
        <f>IFERROR(VLOOKUP($C7,'MONTHLY DUES 2029'!$C$5:$D$27,2,0),0)</f>
        <v>0</v>
      </c>
      <c r="L7" s="139">
        <f>IFERROR(VLOOKUP($C7,'MONTHLY DUES 2030'!$C$5:$D$27,2,0),0)</f>
        <v>0</v>
      </c>
      <c r="M7" s="139">
        <f>IFERROR(VLOOKUP($C7,'MONTHLY DUES 2031'!$C$5:$D$27,2,0),0)</f>
        <v>0</v>
      </c>
      <c r="N7" s="139">
        <f>IFERROR(VLOOKUP($C7,'MONTHLY DUES 2032'!$C$5:$D$27,2,0),0)</f>
        <v>0</v>
      </c>
    </row>
    <row r="8" spans="1:14" ht="26.1" customHeight="1" thickTop="1" thickBot="1" x14ac:dyDescent="0.4">
      <c r="B8" s="292">
        <v>4</v>
      </c>
      <c r="C8" s="261" t="s">
        <v>211</v>
      </c>
      <c r="D8" s="262">
        <f t="shared" si="0"/>
        <v>3400</v>
      </c>
      <c r="E8" s="260">
        <f>IFERROR(VLOOKUP($C8,'MONTHLY DUES 2023'!$C$5:$D$25,2,0),0)</f>
        <v>600</v>
      </c>
      <c r="F8" s="260">
        <f>IFERROR(VLOOKUP($C8,'MONTHLY DUES 2024'!$C$5:$D$25,2,0),0)</f>
        <v>900</v>
      </c>
      <c r="G8" s="260">
        <f>IFERROR(VLOOKUP($C8,'MONTHLY DUES 2025'!$C$5:$D$25,2,0),0)</f>
        <v>1200</v>
      </c>
      <c r="H8" s="139">
        <f>IFERROR(VLOOKUP($C8,'MONTHLY DUES 2026'!$C$5:$D$26,2,0),0)</f>
        <v>700</v>
      </c>
      <c r="I8" s="139">
        <f>IFERROR(VLOOKUP($C8,'MONTHLY DUES 2027'!$C$5:$D$27,2,0),0)</f>
        <v>0</v>
      </c>
      <c r="J8" s="139">
        <f>IFERROR(VLOOKUP($C8,'MONTHLY DUES 2028'!$C$5:$D$27,2,0),0)</f>
        <v>0</v>
      </c>
      <c r="K8" s="139">
        <f>IFERROR(VLOOKUP($C8,'MONTHLY DUES 2029'!$C$5:$D$27,2,0),0)</f>
        <v>0</v>
      </c>
      <c r="L8" s="139">
        <f>IFERROR(VLOOKUP($C8,'MONTHLY DUES 2030'!$C$5:$D$27,2,0),0)</f>
        <v>0</v>
      </c>
      <c r="M8" s="139">
        <f>IFERROR(VLOOKUP($C8,'MONTHLY DUES 2031'!$C$5:$D$27,2,0),0)</f>
        <v>0</v>
      </c>
      <c r="N8" s="139">
        <f>IFERROR(VLOOKUP($C8,'MONTHLY DUES 2032'!$C$5:$D$27,2,0),0)</f>
        <v>0</v>
      </c>
    </row>
    <row r="9" spans="1:14" ht="26.1" customHeight="1" thickTop="1" thickBot="1" x14ac:dyDescent="0.4">
      <c r="B9" s="292">
        <v>5</v>
      </c>
      <c r="C9" s="261" t="s">
        <v>273</v>
      </c>
      <c r="D9" s="262">
        <f t="shared" si="0"/>
        <v>200</v>
      </c>
      <c r="E9" s="260">
        <f>IFERROR(VLOOKUP($C9,'MONTHLY DUES 2023'!$C$5:$D$25,2,0),0)</f>
        <v>0</v>
      </c>
      <c r="F9" s="260">
        <f>IFERROR(VLOOKUP($C9,'MONTHLY DUES 2024'!$C$5:$D$25,2,0),0)</f>
        <v>0</v>
      </c>
      <c r="G9" s="260">
        <f>IFERROR(VLOOKUP($C9,'MONTHLY DUES 2025'!$C$5:$D$25,2,0),0)</f>
        <v>200</v>
      </c>
      <c r="H9" s="139">
        <f>IFERROR(VLOOKUP($C9,'MONTHLY DUES 2026'!$C$5:$D$26,2,0),0)</f>
        <v>0</v>
      </c>
      <c r="I9" s="139">
        <f>IFERROR(VLOOKUP($C9,'MONTHLY DUES 2027'!$C$5:$D$27,2,0),0)</f>
        <v>0</v>
      </c>
      <c r="J9" s="139">
        <f>IFERROR(VLOOKUP($C9,'MONTHLY DUES 2028'!$C$5:$D$27,2,0),0)</f>
        <v>0</v>
      </c>
      <c r="K9" s="139">
        <f>IFERROR(VLOOKUP($C9,'MONTHLY DUES 2029'!$C$5:$D$27,2,0),0)</f>
        <v>0</v>
      </c>
      <c r="L9" s="139">
        <f>IFERROR(VLOOKUP($C9,'MONTHLY DUES 2030'!$C$5:$D$27,2,0),0)</f>
        <v>0</v>
      </c>
      <c r="M9" s="139">
        <f>IFERROR(VLOOKUP($C9,'MONTHLY DUES 2031'!$C$5:$D$27,2,0),0)</f>
        <v>0</v>
      </c>
      <c r="N9" s="139">
        <f>IFERROR(VLOOKUP($C9,'MONTHLY DUES 2032'!$C$5:$D$27,2,0),0)</f>
        <v>0</v>
      </c>
    </row>
    <row r="10" spans="1:14" ht="26.1" customHeight="1" thickTop="1" thickBot="1" x14ac:dyDescent="0.4">
      <c r="B10" s="292">
        <v>6</v>
      </c>
      <c r="C10" s="261" t="s">
        <v>186</v>
      </c>
      <c r="D10" s="262">
        <f t="shared" si="0"/>
        <v>3900</v>
      </c>
      <c r="E10" s="260">
        <f>IFERROR(VLOOKUP($C10,'MONTHLY DUES 2023'!$C$5:$D$25,2,0),0)</f>
        <v>600</v>
      </c>
      <c r="F10" s="260">
        <f>IFERROR(VLOOKUP($C10,'MONTHLY DUES 2024'!$C$5:$D$25,2,0),0)</f>
        <v>900</v>
      </c>
      <c r="G10" s="260">
        <f>IFERROR(VLOOKUP($C10,'MONTHLY DUES 2025'!$C$5:$D$25,2,0),0)</f>
        <v>1200</v>
      </c>
      <c r="H10" s="139">
        <f>IFERROR(VLOOKUP($C10,'MONTHLY DUES 2026'!$C$5:$D$26,2,0),0)</f>
        <v>1200</v>
      </c>
      <c r="I10" s="139">
        <f>IFERROR(VLOOKUP($C10,'MONTHLY DUES 2027'!$C$5:$D$27,2,0),0)</f>
        <v>0</v>
      </c>
      <c r="J10" s="139">
        <f>IFERROR(VLOOKUP($C10,'MONTHLY DUES 2028'!$C$5:$D$27,2,0),0)</f>
        <v>0</v>
      </c>
      <c r="K10" s="139">
        <f>IFERROR(VLOOKUP($C10,'MONTHLY DUES 2029'!$C$5:$D$27,2,0),0)</f>
        <v>0</v>
      </c>
      <c r="L10" s="139">
        <f>IFERROR(VLOOKUP($C10,'MONTHLY DUES 2030'!$C$5:$D$27,2,0),0)</f>
        <v>0</v>
      </c>
      <c r="M10" s="139">
        <f>IFERROR(VLOOKUP($C10,'MONTHLY DUES 2031'!$C$5:$D$27,2,0),0)</f>
        <v>0</v>
      </c>
      <c r="N10" s="139">
        <f>IFERROR(VLOOKUP($C10,'MONTHLY DUES 2032'!$C$5:$D$27,2,0),0)</f>
        <v>0</v>
      </c>
    </row>
    <row r="11" spans="1:14" ht="26.1" customHeight="1" thickTop="1" thickBot="1" x14ac:dyDescent="0.4">
      <c r="B11" s="292">
        <v>7</v>
      </c>
      <c r="C11" s="261" t="s">
        <v>351</v>
      </c>
      <c r="D11" s="262">
        <f t="shared" si="0"/>
        <v>3300</v>
      </c>
      <c r="E11" s="260">
        <f>IFERROR(VLOOKUP($C11,'MONTHLY DUES 2023'!$C$5:$D$25,2,0),0)</f>
        <v>0</v>
      </c>
      <c r="F11" s="260">
        <f>IFERROR(VLOOKUP($C11,'MONTHLY DUES 2024'!$C$5:$D$25,2,0),0)</f>
        <v>900</v>
      </c>
      <c r="G11" s="260">
        <f>IFERROR(VLOOKUP($C11,'MONTHLY DUES 2025'!$C$5:$D$25,2,0),0)</f>
        <v>1200</v>
      </c>
      <c r="H11" s="139">
        <f>IFERROR(VLOOKUP($C11,'MONTHLY DUES 2026'!$C$5:$D$26,2,0),0)</f>
        <v>1200</v>
      </c>
      <c r="I11" s="139"/>
      <c r="J11" s="139"/>
      <c r="K11" s="139"/>
      <c r="L11" s="139"/>
      <c r="M11" s="139"/>
      <c r="N11" s="139"/>
    </row>
    <row r="12" spans="1:14" ht="26.1" customHeight="1" thickTop="1" thickBot="1" x14ac:dyDescent="0.4">
      <c r="B12" s="287">
        <v>55</v>
      </c>
      <c r="C12" s="241" t="s">
        <v>1136</v>
      </c>
      <c r="D12" s="262">
        <f t="shared" ref="D12" si="1">SUM(E12:N12)</f>
        <v>900</v>
      </c>
      <c r="E12" s="260">
        <f>IFERROR(VLOOKUP($C12,'MONTHLY DUES 2023'!$C$5:$D$25,2,0),0)</f>
        <v>0</v>
      </c>
      <c r="F12" s="260">
        <f>IFERROR(VLOOKUP($C12,'MONTHLY DUES 2024'!$C$5:$D$25,2,0),0)</f>
        <v>0</v>
      </c>
      <c r="G12" s="260">
        <f>IFERROR(VLOOKUP($C12,'MONTHLY DUES 2025'!$C$5:$D$25,2,0),0)</f>
        <v>0</v>
      </c>
      <c r="H12" s="139">
        <f>IFERROR(VLOOKUP($C12,'MONTHLY DUES 2026'!$C$5:$D$26,2,0),0)</f>
        <v>900</v>
      </c>
      <c r="I12" s="139"/>
      <c r="J12" s="139"/>
      <c r="K12" s="139"/>
      <c r="L12" s="139"/>
      <c r="M12" s="139"/>
      <c r="N12" s="139"/>
    </row>
    <row r="13" spans="1:14" ht="26.1" customHeight="1" thickTop="1" thickBot="1" x14ac:dyDescent="0.4">
      <c r="B13" s="292">
        <v>8</v>
      </c>
      <c r="C13" s="261" t="s">
        <v>776</v>
      </c>
      <c r="D13" s="262">
        <f>SUM(E13:N13)</f>
        <v>350</v>
      </c>
      <c r="E13" s="260">
        <f>IFERROR(VLOOKUP($C13,'MONTHLY DUES 2023'!$C$5:$D$25,2,0),0)</f>
        <v>0</v>
      </c>
      <c r="F13" s="260">
        <f>IFERROR(VLOOKUP($C13,'MONTHLY DUES 2024'!$C$5:$D$25,2,0),0)</f>
        <v>0</v>
      </c>
      <c r="G13" s="260">
        <f>IFERROR(VLOOKUP($C13,'MONTHLY DUES 2025'!$C$5:$D$25,2,0),0)</f>
        <v>350</v>
      </c>
      <c r="H13" s="139">
        <f>IFERROR(VLOOKUP($C13,'MONTHLY DUES 2026'!$C$5:$D$26,2,0),0)</f>
        <v>0</v>
      </c>
      <c r="I13" s="139">
        <f>IFERROR(VLOOKUP($C13,'MONTHLY DUES 2027'!$C$5:$D$27,2,0),0)</f>
        <v>0</v>
      </c>
      <c r="J13" s="139">
        <f>IFERROR(VLOOKUP($C13,'MONTHLY DUES 2028'!$C$5:$D$27,2,0),0)</f>
        <v>0</v>
      </c>
      <c r="K13" s="139">
        <f>IFERROR(VLOOKUP($C13,'MONTHLY DUES 2029'!$C$5:$D$27,2,0),0)</f>
        <v>0</v>
      </c>
      <c r="L13" s="139">
        <f>IFERROR(VLOOKUP($C13,'MONTHLY DUES 2030'!$C$5:$D$27,2,0),0)</f>
        <v>0</v>
      </c>
      <c r="M13" s="139">
        <f>IFERROR(VLOOKUP($C13,'MONTHLY DUES 2031'!$C$5:$D$27,2,0),0)</f>
        <v>0</v>
      </c>
      <c r="N13" s="139">
        <f>IFERROR(VLOOKUP($C13,'MONTHLY DUES 2032'!$C$5:$D$27,2,0),0)</f>
        <v>0</v>
      </c>
    </row>
    <row r="14" spans="1:14" ht="26.1" customHeight="1" thickTop="1" thickBot="1" x14ac:dyDescent="0.4">
      <c r="B14" s="292">
        <v>9</v>
      </c>
      <c r="C14" s="261" t="s">
        <v>232</v>
      </c>
      <c r="D14" s="262">
        <f t="shared" si="0"/>
        <v>3400</v>
      </c>
      <c r="E14" s="260">
        <f>IFERROR(VLOOKUP($C14,'MONTHLY DUES 2023'!$C$5:$D$25,2,0),0)</f>
        <v>600</v>
      </c>
      <c r="F14" s="260">
        <f>IFERROR(VLOOKUP($C14,'MONTHLY DUES 2024'!$C$5:$D$25,2,0),0)</f>
        <v>900</v>
      </c>
      <c r="G14" s="260">
        <f>IFERROR(VLOOKUP($C14,'MONTHLY DUES 2025'!$C$5:$D$25,2,0),0)</f>
        <v>1200</v>
      </c>
      <c r="H14" s="139">
        <f>IFERROR(VLOOKUP($C14,'MONTHLY DUES 2026'!$C$5:$D$26,2,0),0)</f>
        <v>700</v>
      </c>
      <c r="I14" s="139">
        <f>IFERROR(VLOOKUP($C14,'MONTHLY DUES 2027'!$C$5:$D$27,2,0),0)</f>
        <v>0</v>
      </c>
      <c r="J14" s="139">
        <f>IFERROR(VLOOKUP($C14,'MONTHLY DUES 2028'!$C$5:$D$27,2,0),0)</f>
        <v>0</v>
      </c>
      <c r="K14" s="139">
        <f>IFERROR(VLOOKUP($C14,'MONTHLY DUES 2029'!$C$5:$D$27,2,0),0)</f>
        <v>0</v>
      </c>
      <c r="L14" s="139">
        <f>IFERROR(VLOOKUP($C14,'MONTHLY DUES 2030'!$C$5:$D$27,2,0),0)</f>
        <v>0</v>
      </c>
      <c r="M14" s="139">
        <f>IFERROR(VLOOKUP($C14,'MONTHLY DUES 2031'!$C$5:$D$27,2,0),0)</f>
        <v>0</v>
      </c>
      <c r="N14" s="139">
        <f>IFERROR(VLOOKUP($C14,'MONTHLY DUES 2032'!$C$5:$D$27,2,0),0)</f>
        <v>0</v>
      </c>
    </row>
    <row r="15" spans="1:14" ht="26.1" customHeight="1" thickTop="1" thickBot="1" x14ac:dyDescent="0.4">
      <c r="B15" s="292">
        <v>10</v>
      </c>
      <c r="C15" s="261" t="s">
        <v>410</v>
      </c>
      <c r="D15" s="262">
        <f t="shared" si="0"/>
        <v>3500</v>
      </c>
      <c r="E15" s="260">
        <f>IFERROR(VLOOKUP($C15,'MONTHLY DUES 2023'!$C$5:$D$25,2,0),0)</f>
        <v>600</v>
      </c>
      <c r="F15" s="260">
        <f>IFERROR(VLOOKUP($C15,'MONTHLY DUES 2024'!$C$5:$D$25,2,0),0)</f>
        <v>900</v>
      </c>
      <c r="G15" s="260">
        <f>IFERROR(VLOOKUP($C15,'MONTHLY DUES 2025'!$C$5:$D$25,2,0),0)</f>
        <v>1200</v>
      </c>
      <c r="H15" s="139">
        <f>IFERROR(VLOOKUP($C15,'MONTHLY DUES 2026'!$C$5:$D$26,2,0),0)</f>
        <v>800</v>
      </c>
      <c r="I15" s="139">
        <f>IFERROR(VLOOKUP($C15,'MONTHLY DUES 2027'!$C$5:$D$27,2,0),0)</f>
        <v>0</v>
      </c>
      <c r="J15" s="139">
        <f>IFERROR(VLOOKUP($C15,'MONTHLY DUES 2028'!$C$5:$D$27,2,0),0)</f>
        <v>0</v>
      </c>
      <c r="K15" s="139">
        <f>IFERROR(VLOOKUP($C15,'MONTHLY DUES 2029'!$C$5:$D$27,2,0),0)</f>
        <v>0</v>
      </c>
      <c r="L15" s="139">
        <f>IFERROR(VLOOKUP($C15,'MONTHLY DUES 2030'!$C$5:$D$27,2,0),0)</f>
        <v>0</v>
      </c>
      <c r="M15" s="139">
        <f>IFERROR(VLOOKUP($C15,'MONTHLY DUES 2031'!$C$5:$D$27,2,0),0)</f>
        <v>0</v>
      </c>
      <c r="N15" s="139">
        <f>IFERROR(VLOOKUP($C15,'MONTHLY DUES 2032'!$C$5:$D$27,2,0),0)</f>
        <v>0</v>
      </c>
    </row>
    <row r="16" spans="1:14" ht="26.1" customHeight="1" thickTop="1" thickBot="1" x14ac:dyDescent="0.4">
      <c r="B16" s="292">
        <v>11</v>
      </c>
      <c r="C16" s="261" t="s">
        <v>346</v>
      </c>
      <c r="D16" s="262">
        <f t="shared" si="0"/>
        <v>3600</v>
      </c>
      <c r="E16" s="260">
        <f>IFERROR(VLOOKUP($C16,'MONTHLY DUES 2023'!$C$5:$D$25,2,0),0)</f>
        <v>600</v>
      </c>
      <c r="F16" s="260">
        <f>IFERROR(VLOOKUP($C16,'MONTHLY DUES 2024'!$C$5:$D$25,2,0),0)</f>
        <v>900</v>
      </c>
      <c r="G16" s="260">
        <f>IFERROR(VLOOKUP($C16,'MONTHLY DUES 2025'!$C$5:$D$25,2,0),0)</f>
        <v>1200</v>
      </c>
      <c r="H16" s="139">
        <f>IFERROR(VLOOKUP($C16,'MONTHLY DUES 2026'!$C$5:$D$26,2,0),0)</f>
        <v>900</v>
      </c>
      <c r="I16" s="139">
        <f>IFERROR(VLOOKUP($C16,'MONTHLY DUES 2027'!$C$5:$D$27,2,0),0)</f>
        <v>0</v>
      </c>
      <c r="J16" s="139">
        <f>IFERROR(VLOOKUP($C16,'MONTHLY DUES 2028'!$C$5:$D$27,2,0),0)</f>
        <v>0</v>
      </c>
      <c r="K16" s="139">
        <f>IFERROR(VLOOKUP($C16,'MONTHLY DUES 2029'!$C$5:$D$27,2,0),0)</f>
        <v>0</v>
      </c>
      <c r="L16" s="139">
        <f>IFERROR(VLOOKUP($C16,'MONTHLY DUES 2030'!$C$5:$D$27,2,0),0)</f>
        <v>0</v>
      </c>
      <c r="M16" s="139">
        <f>IFERROR(VLOOKUP($C16,'MONTHLY DUES 2031'!$C$5:$D$27,2,0),0)</f>
        <v>0</v>
      </c>
      <c r="N16" s="139">
        <f>IFERROR(VLOOKUP($C16,'MONTHLY DUES 2032'!$C$5:$D$27,2,0),0)</f>
        <v>0</v>
      </c>
    </row>
    <row r="17" spans="2:14" ht="26.1" customHeight="1" thickTop="1" thickBot="1" x14ac:dyDescent="0.4">
      <c r="B17" s="292">
        <v>12</v>
      </c>
      <c r="C17" s="263" t="s">
        <v>62</v>
      </c>
      <c r="D17" s="262">
        <f t="shared" si="0"/>
        <v>3900</v>
      </c>
      <c r="E17" s="260">
        <f>IFERROR(VLOOKUP($C17,'MONTHLY DUES 2023'!$C$5:$D$25,2,0),0)</f>
        <v>600</v>
      </c>
      <c r="F17" s="260">
        <f>IFERROR(VLOOKUP($C17,'MONTHLY DUES 2024'!$C$5:$D$25,2,0),0)</f>
        <v>900</v>
      </c>
      <c r="G17" s="260">
        <f>IFERROR(VLOOKUP($C17,'MONTHLY DUES 2025'!$C$5:$D$25,2,0),0)</f>
        <v>1200</v>
      </c>
      <c r="H17" s="139">
        <f>IFERROR(VLOOKUP($C17,'MONTHLY DUES 2026'!$C$5:$D$26,2,0),0)</f>
        <v>1200</v>
      </c>
      <c r="I17" s="139">
        <f>IFERROR(VLOOKUP($C17,'MONTHLY DUES 2027'!$C$5:$D$27,2,0),0)</f>
        <v>0</v>
      </c>
      <c r="J17" s="139">
        <f>IFERROR(VLOOKUP($C17,'MONTHLY DUES 2028'!$C$5:$D$27,2,0),0)</f>
        <v>0</v>
      </c>
      <c r="K17" s="139">
        <f>IFERROR(VLOOKUP($C17,'MONTHLY DUES 2029'!$C$5:$D$27,2,0),0)</f>
        <v>0</v>
      </c>
      <c r="L17" s="139">
        <f>IFERROR(VLOOKUP($C17,'MONTHLY DUES 2030'!$C$5:$D$27,2,0),0)</f>
        <v>0</v>
      </c>
      <c r="M17" s="139">
        <f>IFERROR(VLOOKUP($C17,'MONTHLY DUES 2031'!$C$5:$D$27,2,0),0)</f>
        <v>0</v>
      </c>
      <c r="N17" s="139">
        <f>IFERROR(VLOOKUP($C17,'MONTHLY DUES 2032'!$C$5:$D$27,2,0),0)</f>
        <v>0</v>
      </c>
    </row>
    <row r="18" spans="2:14" ht="26.1" customHeight="1" thickTop="1" thickBot="1" x14ac:dyDescent="0.4">
      <c r="B18" s="292">
        <v>13</v>
      </c>
      <c r="C18" s="263" t="s">
        <v>68</v>
      </c>
      <c r="D18" s="262">
        <f t="shared" si="0"/>
        <v>1000</v>
      </c>
      <c r="E18" s="260">
        <f>IFERROR(VLOOKUP($C18,'MONTHLY DUES 2023'!$C$5:$D$25,2,0),0)</f>
        <v>600</v>
      </c>
      <c r="F18" s="260">
        <f>IFERROR(VLOOKUP($C18,'MONTHLY DUES 2024'!$C$5:$D$25,2,0),0)</f>
        <v>400</v>
      </c>
      <c r="G18" s="260">
        <f>IFERROR(VLOOKUP($C18,'MONTHLY DUES 2025'!$C$5:$D$25,2,0),0)</f>
        <v>0</v>
      </c>
      <c r="H18" s="139">
        <f>IFERROR(VLOOKUP($C18,'MONTHLY DUES 2026'!$C$5:$D$26,2,0),0)</f>
        <v>0</v>
      </c>
      <c r="I18" s="139">
        <f>IFERROR(VLOOKUP($C18,'MONTHLY DUES 2027'!$C$5:$D$27,2,0),0)</f>
        <v>0</v>
      </c>
      <c r="J18" s="139">
        <f>IFERROR(VLOOKUP($C18,'MONTHLY DUES 2028'!$C$5:$D$27,2,0),0)</f>
        <v>0</v>
      </c>
      <c r="K18" s="139">
        <f>IFERROR(VLOOKUP($C18,'MONTHLY DUES 2029'!$C$5:$D$27,2,0),0)</f>
        <v>0</v>
      </c>
      <c r="L18" s="139">
        <f>IFERROR(VLOOKUP($C18,'MONTHLY DUES 2030'!$C$5:$D$27,2,0),0)</f>
        <v>0</v>
      </c>
      <c r="M18" s="139">
        <f>IFERROR(VLOOKUP($C18,'MONTHLY DUES 2031'!$C$5:$D$27,2,0),0)</f>
        <v>0</v>
      </c>
      <c r="N18" s="139">
        <f>IFERROR(VLOOKUP($C18,'MONTHLY DUES 2032'!$C$5:$D$27,2,0),0)</f>
        <v>0</v>
      </c>
    </row>
    <row r="19" spans="2:14" ht="26.1" customHeight="1" thickTop="1" thickBot="1" x14ac:dyDescent="0.4">
      <c r="B19" s="292">
        <v>14</v>
      </c>
      <c r="C19" s="263" t="s">
        <v>158</v>
      </c>
      <c r="D19" s="262">
        <f t="shared" si="0"/>
        <v>3000</v>
      </c>
      <c r="E19" s="260">
        <f>IFERROR(VLOOKUP($C19,'MONTHLY DUES 2023'!$C$5:$D$25,2,0),0)</f>
        <v>600</v>
      </c>
      <c r="F19" s="260">
        <f>IFERROR(VLOOKUP($C19,'MONTHLY DUES 2024'!$C$5:$D$25,2,0),0)</f>
        <v>900</v>
      </c>
      <c r="G19" s="260">
        <f>IFERROR(VLOOKUP($C19,'MONTHLY DUES 2025'!$C$5:$D$25,2,0),0)</f>
        <v>1200</v>
      </c>
      <c r="H19" s="139">
        <f>IFERROR(VLOOKUP($C19,'MONTHLY DUES 2026'!$C$5:$D$26,2,0),0)</f>
        <v>300</v>
      </c>
      <c r="I19" s="139">
        <f>IFERROR(VLOOKUP($C19,'MONTHLY DUES 2027'!$C$5:$D$27,2,0),0)</f>
        <v>0</v>
      </c>
      <c r="J19" s="139">
        <f>IFERROR(VLOOKUP($C19,'MONTHLY DUES 2028'!$C$5:$D$27,2,0),0)</f>
        <v>0</v>
      </c>
      <c r="K19" s="139">
        <f>IFERROR(VLOOKUP($C19,'MONTHLY DUES 2029'!$C$5:$D$27,2,0),0)</f>
        <v>0</v>
      </c>
      <c r="L19" s="139">
        <f>IFERROR(VLOOKUP($C19,'MONTHLY DUES 2030'!$C$5:$D$27,2,0),0)</f>
        <v>0</v>
      </c>
      <c r="M19" s="139">
        <f>IFERROR(VLOOKUP($C19,'MONTHLY DUES 2031'!$C$5:$D$27,2,0),0)</f>
        <v>0</v>
      </c>
      <c r="N19" s="139">
        <f>IFERROR(VLOOKUP($C19,'MONTHLY DUES 2032'!$C$5:$D$27,2,0),0)</f>
        <v>0</v>
      </c>
    </row>
    <row r="20" spans="2:14" ht="26.1" customHeight="1" thickTop="1" thickBot="1" x14ac:dyDescent="0.4">
      <c r="B20" s="292">
        <v>15</v>
      </c>
      <c r="C20" s="261" t="s">
        <v>212</v>
      </c>
      <c r="D20" s="262">
        <f t="shared" si="0"/>
        <v>3000</v>
      </c>
      <c r="E20" s="260">
        <f>IFERROR(VLOOKUP($C20,'MONTHLY DUES 2023'!$C$5:$D$25,2,0),0)</f>
        <v>600</v>
      </c>
      <c r="F20" s="260">
        <f>IFERROR(VLOOKUP($C20,'MONTHLY DUES 2024'!$C$5:$D$25,2,0),0)</f>
        <v>900</v>
      </c>
      <c r="G20" s="260">
        <f>IFERROR(VLOOKUP($C20,'MONTHLY DUES 2025'!$C$5:$D$25,2,0),0)</f>
        <v>1200</v>
      </c>
      <c r="H20" s="139">
        <f>IFERROR(VLOOKUP($C20,'MONTHLY DUES 2026'!$C$5:$D$26,2,0),0)</f>
        <v>300</v>
      </c>
      <c r="I20" s="139">
        <f>IFERROR(VLOOKUP($C20,'MONTHLY DUES 2027'!$C$5:$D$27,2,0),0)</f>
        <v>0</v>
      </c>
      <c r="J20" s="139">
        <f>IFERROR(VLOOKUP($C20,'MONTHLY DUES 2028'!$C$5:$D$27,2,0),0)</f>
        <v>0</v>
      </c>
      <c r="K20" s="139">
        <f>IFERROR(VLOOKUP($C20,'MONTHLY DUES 2029'!$C$5:$D$27,2,0),0)</f>
        <v>0</v>
      </c>
      <c r="L20" s="139">
        <f>IFERROR(VLOOKUP($C20,'MONTHLY DUES 2030'!$C$5:$D$27,2,0),0)</f>
        <v>0</v>
      </c>
      <c r="M20" s="139">
        <f>IFERROR(VLOOKUP($C20,'MONTHLY DUES 2031'!$C$5:$D$27,2,0),0)</f>
        <v>0</v>
      </c>
      <c r="N20" s="139">
        <f>IFERROR(VLOOKUP($C20,'MONTHLY DUES 2032'!$C$5:$D$27,2,0),0)</f>
        <v>0</v>
      </c>
    </row>
    <row r="21" spans="2:14" ht="26.1" customHeight="1" thickTop="1" thickBot="1" x14ac:dyDescent="0.4">
      <c r="B21" s="292">
        <v>16</v>
      </c>
      <c r="C21" s="263" t="s">
        <v>75</v>
      </c>
      <c r="D21" s="262">
        <f t="shared" si="0"/>
        <v>3700</v>
      </c>
      <c r="E21" s="260">
        <f>IFERROR(VLOOKUP($C21,'MONTHLY DUES 2023'!$C$5:$D$25,2,0),0)</f>
        <v>600</v>
      </c>
      <c r="F21" s="260">
        <f>IFERROR(VLOOKUP($C21,'MONTHLY DUES 2024'!$C$5:$D$25,2,0),0)</f>
        <v>900</v>
      </c>
      <c r="G21" s="260">
        <f>IFERROR(VLOOKUP($C21,'MONTHLY DUES 2025'!$C$5:$D$25,2,0),0)</f>
        <v>1200</v>
      </c>
      <c r="H21" s="139">
        <f>IFERROR(VLOOKUP($C21,'MONTHLY DUES 2026'!$C$5:$D$26,2,0),0)</f>
        <v>1000</v>
      </c>
      <c r="I21" s="139">
        <f>IFERROR(VLOOKUP($C21,'MONTHLY DUES 2027'!$C$5:$D$27,2,0),0)</f>
        <v>0</v>
      </c>
      <c r="J21" s="139">
        <f>IFERROR(VLOOKUP($C21,'MONTHLY DUES 2028'!$C$5:$D$27,2,0),0)</f>
        <v>0</v>
      </c>
      <c r="K21" s="139">
        <f>IFERROR(VLOOKUP($C21,'MONTHLY DUES 2029'!$C$5:$D$27,2,0),0)</f>
        <v>0</v>
      </c>
      <c r="L21" s="139">
        <f>IFERROR(VLOOKUP($C21,'MONTHLY DUES 2030'!$C$5:$D$27,2,0),0)</f>
        <v>0</v>
      </c>
      <c r="M21" s="139">
        <f>IFERROR(VLOOKUP($C21,'MONTHLY DUES 2031'!$C$5:$D$27,2,0),0)</f>
        <v>0</v>
      </c>
      <c r="N21" s="139">
        <f>IFERROR(VLOOKUP($C21,'MONTHLY DUES 2032'!$C$5:$D$27,2,0),0)</f>
        <v>0</v>
      </c>
    </row>
    <row r="22" spans="2:14" ht="26.1" customHeight="1" thickTop="1" thickBot="1" x14ac:dyDescent="0.4">
      <c r="B22" s="292">
        <v>17</v>
      </c>
      <c r="C22" s="261" t="s">
        <v>134</v>
      </c>
      <c r="D22" s="262">
        <f t="shared" si="0"/>
        <v>3900</v>
      </c>
      <c r="E22" s="260">
        <f>IFERROR(VLOOKUP($C22,'MONTHLY DUES 2023'!$C$5:$D$25,2,0),0)</f>
        <v>600</v>
      </c>
      <c r="F22" s="260">
        <f>IFERROR(VLOOKUP($C22,'MONTHLY DUES 2024'!$C$5:$D$25,2,0),0)</f>
        <v>900</v>
      </c>
      <c r="G22" s="260">
        <f>IFERROR(VLOOKUP($C22,'MONTHLY DUES 2025'!$C$5:$D$25,2,0),0)</f>
        <v>1200</v>
      </c>
      <c r="H22" s="139">
        <f>IFERROR(VLOOKUP($C22,'MONTHLY DUES 2026'!$C$5:$D$26,2,0),0)</f>
        <v>1200</v>
      </c>
      <c r="I22" s="139">
        <f>IFERROR(VLOOKUP($C22,'MONTHLY DUES 2027'!$C$5:$D$27,2,0),0)</f>
        <v>0</v>
      </c>
      <c r="J22" s="139">
        <f>IFERROR(VLOOKUP($C22,'MONTHLY DUES 2028'!$C$5:$D$27,2,0),0)</f>
        <v>0</v>
      </c>
      <c r="K22" s="139">
        <f>IFERROR(VLOOKUP($C22,'MONTHLY DUES 2029'!$C$5:$D$27,2,0),0)</f>
        <v>0</v>
      </c>
      <c r="L22" s="139">
        <f>IFERROR(VLOOKUP($C22,'MONTHLY DUES 2030'!$C$5:$D$27,2,0),0)</f>
        <v>0</v>
      </c>
      <c r="M22" s="139">
        <f>IFERROR(VLOOKUP($C22,'MONTHLY DUES 2031'!$C$5:$D$27,2,0),0)</f>
        <v>0</v>
      </c>
      <c r="N22" s="139">
        <f>IFERROR(VLOOKUP($C22,'MONTHLY DUES 2032'!$C$5:$D$27,2,0),0)</f>
        <v>0</v>
      </c>
    </row>
    <row r="23" spans="2:14" ht="26.1" customHeight="1" thickTop="1" thickBot="1" x14ac:dyDescent="0.4">
      <c r="B23" s="292">
        <v>18</v>
      </c>
      <c r="C23" s="263" t="s">
        <v>524</v>
      </c>
      <c r="D23" s="262">
        <f t="shared" si="0"/>
        <v>3500</v>
      </c>
      <c r="E23" s="260">
        <f>IFERROR(VLOOKUP($C23,'MONTHLY DUES 2023'!$C$5:$D$25,2,0),0)</f>
        <v>600</v>
      </c>
      <c r="F23" s="260">
        <f>IFERROR(VLOOKUP($C23,'MONTHLY DUES 2024'!$C$5:$D$25,2,0),0)</f>
        <v>900</v>
      </c>
      <c r="G23" s="260">
        <f>IFERROR(VLOOKUP($C23,'MONTHLY DUES 2025'!$C$5:$D$25,2,0),0)</f>
        <v>1200</v>
      </c>
      <c r="H23" s="139">
        <f>IFERROR(VLOOKUP($C23,'MONTHLY DUES 2026'!$C$5:$D$26,2,0),0)</f>
        <v>800</v>
      </c>
      <c r="I23" s="139">
        <f>IFERROR(VLOOKUP($C23,'MONTHLY DUES 2027'!$C$5:$D$27,2,0),0)</f>
        <v>0</v>
      </c>
      <c r="J23" s="139">
        <f>IFERROR(VLOOKUP($C23,'MONTHLY DUES 2028'!$C$5:$D$27,2,0),0)</f>
        <v>0</v>
      </c>
      <c r="K23" s="139">
        <f>IFERROR(VLOOKUP($C23,'MONTHLY DUES 2029'!$C$5:$D$27,2,0),0)</f>
        <v>0</v>
      </c>
      <c r="L23" s="139">
        <f>IFERROR(VLOOKUP($C23,'MONTHLY DUES 2030'!$C$5:$D$27,2,0),0)</f>
        <v>0</v>
      </c>
      <c r="M23" s="139">
        <f>IFERROR(VLOOKUP($C23,'MONTHLY DUES 2031'!$C$5:$D$27,2,0),0)</f>
        <v>0</v>
      </c>
      <c r="N23" s="139">
        <f>IFERROR(VLOOKUP($C23,'MONTHLY DUES 2032'!$C$5:$D$27,2,0),0)</f>
        <v>0</v>
      </c>
    </row>
    <row r="24" spans="2:14" ht="26.1" customHeight="1" thickTop="1" thickBot="1" x14ac:dyDescent="0.4">
      <c r="B24" s="292">
        <v>19</v>
      </c>
      <c r="C24" s="263" t="s">
        <v>76</v>
      </c>
      <c r="D24" s="262">
        <f t="shared" si="0"/>
        <v>900</v>
      </c>
      <c r="E24" s="260">
        <f>IFERROR(VLOOKUP($C24,'MONTHLY DUES 2023'!$C$5:$D$25,2,0),0)</f>
        <v>600</v>
      </c>
      <c r="F24" s="260">
        <f>IFERROR(VLOOKUP($C24,'MONTHLY DUES 2024'!$C$5:$D$25,2,0),0)</f>
        <v>300</v>
      </c>
      <c r="G24" s="260">
        <f>IFERROR(VLOOKUP($C24,'MONTHLY DUES 2025'!$C$5:$D$25,2,0),0)</f>
        <v>0</v>
      </c>
      <c r="H24" s="139">
        <f>IFERROR(VLOOKUP($C24,'MONTHLY DUES 2026'!$C$5:$D$26,2,0),0)</f>
        <v>0</v>
      </c>
      <c r="I24" s="139">
        <f>IFERROR(VLOOKUP($C24,'MONTHLY DUES 2027'!$C$5:$D$27,2,0),0)</f>
        <v>0</v>
      </c>
      <c r="J24" s="139">
        <f>IFERROR(VLOOKUP($C24,'MONTHLY DUES 2028'!$C$5:$D$27,2,0),0)</f>
        <v>0</v>
      </c>
      <c r="K24" s="139">
        <f>IFERROR(VLOOKUP($C24,'MONTHLY DUES 2029'!$C$5:$D$27,2,0),0)</f>
        <v>0</v>
      </c>
      <c r="L24" s="139">
        <f>IFERROR(VLOOKUP($C24,'MONTHLY DUES 2030'!$C$5:$D$27,2,0),0)</f>
        <v>0</v>
      </c>
      <c r="M24" s="139">
        <f>IFERROR(VLOOKUP($C24,'MONTHLY DUES 2031'!$C$5:$D$27,2,0),0)</f>
        <v>0</v>
      </c>
      <c r="N24" s="139">
        <f>IFERROR(VLOOKUP($C24,'MONTHLY DUES 2032'!$C$5:$D$27,2,0),0)</f>
        <v>0</v>
      </c>
    </row>
    <row r="25" spans="2:14" ht="26.1" customHeight="1" thickTop="1" thickBot="1" x14ac:dyDescent="0.4">
      <c r="B25" s="292">
        <v>20</v>
      </c>
      <c r="C25" s="263" t="s">
        <v>66</v>
      </c>
      <c r="D25" s="262">
        <f t="shared" si="0"/>
        <v>3300</v>
      </c>
      <c r="E25" s="260">
        <f>IFERROR(VLOOKUP($C25,'MONTHLY DUES 2023'!$C$5:$D$25,2,0),0)</f>
        <v>600</v>
      </c>
      <c r="F25" s="260">
        <f>IFERROR(VLOOKUP($C25,'MONTHLY DUES 2024'!$C$5:$D$25,2,0),0)</f>
        <v>900</v>
      </c>
      <c r="G25" s="260">
        <f>IFERROR(VLOOKUP($C25,'MONTHLY DUES 2025'!$C$5:$D$25,2,0),0)</f>
        <v>1200</v>
      </c>
      <c r="H25" s="139">
        <f>IFERROR(VLOOKUP($C25,'MONTHLY DUES 2026'!$C$5:$D$26,2,0),0)</f>
        <v>600</v>
      </c>
      <c r="I25" s="139">
        <f>IFERROR(VLOOKUP($C25,'MONTHLY DUES 2027'!$C$5:$D$27,2,0),0)</f>
        <v>0</v>
      </c>
      <c r="J25" s="139">
        <f>IFERROR(VLOOKUP($C25,'MONTHLY DUES 2028'!$C$5:$D$27,2,0),0)</f>
        <v>0</v>
      </c>
      <c r="K25" s="139">
        <f>IFERROR(VLOOKUP($C25,'MONTHLY DUES 2029'!$C$5:$D$27,2,0),0)</f>
        <v>0</v>
      </c>
      <c r="L25" s="139">
        <f>IFERROR(VLOOKUP($C25,'MONTHLY DUES 2030'!$C$5:$D$27,2,0),0)</f>
        <v>0</v>
      </c>
      <c r="M25" s="139">
        <f>IFERROR(VLOOKUP($C25,'MONTHLY DUES 2031'!$C$5:$D$27,2,0),0)</f>
        <v>0</v>
      </c>
      <c r="N25" s="139">
        <f>IFERROR(VLOOKUP($C25,'MONTHLY DUES 2032'!$C$5:$D$27,2,0),0)</f>
        <v>0</v>
      </c>
    </row>
    <row r="26" spans="2:14" ht="26.1" customHeight="1" thickTop="1" thickBot="1" x14ac:dyDescent="0.4">
      <c r="B26" s="292">
        <v>21</v>
      </c>
      <c r="C26" s="261" t="s">
        <v>469</v>
      </c>
      <c r="D26" s="262">
        <f t="shared" si="0"/>
        <v>1700</v>
      </c>
      <c r="E26" s="260">
        <f>IFERROR(VLOOKUP($C26,'MONTHLY DUES 2023'!$C$5:$D$25,2,0),0)</f>
        <v>600</v>
      </c>
      <c r="F26" s="260">
        <f>IFERROR(VLOOKUP($C26,'MONTHLY DUES 2024'!$C$5:$D$25,2,0),0)</f>
        <v>900</v>
      </c>
      <c r="G26" s="260">
        <f>IFERROR(VLOOKUP($C26,'MONTHLY DUES 2025'!$C$5:$D$25,2,0),0)</f>
        <v>200</v>
      </c>
      <c r="H26" s="139">
        <f>IFERROR(VLOOKUP($C26,'MONTHLY DUES 2026'!$C$5:$D$26,2,0),0)</f>
        <v>0</v>
      </c>
      <c r="I26" s="139">
        <f>IFERROR(VLOOKUP($C26,'MONTHLY DUES 2027'!$C$5:$D$27,2,0),0)</f>
        <v>0</v>
      </c>
      <c r="J26" s="139">
        <f>IFERROR(VLOOKUP($C26,'MONTHLY DUES 2028'!$C$5:$D$27,2,0),0)</f>
        <v>0</v>
      </c>
      <c r="K26" s="139">
        <f>IFERROR(VLOOKUP($C26,'MONTHLY DUES 2029'!$C$5:$D$27,2,0),0)</f>
        <v>0</v>
      </c>
      <c r="L26" s="139">
        <f>IFERROR(VLOOKUP($C26,'MONTHLY DUES 2030'!$C$5:$D$27,2,0),0)</f>
        <v>0</v>
      </c>
      <c r="M26" s="139">
        <f>IFERROR(VLOOKUP($C26,'MONTHLY DUES 2031'!$C$5:$D$27,2,0),0)</f>
        <v>0</v>
      </c>
      <c r="N26" s="139">
        <f>IFERROR(VLOOKUP($C26,'MONTHLY DUES 2032'!$C$5:$D$27,2,0),0)</f>
        <v>0</v>
      </c>
    </row>
    <row r="27" spans="2:14" ht="26.1" customHeight="1" thickTop="1" thickBot="1" x14ac:dyDescent="0.4">
      <c r="B27" s="292">
        <v>22</v>
      </c>
      <c r="C27" s="261" t="s">
        <v>758</v>
      </c>
      <c r="D27" s="262">
        <f t="shared" si="0"/>
        <v>3700</v>
      </c>
      <c r="E27" s="260">
        <f>IFERROR(VLOOKUP($C27,'MONTHLY DUES 2023'!$C$5:$D$25,2,0),0)</f>
        <v>600</v>
      </c>
      <c r="F27" s="260">
        <f>IFERROR(VLOOKUP($C27,'MONTHLY DUES 2024'!$C$5:$D$25,2,0),0)</f>
        <v>900</v>
      </c>
      <c r="G27" s="260">
        <f>IFERROR(VLOOKUP($C27,'MONTHLY DUES 2025'!$C$5:$D$25,2,0),0)</f>
        <v>1200</v>
      </c>
      <c r="H27" s="139">
        <f>IFERROR(VLOOKUP($C27,'MONTHLY DUES 2026'!$C$5:$D$26,2,0),0)</f>
        <v>1000</v>
      </c>
      <c r="I27" s="139">
        <f>IFERROR(VLOOKUP($C27,'MONTHLY DUES 2027'!$C$5:$D$27,2,0),0)</f>
        <v>0</v>
      </c>
      <c r="J27" s="139">
        <f>IFERROR(VLOOKUP($C27,'MONTHLY DUES 2028'!$C$5:$D$27,2,0),0)</f>
        <v>0</v>
      </c>
      <c r="K27" s="139">
        <f>IFERROR(VLOOKUP($C27,'MONTHLY DUES 2029'!$C$5:$D$27,2,0),0)</f>
        <v>0</v>
      </c>
      <c r="L27" s="139">
        <f>IFERROR(VLOOKUP($C27,'MONTHLY DUES 2030'!$C$5:$D$27,2,0),0)</f>
        <v>0</v>
      </c>
      <c r="M27" s="139">
        <f>IFERROR(VLOOKUP($C27,'MONTHLY DUES 2031'!$C$5:$D$27,2,0),0)</f>
        <v>0</v>
      </c>
      <c r="N27" s="139">
        <f>IFERROR(VLOOKUP($C27,'MONTHLY DUES 2032'!$C$5:$D$27,2,0),0)</f>
        <v>0</v>
      </c>
    </row>
    <row r="28" spans="2:14" ht="26.1" customHeight="1" thickTop="1" thickBot="1" x14ac:dyDescent="0.4">
      <c r="B28" s="292">
        <v>23</v>
      </c>
      <c r="C28" s="261" t="s">
        <v>213</v>
      </c>
      <c r="D28" s="262">
        <f t="shared" si="0"/>
        <v>3900</v>
      </c>
      <c r="E28" s="260">
        <f>IFERROR(VLOOKUP($C28,'MONTHLY DUES 2023'!$C$5:$D$25,2,0),0)</f>
        <v>600</v>
      </c>
      <c r="F28" s="260">
        <f>IFERROR(VLOOKUP($C28,'MONTHLY DUES 2024'!$C$5:$D$25,2,0),0)</f>
        <v>900</v>
      </c>
      <c r="G28" s="260">
        <f>IFERROR(VLOOKUP($C28,'MONTHLY DUES 2025'!$C$5:$D$25,2,0),0)</f>
        <v>1200</v>
      </c>
      <c r="H28" s="139">
        <f>IFERROR(VLOOKUP($C28,'MONTHLY DUES 2026'!$C$5:$D$26,2,0),0)</f>
        <v>1200</v>
      </c>
      <c r="I28" s="139">
        <f>IFERROR(VLOOKUP($C28,'MONTHLY DUES 2027'!$C$5:$D$27,2,0),0)</f>
        <v>0</v>
      </c>
      <c r="J28" s="139">
        <f>IFERROR(VLOOKUP($C28,'MONTHLY DUES 2028'!$C$5:$D$27,2,0),0)</f>
        <v>0</v>
      </c>
      <c r="K28" s="139">
        <f>IFERROR(VLOOKUP($C28,'MONTHLY DUES 2029'!$C$5:$D$27,2,0),0)</f>
        <v>0</v>
      </c>
      <c r="L28" s="139">
        <f>IFERROR(VLOOKUP($C28,'MONTHLY DUES 2030'!$C$5:$D$27,2,0),0)</f>
        <v>0</v>
      </c>
      <c r="M28" s="139">
        <f>IFERROR(VLOOKUP($C28,'MONTHLY DUES 2031'!$C$5:$D$27,2,0),0)</f>
        <v>0</v>
      </c>
      <c r="N28" s="139">
        <f>IFERROR(VLOOKUP($C28,'MONTHLY DUES 2032'!$C$5:$D$27,2,0),0)</f>
        <v>0</v>
      </c>
    </row>
    <row r="29" spans="2:14" ht="26.1" customHeight="1" thickTop="1" thickBot="1" x14ac:dyDescent="0.35">
      <c r="B29" s="140"/>
      <c r="C29" s="141"/>
      <c r="D29" s="142"/>
      <c r="E29" s="143"/>
      <c r="F29" s="143"/>
      <c r="G29" s="143"/>
      <c r="H29" s="143"/>
      <c r="I29" s="143"/>
      <c r="J29" s="143"/>
      <c r="K29" s="143"/>
      <c r="L29" s="143"/>
      <c r="M29" s="143"/>
      <c r="N29" s="144"/>
    </row>
    <row r="30" spans="2:14" s="81" customFormat="1" ht="35.25" customHeight="1" thickBot="1" x14ac:dyDescent="0.45">
      <c r="B30" s="1044" t="s">
        <v>1</v>
      </c>
      <c r="C30" s="1045"/>
      <c r="D30" s="92">
        <f t="shared" ref="D30:N30" si="2">SUBTOTAL(9,D5:D28)</f>
        <v>65950</v>
      </c>
      <c r="E30" s="92">
        <f t="shared" si="2"/>
        <v>10800</v>
      </c>
      <c r="F30" s="92">
        <f t="shared" si="2"/>
        <v>16900</v>
      </c>
      <c r="G30" s="92">
        <f t="shared" si="2"/>
        <v>22350</v>
      </c>
      <c r="H30" s="92">
        <f t="shared" si="2"/>
        <v>15900</v>
      </c>
      <c r="I30" s="92">
        <f t="shared" si="2"/>
        <v>0</v>
      </c>
      <c r="J30" s="92">
        <f t="shared" si="2"/>
        <v>0</v>
      </c>
      <c r="K30" s="92">
        <f t="shared" si="2"/>
        <v>0</v>
      </c>
      <c r="L30" s="92">
        <f t="shared" si="2"/>
        <v>0</v>
      </c>
      <c r="M30" s="92">
        <f t="shared" si="2"/>
        <v>0</v>
      </c>
      <c r="N30" s="92">
        <f t="shared" si="2"/>
        <v>0</v>
      </c>
    </row>
    <row r="31" spans="2:14" s="248" customFormat="1" ht="35.25" customHeight="1" thickTop="1" thickBot="1" x14ac:dyDescent="0.45">
      <c r="B31" s="1046" t="s">
        <v>650</v>
      </c>
      <c r="C31" s="1047"/>
      <c r="D31" s="237">
        <f t="shared" ref="D31:N31" si="3">COUNTIF(D5:D29,"&gt;0")</f>
        <v>24</v>
      </c>
      <c r="E31" s="237">
        <f t="shared" si="3"/>
        <v>18</v>
      </c>
      <c r="F31" s="237">
        <f t="shared" si="3"/>
        <v>20</v>
      </c>
      <c r="G31" s="237">
        <f t="shared" si="3"/>
        <v>21</v>
      </c>
      <c r="H31" s="237">
        <f t="shared" si="3"/>
        <v>19</v>
      </c>
      <c r="I31" s="237">
        <f t="shared" si="3"/>
        <v>0</v>
      </c>
      <c r="J31" s="237">
        <f t="shared" si="3"/>
        <v>0</v>
      </c>
      <c r="K31" s="237">
        <f t="shared" si="3"/>
        <v>0</v>
      </c>
      <c r="L31" s="237">
        <f t="shared" si="3"/>
        <v>0</v>
      </c>
      <c r="M31" s="237">
        <f t="shared" si="3"/>
        <v>0</v>
      </c>
      <c r="N31" s="237">
        <f t="shared" si="3"/>
        <v>0</v>
      </c>
    </row>
    <row r="32" spans="2:14" ht="19.5" customHeight="1" thickTop="1" x14ac:dyDescent="0.25"/>
  </sheetData>
  <autoFilter ref="B4:N27" xr:uid="{00000000-0009-0000-0000-00000A000000}"/>
  <sortState xmlns:xlrd2="http://schemas.microsoft.com/office/spreadsheetml/2017/richdata2" ref="C5:N24">
    <sortCondition ref="C5:C24"/>
  </sortState>
  <mergeCells count="3">
    <mergeCell ref="B2:D2"/>
    <mergeCell ref="B30:C30"/>
    <mergeCell ref="B31:C31"/>
  </mergeCells>
  <conditionalFormatting sqref="D5:D6 D27:D29">
    <cfRule type="cellIs" dxfId="87" priority="3" operator="equal">
      <formula>0</formula>
    </cfRule>
  </conditionalFormatting>
  <conditionalFormatting sqref="E5:N29">
    <cfRule type="cellIs" dxfId="86" priority="4" operator="equal">
      <formula>0</formula>
    </cfRule>
  </conditionalFormatting>
  <conditionalFormatting sqref="E30:N30">
    <cfRule type="cellIs" dxfId="85" priority="2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</sheetPr>
  <dimension ref="A1:R27"/>
  <sheetViews>
    <sheetView topLeftCell="A4" workbookViewId="0"/>
  </sheetViews>
  <sheetFormatPr defaultColWidth="9.140625" defaultRowHeight="18" x14ac:dyDescent="0.25"/>
  <cols>
    <col min="1" max="1" width="3.5703125" style="77" customWidth="1"/>
    <col min="2" max="2" width="9" style="76" customWidth="1"/>
    <col min="3" max="3" width="48.28515625" style="77" bestFit="1" customWidth="1"/>
    <col min="4" max="4" width="21.7109375" style="77" bestFit="1" customWidth="1"/>
    <col min="5" max="5" width="16.85546875" style="390" bestFit="1" customWidth="1"/>
    <col min="6" max="7" width="19.5703125" style="77" bestFit="1" customWidth="1"/>
    <col min="8" max="17" width="16.28515625" style="77" customWidth="1"/>
    <col min="18" max="18" width="6.5703125" style="77" customWidth="1"/>
    <col min="19" max="16384" width="9.140625" style="77"/>
  </cols>
  <sheetData>
    <row r="1" spans="1:17" ht="24.75" customHeight="1" x14ac:dyDescent="0.25">
      <c r="A1" s="89"/>
      <c r="E1" s="77"/>
    </row>
    <row r="2" spans="1:17" s="70" customFormat="1" ht="47.25" thickBot="1" x14ac:dyDescent="0.8">
      <c r="B2" s="1043" t="s">
        <v>492</v>
      </c>
      <c r="C2" s="1043"/>
      <c r="D2" s="1043"/>
      <c r="E2" s="387"/>
      <c r="F2" s="82"/>
      <c r="G2" s="82"/>
      <c r="H2" s="82"/>
      <c r="I2" s="82"/>
      <c r="J2" s="82"/>
      <c r="K2" s="82"/>
      <c r="L2" s="78"/>
    </row>
    <row r="3" spans="1:17" s="81" customFormat="1" ht="30" customHeight="1" thickTop="1" thickBot="1" x14ac:dyDescent="0.45">
      <c r="B3" s="182" t="s">
        <v>125</v>
      </c>
      <c r="C3" s="182" t="s">
        <v>483</v>
      </c>
      <c r="D3" s="182" t="s">
        <v>466</v>
      </c>
      <c r="E3" s="182" t="s">
        <v>487</v>
      </c>
      <c r="F3" s="183">
        <v>44927</v>
      </c>
      <c r="G3" s="183">
        <v>44958</v>
      </c>
      <c r="H3" s="183">
        <v>44986</v>
      </c>
      <c r="I3" s="183">
        <v>45017</v>
      </c>
      <c r="J3" s="183">
        <v>45047</v>
      </c>
      <c r="K3" s="183">
        <v>45078</v>
      </c>
      <c r="L3" s="183">
        <v>45108</v>
      </c>
      <c r="M3" s="183">
        <v>45139</v>
      </c>
      <c r="N3" s="183">
        <v>45170</v>
      </c>
      <c r="O3" s="183">
        <v>45200</v>
      </c>
      <c r="P3" s="183">
        <v>45231</v>
      </c>
      <c r="Q3" s="183">
        <v>45261</v>
      </c>
    </row>
    <row r="4" spans="1:17" s="64" customFormat="1" ht="27.95" customHeight="1" thickTop="1" thickBot="1" x14ac:dyDescent="0.4">
      <c r="B4" s="152"/>
      <c r="C4" s="153"/>
      <c r="D4" s="153" t="s">
        <v>124</v>
      </c>
      <c r="E4" s="418">
        <v>50</v>
      </c>
      <c r="F4" s="153" t="s">
        <v>56</v>
      </c>
      <c r="G4" s="153" t="s">
        <v>56</v>
      </c>
      <c r="H4" s="153" t="s">
        <v>56</v>
      </c>
      <c r="I4" s="153" t="s">
        <v>56</v>
      </c>
      <c r="J4" s="153" t="s">
        <v>56</v>
      </c>
      <c r="K4" s="153" t="s">
        <v>56</v>
      </c>
      <c r="L4" s="153" t="s">
        <v>56</v>
      </c>
      <c r="M4" s="153" t="s">
        <v>56</v>
      </c>
      <c r="N4" s="153" t="s">
        <v>56</v>
      </c>
      <c r="O4" s="153" t="s">
        <v>56</v>
      </c>
      <c r="P4" s="153"/>
      <c r="Q4" s="154" t="s">
        <v>56</v>
      </c>
    </row>
    <row r="5" spans="1:17" ht="26.1" customHeight="1" thickBot="1" x14ac:dyDescent="0.4">
      <c r="B5" s="264">
        <v>1</v>
      </c>
      <c r="C5" s="265" t="s">
        <v>458</v>
      </c>
      <c r="D5" s="184">
        <f t="shared" ref="D5:D22" si="0">SUM(F5:Q5)</f>
        <v>600</v>
      </c>
      <c r="E5" s="391">
        <f>D5/$E$4</f>
        <v>12</v>
      </c>
      <c r="F5" s="172">
        <v>50</v>
      </c>
      <c r="G5" s="172">
        <v>50</v>
      </c>
      <c r="H5" s="172">
        <v>50</v>
      </c>
      <c r="I5" s="172">
        <v>50</v>
      </c>
      <c r="J5" s="172">
        <v>50</v>
      </c>
      <c r="K5" s="172">
        <v>50</v>
      </c>
      <c r="L5" s="172">
        <v>50</v>
      </c>
      <c r="M5" s="172">
        <v>50</v>
      </c>
      <c r="N5" s="172">
        <v>50</v>
      </c>
      <c r="O5" s="172">
        <v>50</v>
      </c>
      <c r="P5" s="172">
        <v>50</v>
      </c>
      <c r="Q5" s="173">
        <v>50</v>
      </c>
    </row>
    <row r="6" spans="1:17" ht="26.1" customHeight="1" thickTop="1" thickBot="1" x14ac:dyDescent="0.4">
      <c r="B6" s="267">
        <v>2</v>
      </c>
      <c r="C6" s="268" t="s">
        <v>211</v>
      </c>
      <c r="D6" s="185">
        <f t="shared" si="0"/>
        <v>600</v>
      </c>
      <c r="E6" s="391">
        <f t="shared" ref="E6:E22" si="1">D6/$E$4</f>
        <v>12</v>
      </c>
      <c r="F6" s="170">
        <v>50</v>
      </c>
      <c r="G6" s="170">
        <v>50</v>
      </c>
      <c r="H6" s="170">
        <v>50</v>
      </c>
      <c r="I6" s="170">
        <v>50</v>
      </c>
      <c r="J6" s="170">
        <v>50</v>
      </c>
      <c r="K6" s="170">
        <v>50</v>
      </c>
      <c r="L6" s="170">
        <v>50</v>
      </c>
      <c r="M6" s="170">
        <v>50</v>
      </c>
      <c r="N6" s="170">
        <v>50</v>
      </c>
      <c r="O6" s="170">
        <v>50</v>
      </c>
      <c r="P6" s="170">
        <v>50</v>
      </c>
      <c r="Q6" s="174">
        <v>50</v>
      </c>
    </row>
    <row r="7" spans="1:17" ht="26.1" customHeight="1" thickTop="1" thickBot="1" x14ac:dyDescent="0.4">
      <c r="B7" s="267">
        <v>3</v>
      </c>
      <c r="C7" s="268" t="s">
        <v>186</v>
      </c>
      <c r="D7" s="185">
        <f t="shared" si="0"/>
        <v>600</v>
      </c>
      <c r="E7" s="391">
        <f t="shared" si="1"/>
        <v>12</v>
      </c>
      <c r="F7" s="170">
        <v>50</v>
      </c>
      <c r="G7" s="170">
        <v>50</v>
      </c>
      <c r="H7" s="170">
        <v>50</v>
      </c>
      <c r="I7" s="170">
        <v>50</v>
      </c>
      <c r="J7" s="170">
        <v>50</v>
      </c>
      <c r="K7" s="170">
        <v>50</v>
      </c>
      <c r="L7" s="170">
        <v>50</v>
      </c>
      <c r="M7" s="170">
        <v>50</v>
      </c>
      <c r="N7" s="170">
        <v>50</v>
      </c>
      <c r="O7" s="170">
        <v>50</v>
      </c>
      <c r="P7" s="170">
        <v>50</v>
      </c>
      <c r="Q7" s="174">
        <v>50</v>
      </c>
    </row>
    <row r="8" spans="1:17" ht="26.1" customHeight="1" thickTop="1" thickBot="1" x14ac:dyDescent="0.4">
      <c r="B8" s="267">
        <v>4</v>
      </c>
      <c r="C8" s="268" t="s">
        <v>232</v>
      </c>
      <c r="D8" s="185">
        <f t="shared" si="0"/>
        <v>600</v>
      </c>
      <c r="E8" s="391">
        <f t="shared" si="1"/>
        <v>12</v>
      </c>
      <c r="F8" s="170">
        <v>50</v>
      </c>
      <c r="G8" s="170">
        <v>50</v>
      </c>
      <c r="H8" s="170">
        <v>50</v>
      </c>
      <c r="I8" s="170">
        <v>50</v>
      </c>
      <c r="J8" s="170">
        <v>50</v>
      </c>
      <c r="K8" s="170">
        <v>50</v>
      </c>
      <c r="L8" s="170">
        <v>50</v>
      </c>
      <c r="M8" s="170">
        <v>50</v>
      </c>
      <c r="N8" s="170">
        <v>50</v>
      </c>
      <c r="O8" s="170">
        <v>50</v>
      </c>
      <c r="P8" s="170">
        <v>50</v>
      </c>
      <c r="Q8" s="174">
        <v>50</v>
      </c>
    </row>
    <row r="9" spans="1:17" ht="26.1" customHeight="1" thickTop="1" thickBot="1" x14ac:dyDescent="0.4">
      <c r="B9" s="267">
        <v>5</v>
      </c>
      <c r="C9" s="268" t="s">
        <v>410</v>
      </c>
      <c r="D9" s="185">
        <f t="shared" si="0"/>
        <v>600</v>
      </c>
      <c r="E9" s="391">
        <f t="shared" si="1"/>
        <v>12</v>
      </c>
      <c r="F9" s="170">
        <v>50</v>
      </c>
      <c r="G9" s="170">
        <v>50</v>
      </c>
      <c r="H9" s="170">
        <v>50</v>
      </c>
      <c r="I9" s="170">
        <v>50</v>
      </c>
      <c r="J9" s="170">
        <v>50</v>
      </c>
      <c r="K9" s="170">
        <v>50</v>
      </c>
      <c r="L9" s="170">
        <v>50</v>
      </c>
      <c r="M9" s="170">
        <v>50</v>
      </c>
      <c r="N9" s="170">
        <v>50</v>
      </c>
      <c r="O9" s="170">
        <v>50</v>
      </c>
      <c r="P9" s="170">
        <v>50</v>
      </c>
      <c r="Q9" s="174">
        <v>50</v>
      </c>
    </row>
    <row r="10" spans="1:17" ht="26.1" customHeight="1" thickTop="1" thickBot="1" x14ac:dyDescent="0.4">
      <c r="B10" s="267">
        <v>6</v>
      </c>
      <c r="C10" s="268" t="s">
        <v>346</v>
      </c>
      <c r="D10" s="185">
        <f t="shared" si="0"/>
        <v>600</v>
      </c>
      <c r="E10" s="391">
        <f t="shared" si="1"/>
        <v>12</v>
      </c>
      <c r="F10" s="170">
        <v>50</v>
      </c>
      <c r="G10" s="170">
        <v>50</v>
      </c>
      <c r="H10" s="170">
        <v>50</v>
      </c>
      <c r="I10" s="170">
        <v>50</v>
      </c>
      <c r="J10" s="170">
        <v>50</v>
      </c>
      <c r="K10" s="170">
        <v>50</v>
      </c>
      <c r="L10" s="170">
        <v>50</v>
      </c>
      <c r="M10" s="170">
        <v>50</v>
      </c>
      <c r="N10" s="170">
        <v>50</v>
      </c>
      <c r="O10" s="170">
        <v>50</v>
      </c>
      <c r="P10" s="170">
        <v>50</v>
      </c>
      <c r="Q10" s="174">
        <v>50</v>
      </c>
    </row>
    <row r="11" spans="1:17" ht="26.1" customHeight="1" thickTop="1" thickBot="1" x14ac:dyDescent="0.4">
      <c r="B11" s="267">
        <v>7</v>
      </c>
      <c r="C11" s="270" t="s">
        <v>62</v>
      </c>
      <c r="D11" s="185">
        <f t="shared" si="0"/>
        <v>600</v>
      </c>
      <c r="E11" s="391">
        <f t="shared" si="1"/>
        <v>12</v>
      </c>
      <c r="F11" s="170">
        <v>50</v>
      </c>
      <c r="G11" s="170">
        <v>50</v>
      </c>
      <c r="H11" s="170">
        <v>50</v>
      </c>
      <c r="I11" s="170">
        <v>50</v>
      </c>
      <c r="J11" s="170">
        <v>50</v>
      </c>
      <c r="K11" s="170">
        <v>50</v>
      </c>
      <c r="L11" s="170">
        <v>50</v>
      </c>
      <c r="M11" s="170">
        <v>50</v>
      </c>
      <c r="N11" s="170">
        <v>50</v>
      </c>
      <c r="O11" s="170">
        <v>50</v>
      </c>
      <c r="P11" s="170">
        <v>50</v>
      </c>
      <c r="Q11" s="174">
        <v>50</v>
      </c>
    </row>
    <row r="12" spans="1:17" ht="26.1" customHeight="1" thickTop="1" thickBot="1" x14ac:dyDescent="0.4">
      <c r="B12" s="267">
        <v>8</v>
      </c>
      <c r="C12" s="270" t="s">
        <v>68</v>
      </c>
      <c r="D12" s="185">
        <f t="shared" si="0"/>
        <v>600</v>
      </c>
      <c r="E12" s="391">
        <f t="shared" si="1"/>
        <v>12</v>
      </c>
      <c r="F12" s="170">
        <v>50</v>
      </c>
      <c r="G12" s="170">
        <v>50</v>
      </c>
      <c r="H12" s="170">
        <v>50</v>
      </c>
      <c r="I12" s="170">
        <v>50</v>
      </c>
      <c r="J12" s="170">
        <v>50</v>
      </c>
      <c r="K12" s="170">
        <v>50</v>
      </c>
      <c r="L12" s="170">
        <v>50</v>
      </c>
      <c r="M12" s="170">
        <v>50</v>
      </c>
      <c r="N12" s="170">
        <v>50</v>
      </c>
      <c r="O12" s="170">
        <v>50</v>
      </c>
      <c r="P12" s="170">
        <v>50</v>
      </c>
      <c r="Q12" s="174">
        <v>50</v>
      </c>
    </row>
    <row r="13" spans="1:17" ht="26.1" customHeight="1" thickTop="1" thickBot="1" x14ac:dyDescent="0.4">
      <c r="B13" s="267">
        <v>9</v>
      </c>
      <c r="C13" s="270" t="s">
        <v>158</v>
      </c>
      <c r="D13" s="185">
        <f t="shared" si="0"/>
        <v>600</v>
      </c>
      <c r="E13" s="391">
        <f t="shared" si="1"/>
        <v>12</v>
      </c>
      <c r="F13" s="170">
        <v>50</v>
      </c>
      <c r="G13" s="170">
        <v>50</v>
      </c>
      <c r="H13" s="170">
        <v>50</v>
      </c>
      <c r="I13" s="170">
        <v>50</v>
      </c>
      <c r="J13" s="170">
        <v>50</v>
      </c>
      <c r="K13" s="170">
        <v>50</v>
      </c>
      <c r="L13" s="170">
        <v>50</v>
      </c>
      <c r="M13" s="170">
        <v>50</v>
      </c>
      <c r="N13" s="170">
        <v>50</v>
      </c>
      <c r="O13" s="170">
        <v>50</v>
      </c>
      <c r="P13" s="170">
        <v>50</v>
      </c>
      <c r="Q13" s="174">
        <v>50</v>
      </c>
    </row>
    <row r="14" spans="1:17" ht="26.1" customHeight="1" thickTop="1" thickBot="1" x14ac:dyDescent="0.4">
      <c r="B14" s="267">
        <v>10</v>
      </c>
      <c r="C14" s="268" t="s">
        <v>212</v>
      </c>
      <c r="D14" s="185">
        <f t="shared" si="0"/>
        <v>600</v>
      </c>
      <c r="E14" s="391">
        <f t="shared" si="1"/>
        <v>12</v>
      </c>
      <c r="F14" s="170">
        <v>50</v>
      </c>
      <c r="G14" s="170">
        <v>50</v>
      </c>
      <c r="H14" s="170">
        <v>50</v>
      </c>
      <c r="I14" s="170">
        <v>50</v>
      </c>
      <c r="J14" s="170">
        <v>50</v>
      </c>
      <c r="K14" s="170">
        <v>50</v>
      </c>
      <c r="L14" s="170">
        <v>50</v>
      </c>
      <c r="M14" s="170">
        <v>50</v>
      </c>
      <c r="N14" s="170">
        <v>50</v>
      </c>
      <c r="O14" s="170">
        <v>50</v>
      </c>
      <c r="P14" s="170">
        <v>50</v>
      </c>
      <c r="Q14" s="174">
        <v>50</v>
      </c>
    </row>
    <row r="15" spans="1:17" ht="26.1" customHeight="1" thickTop="1" thickBot="1" x14ac:dyDescent="0.4">
      <c r="B15" s="267">
        <v>11</v>
      </c>
      <c r="C15" s="270" t="s">
        <v>75</v>
      </c>
      <c r="D15" s="185">
        <f t="shared" si="0"/>
        <v>600</v>
      </c>
      <c r="E15" s="391">
        <f t="shared" si="1"/>
        <v>12</v>
      </c>
      <c r="F15" s="170">
        <v>50</v>
      </c>
      <c r="G15" s="170">
        <v>50</v>
      </c>
      <c r="H15" s="170">
        <v>50</v>
      </c>
      <c r="I15" s="170">
        <v>50</v>
      </c>
      <c r="J15" s="170">
        <v>50</v>
      </c>
      <c r="K15" s="170">
        <v>50</v>
      </c>
      <c r="L15" s="170">
        <v>50</v>
      </c>
      <c r="M15" s="170">
        <v>50</v>
      </c>
      <c r="N15" s="170">
        <v>50</v>
      </c>
      <c r="O15" s="170">
        <v>50</v>
      </c>
      <c r="P15" s="170">
        <v>50</v>
      </c>
      <c r="Q15" s="174">
        <v>50</v>
      </c>
    </row>
    <row r="16" spans="1:17" ht="26.1" customHeight="1" thickTop="1" thickBot="1" x14ac:dyDescent="0.4">
      <c r="B16" s="267">
        <v>12</v>
      </c>
      <c r="C16" s="268" t="s">
        <v>134</v>
      </c>
      <c r="D16" s="185">
        <f t="shared" si="0"/>
        <v>600</v>
      </c>
      <c r="E16" s="391">
        <f t="shared" si="1"/>
        <v>12</v>
      </c>
      <c r="F16" s="170">
        <v>50</v>
      </c>
      <c r="G16" s="170">
        <v>50</v>
      </c>
      <c r="H16" s="170">
        <v>50</v>
      </c>
      <c r="I16" s="170">
        <v>50</v>
      </c>
      <c r="J16" s="170">
        <v>50</v>
      </c>
      <c r="K16" s="170">
        <v>50</v>
      </c>
      <c r="L16" s="170">
        <v>50</v>
      </c>
      <c r="M16" s="170">
        <v>50</v>
      </c>
      <c r="N16" s="170">
        <v>50</v>
      </c>
      <c r="O16" s="170">
        <v>50</v>
      </c>
      <c r="P16" s="170">
        <v>50</v>
      </c>
      <c r="Q16" s="174">
        <v>50</v>
      </c>
    </row>
    <row r="17" spans="2:18" ht="26.1" customHeight="1" thickTop="1" thickBot="1" x14ac:dyDescent="0.4">
      <c r="B17" s="267">
        <v>13</v>
      </c>
      <c r="C17" s="270" t="s">
        <v>524</v>
      </c>
      <c r="D17" s="185">
        <f t="shared" si="0"/>
        <v>600</v>
      </c>
      <c r="E17" s="391">
        <f t="shared" si="1"/>
        <v>12</v>
      </c>
      <c r="F17" s="170">
        <v>50</v>
      </c>
      <c r="G17" s="170">
        <v>50</v>
      </c>
      <c r="H17" s="170">
        <v>50</v>
      </c>
      <c r="I17" s="170">
        <v>50</v>
      </c>
      <c r="J17" s="170">
        <v>50</v>
      </c>
      <c r="K17" s="170">
        <v>50</v>
      </c>
      <c r="L17" s="170">
        <v>50</v>
      </c>
      <c r="M17" s="170">
        <v>50</v>
      </c>
      <c r="N17" s="170">
        <v>50</v>
      </c>
      <c r="O17" s="170">
        <v>50</v>
      </c>
      <c r="P17" s="170">
        <v>50</v>
      </c>
      <c r="Q17" s="174">
        <v>50</v>
      </c>
    </row>
    <row r="18" spans="2:18" ht="26.1" customHeight="1" thickTop="1" thickBot="1" x14ac:dyDescent="0.4">
      <c r="B18" s="267">
        <v>14</v>
      </c>
      <c r="C18" s="270" t="s">
        <v>76</v>
      </c>
      <c r="D18" s="185">
        <f t="shared" si="0"/>
        <v>600</v>
      </c>
      <c r="E18" s="391">
        <f t="shared" si="1"/>
        <v>12</v>
      </c>
      <c r="F18" s="170">
        <v>50</v>
      </c>
      <c r="G18" s="170">
        <v>50</v>
      </c>
      <c r="H18" s="170">
        <v>50</v>
      </c>
      <c r="I18" s="170">
        <v>50</v>
      </c>
      <c r="J18" s="170">
        <v>50</v>
      </c>
      <c r="K18" s="170">
        <v>50</v>
      </c>
      <c r="L18" s="170">
        <v>50</v>
      </c>
      <c r="M18" s="170">
        <v>50</v>
      </c>
      <c r="N18" s="170">
        <v>50</v>
      </c>
      <c r="O18" s="170">
        <v>50</v>
      </c>
      <c r="P18" s="170">
        <v>50</v>
      </c>
      <c r="Q18" s="174">
        <v>50</v>
      </c>
    </row>
    <row r="19" spans="2:18" ht="26.1" customHeight="1" thickTop="1" thickBot="1" x14ac:dyDescent="0.4">
      <c r="B19" s="267">
        <v>15</v>
      </c>
      <c r="C19" s="270" t="s">
        <v>66</v>
      </c>
      <c r="D19" s="185">
        <f t="shared" si="0"/>
        <v>600</v>
      </c>
      <c r="E19" s="391">
        <f t="shared" si="1"/>
        <v>12</v>
      </c>
      <c r="F19" s="170">
        <v>50</v>
      </c>
      <c r="G19" s="170">
        <v>50</v>
      </c>
      <c r="H19" s="170">
        <v>50</v>
      </c>
      <c r="I19" s="170">
        <v>50</v>
      </c>
      <c r="J19" s="170">
        <v>50</v>
      </c>
      <c r="K19" s="170">
        <v>50</v>
      </c>
      <c r="L19" s="170">
        <v>50</v>
      </c>
      <c r="M19" s="170">
        <v>50</v>
      </c>
      <c r="N19" s="170">
        <v>50</v>
      </c>
      <c r="O19" s="170">
        <v>50</v>
      </c>
      <c r="P19" s="170">
        <v>50</v>
      </c>
      <c r="Q19" s="174">
        <v>50</v>
      </c>
    </row>
    <row r="20" spans="2:18" ht="26.1" customHeight="1" thickTop="1" thickBot="1" x14ac:dyDescent="0.4">
      <c r="B20" s="267">
        <v>16</v>
      </c>
      <c r="C20" s="268" t="s">
        <v>469</v>
      </c>
      <c r="D20" s="185">
        <f t="shared" si="0"/>
        <v>600</v>
      </c>
      <c r="E20" s="391">
        <f t="shared" si="1"/>
        <v>12</v>
      </c>
      <c r="F20" s="170">
        <v>50</v>
      </c>
      <c r="G20" s="170">
        <v>50</v>
      </c>
      <c r="H20" s="170">
        <v>50</v>
      </c>
      <c r="I20" s="170">
        <v>50</v>
      </c>
      <c r="J20" s="170">
        <v>50</v>
      </c>
      <c r="K20" s="170">
        <v>50</v>
      </c>
      <c r="L20" s="170">
        <v>50</v>
      </c>
      <c r="M20" s="170">
        <v>50</v>
      </c>
      <c r="N20" s="170">
        <v>50</v>
      </c>
      <c r="O20" s="170">
        <v>50</v>
      </c>
      <c r="P20" s="170">
        <v>50</v>
      </c>
      <c r="Q20" s="174">
        <v>50</v>
      </c>
    </row>
    <row r="21" spans="2:18" ht="26.1" customHeight="1" thickTop="1" thickBot="1" x14ac:dyDescent="0.4">
      <c r="B21" s="267">
        <v>17</v>
      </c>
      <c r="C21" s="268" t="s">
        <v>758</v>
      </c>
      <c r="D21" s="185">
        <f t="shared" si="0"/>
        <v>600</v>
      </c>
      <c r="E21" s="391">
        <f t="shared" si="1"/>
        <v>12</v>
      </c>
      <c r="F21" s="170">
        <v>50</v>
      </c>
      <c r="G21" s="170">
        <v>50</v>
      </c>
      <c r="H21" s="170">
        <v>50</v>
      </c>
      <c r="I21" s="170">
        <v>50</v>
      </c>
      <c r="J21" s="170">
        <v>50</v>
      </c>
      <c r="K21" s="170">
        <v>50</v>
      </c>
      <c r="L21" s="170">
        <v>50</v>
      </c>
      <c r="M21" s="170">
        <v>50</v>
      </c>
      <c r="N21" s="170">
        <v>50</v>
      </c>
      <c r="O21" s="170">
        <v>50</v>
      </c>
      <c r="P21" s="170">
        <v>50</v>
      </c>
      <c r="Q21" s="174">
        <v>50</v>
      </c>
    </row>
    <row r="22" spans="2:18" ht="26.1" customHeight="1" thickTop="1" thickBot="1" x14ac:dyDescent="0.4">
      <c r="B22" s="267">
        <v>18</v>
      </c>
      <c r="C22" s="268" t="s">
        <v>213</v>
      </c>
      <c r="D22" s="185">
        <f t="shared" si="0"/>
        <v>600</v>
      </c>
      <c r="E22" s="391">
        <f t="shared" si="1"/>
        <v>12</v>
      </c>
      <c r="F22" s="170">
        <v>50</v>
      </c>
      <c r="G22" s="170">
        <v>50</v>
      </c>
      <c r="H22" s="170">
        <v>50</v>
      </c>
      <c r="I22" s="170">
        <v>50</v>
      </c>
      <c r="J22" s="170">
        <v>50</v>
      </c>
      <c r="K22" s="170">
        <v>50</v>
      </c>
      <c r="L22" s="170">
        <v>50</v>
      </c>
      <c r="M22" s="170">
        <v>50</v>
      </c>
      <c r="N22" s="170">
        <v>50</v>
      </c>
      <c r="O22" s="170">
        <v>50</v>
      </c>
      <c r="P22" s="170">
        <v>50</v>
      </c>
      <c r="Q22" s="174">
        <v>50</v>
      </c>
    </row>
    <row r="23" spans="2:18" ht="26.1" customHeight="1" thickTop="1" thickBot="1" x14ac:dyDescent="0.35">
      <c r="B23" s="195"/>
      <c r="C23" s="196"/>
      <c r="D23" s="197"/>
      <c r="E23" s="393"/>
      <c r="F23" s="198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9"/>
    </row>
    <row r="24" spans="2:18" ht="26.1" customHeight="1" thickTop="1" thickBot="1" x14ac:dyDescent="0.35">
      <c r="B24" s="191"/>
      <c r="C24" s="192"/>
      <c r="D24" s="190"/>
      <c r="E24" s="394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6"/>
    </row>
    <row r="25" spans="2:18" s="64" customFormat="1" ht="33" customHeight="1" thickBot="1" x14ac:dyDescent="0.45">
      <c r="B25" s="1048" t="s">
        <v>1</v>
      </c>
      <c r="C25" s="1049"/>
      <c r="D25" s="137">
        <f t="shared" ref="D25:Q25" si="2">SUBTOTAL(9,D5:D22)</f>
        <v>10800</v>
      </c>
      <c r="E25" s="399">
        <f t="shared" si="2"/>
        <v>216</v>
      </c>
      <c r="F25" s="137">
        <f t="shared" si="2"/>
        <v>900</v>
      </c>
      <c r="G25" s="137">
        <f t="shared" si="2"/>
        <v>900</v>
      </c>
      <c r="H25" s="137">
        <f t="shared" si="2"/>
        <v>900</v>
      </c>
      <c r="I25" s="137">
        <f t="shared" si="2"/>
        <v>900</v>
      </c>
      <c r="J25" s="137">
        <f t="shared" si="2"/>
        <v>900</v>
      </c>
      <c r="K25" s="137">
        <f t="shared" si="2"/>
        <v>900</v>
      </c>
      <c r="L25" s="137">
        <f t="shared" si="2"/>
        <v>900</v>
      </c>
      <c r="M25" s="137">
        <f t="shared" si="2"/>
        <v>900</v>
      </c>
      <c r="N25" s="137">
        <f t="shared" si="2"/>
        <v>900</v>
      </c>
      <c r="O25" s="137">
        <f t="shared" si="2"/>
        <v>900</v>
      </c>
      <c r="P25" s="137">
        <f t="shared" si="2"/>
        <v>900</v>
      </c>
      <c r="Q25" s="137">
        <f t="shared" si="2"/>
        <v>900</v>
      </c>
    </row>
    <row r="26" spans="2:18" s="68" customFormat="1" ht="30" customHeight="1" thickTop="1" thickBot="1" x14ac:dyDescent="0.45">
      <c r="B26" s="1046" t="s">
        <v>650</v>
      </c>
      <c r="C26" s="1047"/>
      <c r="D26" s="138">
        <f>COUNTIF(D5:D24,"&gt;0")</f>
        <v>18</v>
      </c>
      <c r="E26" s="138">
        <f>COUNTIF(E5:E24,"&gt;0")</f>
        <v>18</v>
      </c>
      <c r="F26" s="138">
        <f t="shared" ref="F26:Q26" si="3">COUNTIF(F5:F24,"&gt;0")</f>
        <v>18</v>
      </c>
      <c r="G26" s="138">
        <f t="shared" si="3"/>
        <v>18</v>
      </c>
      <c r="H26" s="138">
        <f t="shared" si="3"/>
        <v>18</v>
      </c>
      <c r="I26" s="138">
        <f t="shared" si="3"/>
        <v>18</v>
      </c>
      <c r="J26" s="138">
        <f t="shared" si="3"/>
        <v>18</v>
      </c>
      <c r="K26" s="138">
        <f t="shared" si="3"/>
        <v>18</v>
      </c>
      <c r="L26" s="138">
        <f t="shared" si="3"/>
        <v>18</v>
      </c>
      <c r="M26" s="138">
        <f t="shared" si="3"/>
        <v>18</v>
      </c>
      <c r="N26" s="138">
        <f t="shared" si="3"/>
        <v>18</v>
      </c>
      <c r="O26" s="138">
        <f t="shared" si="3"/>
        <v>18</v>
      </c>
      <c r="P26" s="138">
        <f t="shared" si="3"/>
        <v>18</v>
      </c>
      <c r="Q26" s="138">
        <f t="shared" si="3"/>
        <v>18</v>
      </c>
      <c r="R26" s="64"/>
    </row>
    <row r="27" spans="2:18" ht="19.5" customHeight="1" thickTop="1" x14ac:dyDescent="0.25"/>
  </sheetData>
  <autoFilter ref="B4:Q22" xr:uid="{00000000-0009-0000-0000-00000B000000}"/>
  <sortState xmlns:xlrd2="http://schemas.microsoft.com/office/spreadsheetml/2017/richdata2" ref="C5:Q22">
    <sortCondition ref="C5:C22"/>
  </sortState>
  <mergeCells count="3">
    <mergeCell ref="B2:D2"/>
    <mergeCell ref="B26:C26"/>
    <mergeCell ref="B25:C25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1"/>
  </sheetPr>
  <dimension ref="A1:R29"/>
  <sheetViews>
    <sheetView topLeftCell="A7" workbookViewId="0">
      <selection activeCell="D25" sqref="D25"/>
    </sheetView>
  </sheetViews>
  <sheetFormatPr defaultColWidth="9.140625" defaultRowHeight="18" x14ac:dyDescent="0.25"/>
  <cols>
    <col min="1" max="1" width="3.5703125" style="77" customWidth="1"/>
    <col min="2" max="2" width="8.140625" style="76" customWidth="1"/>
    <col min="3" max="3" width="48.28515625" style="77" bestFit="1" customWidth="1"/>
    <col min="4" max="4" width="22.85546875" style="77" customWidth="1"/>
    <col min="5" max="5" width="16.85546875" style="390" bestFit="1" customWidth="1"/>
    <col min="6" max="17" width="19.7109375" style="77" customWidth="1"/>
    <col min="18" max="18" width="6.5703125" style="77" customWidth="1"/>
    <col min="19" max="16384" width="9.140625" style="77"/>
  </cols>
  <sheetData>
    <row r="1" spans="1:17" ht="24.75" customHeight="1" x14ac:dyDescent="0.25">
      <c r="A1" s="89"/>
      <c r="E1" s="77"/>
    </row>
    <row r="2" spans="1:17" s="70" customFormat="1" ht="47.25" thickBot="1" x14ac:dyDescent="0.8">
      <c r="B2" s="1043" t="s">
        <v>495</v>
      </c>
      <c r="C2" s="1043"/>
      <c r="D2" s="1043"/>
      <c r="E2" s="387"/>
      <c r="F2" s="82"/>
      <c r="G2" s="82"/>
      <c r="H2" s="82"/>
      <c r="I2" s="82"/>
      <c r="J2" s="82"/>
      <c r="K2" s="82"/>
      <c r="L2" s="78"/>
    </row>
    <row r="3" spans="1:17" s="81" customFormat="1" ht="30" customHeight="1" thickTop="1" thickBot="1" x14ac:dyDescent="0.45">
      <c r="B3" s="182" t="s">
        <v>125</v>
      </c>
      <c r="C3" s="182" t="s">
        <v>483</v>
      </c>
      <c r="D3" s="182" t="s">
        <v>466</v>
      </c>
      <c r="E3" s="182" t="s">
        <v>487</v>
      </c>
      <c r="F3" s="183">
        <v>45292</v>
      </c>
      <c r="G3" s="183">
        <v>45323</v>
      </c>
      <c r="H3" s="183">
        <v>45352</v>
      </c>
      <c r="I3" s="183">
        <v>45383</v>
      </c>
      <c r="J3" s="183">
        <v>45413</v>
      </c>
      <c r="K3" s="183">
        <v>45444</v>
      </c>
      <c r="L3" s="183">
        <v>45474</v>
      </c>
      <c r="M3" s="183">
        <v>45505</v>
      </c>
      <c r="N3" s="183">
        <v>45536</v>
      </c>
      <c r="O3" s="183">
        <v>45566</v>
      </c>
      <c r="P3" s="183">
        <v>45597</v>
      </c>
      <c r="Q3" s="183">
        <v>45627</v>
      </c>
    </row>
    <row r="4" spans="1:17" s="64" customFormat="1" ht="27.95" customHeight="1" thickTop="1" thickBot="1" x14ac:dyDescent="0.4">
      <c r="B4" s="152"/>
      <c r="C4" s="153"/>
      <c r="D4" s="153" t="s">
        <v>124</v>
      </c>
      <c r="E4" s="418">
        <v>50</v>
      </c>
      <c r="F4" s="153" t="s">
        <v>56</v>
      </c>
      <c r="G4" s="153" t="s">
        <v>56</v>
      </c>
      <c r="H4" s="153" t="s">
        <v>56</v>
      </c>
      <c r="I4" s="153" t="s">
        <v>56</v>
      </c>
      <c r="J4" s="153" t="s">
        <v>56</v>
      </c>
      <c r="K4" s="153" t="s">
        <v>56</v>
      </c>
      <c r="L4" s="153" t="s">
        <v>56</v>
      </c>
      <c r="M4" s="153" t="s">
        <v>56</v>
      </c>
      <c r="N4" s="153" t="s">
        <v>56</v>
      </c>
      <c r="O4" s="153" t="s">
        <v>56</v>
      </c>
      <c r="P4" s="153"/>
      <c r="Q4" s="154" t="s">
        <v>56</v>
      </c>
    </row>
    <row r="5" spans="1:17" ht="26.1" customHeight="1" thickTop="1" thickBot="1" x14ac:dyDescent="0.3">
      <c r="B5" s="273">
        <v>1</v>
      </c>
      <c r="C5" s="274" t="s">
        <v>620</v>
      </c>
      <c r="D5" s="185">
        <f t="shared" ref="D5:D22" si="0">SUM(F5:Q5)</f>
        <v>900</v>
      </c>
      <c r="E5" s="392">
        <f>D5/$E$4</f>
        <v>18</v>
      </c>
      <c r="F5" s="170">
        <v>50</v>
      </c>
      <c r="G5" s="170">
        <v>50</v>
      </c>
      <c r="H5" s="170">
        <v>50</v>
      </c>
      <c r="I5" s="170">
        <v>50</v>
      </c>
      <c r="J5" s="170">
        <v>50</v>
      </c>
      <c r="K5" s="170">
        <v>50</v>
      </c>
      <c r="L5" s="170">
        <v>100</v>
      </c>
      <c r="M5" s="170">
        <v>100</v>
      </c>
      <c r="N5" s="170">
        <v>100</v>
      </c>
      <c r="O5" s="170">
        <v>100</v>
      </c>
      <c r="P5" s="170">
        <v>100</v>
      </c>
      <c r="Q5" s="174">
        <v>100</v>
      </c>
    </row>
    <row r="6" spans="1:17" ht="26.1" customHeight="1" thickTop="1" thickBot="1" x14ac:dyDescent="0.3">
      <c r="B6" s="273">
        <v>2</v>
      </c>
      <c r="C6" s="274" t="s">
        <v>458</v>
      </c>
      <c r="D6" s="185">
        <f t="shared" si="0"/>
        <v>900</v>
      </c>
      <c r="E6" s="392">
        <f t="shared" ref="E6:E24" si="1">D6/$E$4</f>
        <v>18</v>
      </c>
      <c r="F6" s="170">
        <v>50</v>
      </c>
      <c r="G6" s="170">
        <v>50</v>
      </c>
      <c r="H6" s="170">
        <v>50</v>
      </c>
      <c r="I6" s="170">
        <v>50</v>
      </c>
      <c r="J6" s="170">
        <v>50</v>
      </c>
      <c r="K6" s="170">
        <v>50</v>
      </c>
      <c r="L6" s="170">
        <v>100</v>
      </c>
      <c r="M6" s="170">
        <v>100</v>
      </c>
      <c r="N6" s="170">
        <v>100</v>
      </c>
      <c r="O6" s="170">
        <v>100</v>
      </c>
      <c r="P6" s="170">
        <v>100</v>
      </c>
      <c r="Q6" s="174">
        <v>100</v>
      </c>
    </row>
    <row r="7" spans="1:17" ht="26.1" customHeight="1" thickTop="1" thickBot="1" x14ac:dyDescent="0.3">
      <c r="B7" s="275">
        <v>3</v>
      </c>
      <c r="C7" s="276" t="s">
        <v>211</v>
      </c>
      <c r="D7" s="184">
        <f t="shared" si="0"/>
        <v>900</v>
      </c>
      <c r="E7" s="392">
        <f t="shared" si="1"/>
        <v>18</v>
      </c>
      <c r="F7" s="172">
        <v>50</v>
      </c>
      <c r="G7" s="172">
        <v>50</v>
      </c>
      <c r="H7" s="172">
        <v>50</v>
      </c>
      <c r="I7" s="172">
        <v>50</v>
      </c>
      <c r="J7" s="172">
        <v>50</v>
      </c>
      <c r="K7" s="172">
        <v>50</v>
      </c>
      <c r="L7" s="172">
        <v>100</v>
      </c>
      <c r="M7" s="172">
        <v>100</v>
      </c>
      <c r="N7" s="172">
        <v>100</v>
      </c>
      <c r="O7" s="172">
        <v>100</v>
      </c>
      <c r="P7" s="172">
        <v>100</v>
      </c>
      <c r="Q7" s="173">
        <v>100</v>
      </c>
    </row>
    <row r="8" spans="1:17" ht="26.1" customHeight="1" thickTop="1" thickBot="1" x14ac:dyDescent="0.3">
      <c r="B8" s="273">
        <v>4</v>
      </c>
      <c r="C8" s="274" t="s">
        <v>186</v>
      </c>
      <c r="D8" s="185">
        <f t="shared" si="0"/>
        <v>900</v>
      </c>
      <c r="E8" s="392">
        <f t="shared" si="1"/>
        <v>18</v>
      </c>
      <c r="F8" s="170">
        <v>50</v>
      </c>
      <c r="G8" s="170">
        <v>50</v>
      </c>
      <c r="H8" s="170">
        <v>50</v>
      </c>
      <c r="I8" s="170">
        <v>50</v>
      </c>
      <c r="J8" s="170">
        <v>50</v>
      </c>
      <c r="K8" s="170">
        <v>50</v>
      </c>
      <c r="L8" s="170">
        <v>100</v>
      </c>
      <c r="M8" s="170">
        <v>100</v>
      </c>
      <c r="N8" s="170">
        <v>100</v>
      </c>
      <c r="O8" s="170">
        <v>100</v>
      </c>
      <c r="P8" s="170">
        <v>100</v>
      </c>
      <c r="Q8" s="174">
        <v>100</v>
      </c>
    </row>
    <row r="9" spans="1:17" ht="26.1" customHeight="1" thickTop="1" thickBot="1" x14ac:dyDescent="0.3">
      <c r="B9" s="275">
        <v>5</v>
      </c>
      <c r="C9" s="277" t="s">
        <v>351</v>
      </c>
      <c r="D9" s="185">
        <f>SUM(F9:Q9)</f>
        <v>900</v>
      </c>
      <c r="E9" s="392">
        <f t="shared" si="1"/>
        <v>18</v>
      </c>
      <c r="F9" s="170">
        <v>50</v>
      </c>
      <c r="G9" s="170">
        <v>50</v>
      </c>
      <c r="H9" s="170">
        <v>50</v>
      </c>
      <c r="I9" s="170">
        <v>50</v>
      </c>
      <c r="J9" s="170">
        <v>50</v>
      </c>
      <c r="K9" s="170">
        <v>50</v>
      </c>
      <c r="L9" s="170">
        <v>100</v>
      </c>
      <c r="M9" s="170">
        <v>100</v>
      </c>
      <c r="N9" s="170">
        <v>100</v>
      </c>
      <c r="O9" s="170">
        <v>100</v>
      </c>
      <c r="P9" s="170">
        <v>100</v>
      </c>
      <c r="Q9" s="174">
        <v>100</v>
      </c>
    </row>
    <row r="10" spans="1:17" ht="26.1" customHeight="1" thickTop="1" thickBot="1" x14ac:dyDescent="0.3">
      <c r="B10" s="273">
        <v>6</v>
      </c>
      <c r="C10" s="274" t="s">
        <v>232</v>
      </c>
      <c r="D10" s="185">
        <f t="shared" si="0"/>
        <v>900</v>
      </c>
      <c r="E10" s="392">
        <f t="shared" si="1"/>
        <v>18</v>
      </c>
      <c r="F10" s="170">
        <v>50</v>
      </c>
      <c r="G10" s="170">
        <v>50</v>
      </c>
      <c r="H10" s="170">
        <v>50</v>
      </c>
      <c r="I10" s="170">
        <v>50</v>
      </c>
      <c r="J10" s="170">
        <v>50</v>
      </c>
      <c r="K10" s="170">
        <v>50</v>
      </c>
      <c r="L10" s="170">
        <v>100</v>
      </c>
      <c r="M10" s="170">
        <v>100</v>
      </c>
      <c r="N10" s="170">
        <v>100</v>
      </c>
      <c r="O10" s="170">
        <v>100</v>
      </c>
      <c r="P10" s="170">
        <v>100</v>
      </c>
      <c r="Q10" s="174">
        <v>100</v>
      </c>
    </row>
    <row r="11" spans="1:17" ht="26.1" customHeight="1" thickTop="1" thickBot="1" x14ac:dyDescent="0.3">
      <c r="B11" s="275">
        <v>7</v>
      </c>
      <c r="C11" s="274" t="s">
        <v>410</v>
      </c>
      <c r="D11" s="185">
        <f t="shared" si="0"/>
        <v>900</v>
      </c>
      <c r="E11" s="392">
        <f t="shared" si="1"/>
        <v>18</v>
      </c>
      <c r="F11" s="170">
        <v>50</v>
      </c>
      <c r="G11" s="170">
        <v>50</v>
      </c>
      <c r="H11" s="170">
        <v>50</v>
      </c>
      <c r="I11" s="170">
        <v>50</v>
      </c>
      <c r="J11" s="170">
        <v>50</v>
      </c>
      <c r="K11" s="170">
        <v>50</v>
      </c>
      <c r="L11" s="170">
        <v>100</v>
      </c>
      <c r="M11" s="170">
        <v>100</v>
      </c>
      <c r="N11" s="170">
        <v>100</v>
      </c>
      <c r="O11" s="170">
        <v>100</v>
      </c>
      <c r="P11" s="170">
        <v>100</v>
      </c>
      <c r="Q11" s="174">
        <v>100</v>
      </c>
    </row>
    <row r="12" spans="1:17" ht="26.1" customHeight="1" thickTop="1" thickBot="1" x14ac:dyDescent="0.3">
      <c r="B12" s="273">
        <v>8</v>
      </c>
      <c r="C12" s="274" t="s">
        <v>346</v>
      </c>
      <c r="D12" s="185">
        <f t="shared" si="0"/>
        <v>900</v>
      </c>
      <c r="E12" s="392">
        <f t="shared" si="1"/>
        <v>18</v>
      </c>
      <c r="F12" s="170">
        <v>50</v>
      </c>
      <c r="G12" s="170">
        <v>50</v>
      </c>
      <c r="H12" s="170">
        <v>50</v>
      </c>
      <c r="I12" s="170">
        <v>50</v>
      </c>
      <c r="J12" s="170">
        <v>50</v>
      </c>
      <c r="K12" s="170">
        <v>50</v>
      </c>
      <c r="L12" s="170">
        <v>100</v>
      </c>
      <c r="M12" s="170">
        <v>100</v>
      </c>
      <c r="N12" s="170">
        <v>100</v>
      </c>
      <c r="O12" s="170">
        <v>100</v>
      </c>
      <c r="P12" s="170">
        <v>100</v>
      </c>
      <c r="Q12" s="174">
        <v>100</v>
      </c>
    </row>
    <row r="13" spans="1:17" ht="26.1" customHeight="1" thickTop="1" thickBot="1" x14ac:dyDescent="0.3">
      <c r="B13" s="275">
        <v>9</v>
      </c>
      <c r="C13" s="277" t="s">
        <v>62</v>
      </c>
      <c r="D13" s="185">
        <f t="shared" si="0"/>
        <v>900</v>
      </c>
      <c r="E13" s="392">
        <f t="shared" si="1"/>
        <v>18</v>
      </c>
      <c r="F13" s="170">
        <v>50</v>
      </c>
      <c r="G13" s="170">
        <v>50</v>
      </c>
      <c r="H13" s="170">
        <v>50</v>
      </c>
      <c r="I13" s="170">
        <v>50</v>
      </c>
      <c r="J13" s="170">
        <v>50</v>
      </c>
      <c r="K13" s="170">
        <v>50</v>
      </c>
      <c r="L13" s="170">
        <v>100</v>
      </c>
      <c r="M13" s="170">
        <v>100</v>
      </c>
      <c r="N13" s="170">
        <v>100</v>
      </c>
      <c r="O13" s="170">
        <v>100</v>
      </c>
      <c r="P13" s="170">
        <v>100</v>
      </c>
      <c r="Q13" s="174">
        <v>100</v>
      </c>
    </row>
    <row r="14" spans="1:17" ht="26.1" customHeight="1" thickTop="1" thickBot="1" x14ac:dyDescent="0.3">
      <c r="B14" s="273">
        <v>10</v>
      </c>
      <c r="C14" s="277" t="s">
        <v>158</v>
      </c>
      <c r="D14" s="185">
        <f t="shared" si="0"/>
        <v>900</v>
      </c>
      <c r="E14" s="392">
        <f t="shared" si="1"/>
        <v>18</v>
      </c>
      <c r="F14" s="170">
        <v>50</v>
      </c>
      <c r="G14" s="170">
        <v>50</v>
      </c>
      <c r="H14" s="170">
        <v>50</v>
      </c>
      <c r="I14" s="170">
        <v>50</v>
      </c>
      <c r="J14" s="170">
        <v>50</v>
      </c>
      <c r="K14" s="170">
        <v>50</v>
      </c>
      <c r="L14" s="170">
        <v>100</v>
      </c>
      <c r="M14" s="170">
        <v>100</v>
      </c>
      <c r="N14" s="170">
        <v>100</v>
      </c>
      <c r="O14" s="170">
        <v>100</v>
      </c>
      <c r="P14" s="170">
        <v>100</v>
      </c>
      <c r="Q14" s="174">
        <v>100</v>
      </c>
    </row>
    <row r="15" spans="1:17" ht="26.1" customHeight="1" thickTop="1" thickBot="1" x14ac:dyDescent="0.3">
      <c r="B15" s="275">
        <v>11</v>
      </c>
      <c r="C15" s="274" t="s">
        <v>212</v>
      </c>
      <c r="D15" s="185">
        <f t="shared" si="0"/>
        <v>900</v>
      </c>
      <c r="E15" s="392">
        <f t="shared" si="1"/>
        <v>18</v>
      </c>
      <c r="F15" s="170">
        <v>50</v>
      </c>
      <c r="G15" s="170">
        <v>50</v>
      </c>
      <c r="H15" s="170">
        <v>50</v>
      </c>
      <c r="I15" s="170">
        <v>50</v>
      </c>
      <c r="J15" s="170">
        <v>50</v>
      </c>
      <c r="K15" s="170">
        <v>50</v>
      </c>
      <c r="L15" s="170">
        <v>100</v>
      </c>
      <c r="M15" s="170">
        <v>100</v>
      </c>
      <c r="N15" s="170">
        <v>100</v>
      </c>
      <c r="O15" s="170">
        <v>100</v>
      </c>
      <c r="P15" s="170">
        <v>100</v>
      </c>
      <c r="Q15" s="174">
        <v>100</v>
      </c>
    </row>
    <row r="16" spans="1:17" ht="26.1" customHeight="1" thickTop="1" thickBot="1" x14ac:dyDescent="0.3">
      <c r="B16" s="273">
        <v>12</v>
      </c>
      <c r="C16" s="277" t="s">
        <v>75</v>
      </c>
      <c r="D16" s="185">
        <f t="shared" si="0"/>
        <v>900</v>
      </c>
      <c r="E16" s="392">
        <f t="shared" si="1"/>
        <v>18</v>
      </c>
      <c r="F16" s="170">
        <v>50</v>
      </c>
      <c r="G16" s="170">
        <v>50</v>
      </c>
      <c r="H16" s="170">
        <v>50</v>
      </c>
      <c r="I16" s="170">
        <v>50</v>
      </c>
      <c r="J16" s="170">
        <v>50</v>
      </c>
      <c r="K16" s="170">
        <v>50</v>
      </c>
      <c r="L16" s="170">
        <v>100</v>
      </c>
      <c r="M16" s="170">
        <v>100</v>
      </c>
      <c r="N16" s="170">
        <v>100</v>
      </c>
      <c r="O16" s="170">
        <v>100</v>
      </c>
      <c r="P16" s="170">
        <v>100</v>
      </c>
      <c r="Q16" s="174">
        <v>100</v>
      </c>
    </row>
    <row r="17" spans="2:18" ht="26.1" customHeight="1" thickTop="1" thickBot="1" x14ac:dyDescent="0.3">
      <c r="B17" s="275">
        <v>13</v>
      </c>
      <c r="C17" s="274" t="s">
        <v>134</v>
      </c>
      <c r="D17" s="185">
        <f t="shared" si="0"/>
        <v>900</v>
      </c>
      <c r="E17" s="392">
        <f t="shared" si="1"/>
        <v>18</v>
      </c>
      <c r="F17" s="170">
        <v>50</v>
      </c>
      <c r="G17" s="170">
        <v>50</v>
      </c>
      <c r="H17" s="170">
        <v>50</v>
      </c>
      <c r="I17" s="170">
        <v>50</v>
      </c>
      <c r="J17" s="170">
        <v>50</v>
      </c>
      <c r="K17" s="170">
        <v>50</v>
      </c>
      <c r="L17" s="170">
        <v>100</v>
      </c>
      <c r="M17" s="170">
        <v>100</v>
      </c>
      <c r="N17" s="170">
        <v>100</v>
      </c>
      <c r="O17" s="170">
        <v>100</v>
      </c>
      <c r="P17" s="170">
        <v>100</v>
      </c>
      <c r="Q17" s="174">
        <v>100</v>
      </c>
    </row>
    <row r="18" spans="2:18" ht="26.1" customHeight="1" thickTop="1" thickBot="1" x14ac:dyDescent="0.3">
      <c r="B18" s="273">
        <v>14</v>
      </c>
      <c r="C18" s="277" t="s">
        <v>524</v>
      </c>
      <c r="D18" s="185">
        <f t="shared" si="0"/>
        <v>900</v>
      </c>
      <c r="E18" s="392">
        <f t="shared" si="1"/>
        <v>18</v>
      </c>
      <c r="F18" s="170">
        <v>50</v>
      </c>
      <c r="G18" s="170">
        <v>50</v>
      </c>
      <c r="H18" s="170">
        <v>50</v>
      </c>
      <c r="I18" s="170">
        <v>50</v>
      </c>
      <c r="J18" s="170">
        <v>50</v>
      </c>
      <c r="K18" s="170">
        <v>50</v>
      </c>
      <c r="L18" s="170">
        <v>100</v>
      </c>
      <c r="M18" s="170">
        <v>100</v>
      </c>
      <c r="N18" s="170">
        <v>100</v>
      </c>
      <c r="O18" s="170">
        <v>100</v>
      </c>
      <c r="P18" s="170">
        <v>100</v>
      </c>
      <c r="Q18" s="174">
        <v>100</v>
      </c>
    </row>
    <row r="19" spans="2:18" ht="26.1" customHeight="1" thickTop="1" thickBot="1" x14ac:dyDescent="0.3">
      <c r="B19" s="275">
        <v>15</v>
      </c>
      <c r="C19" s="277" t="s">
        <v>66</v>
      </c>
      <c r="D19" s="185">
        <f t="shared" si="0"/>
        <v>900</v>
      </c>
      <c r="E19" s="392">
        <f t="shared" si="1"/>
        <v>18</v>
      </c>
      <c r="F19" s="170">
        <v>50</v>
      </c>
      <c r="G19" s="170">
        <v>50</v>
      </c>
      <c r="H19" s="170">
        <v>50</v>
      </c>
      <c r="I19" s="170">
        <v>50</v>
      </c>
      <c r="J19" s="170">
        <v>50</v>
      </c>
      <c r="K19" s="170">
        <v>50</v>
      </c>
      <c r="L19" s="170">
        <v>100</v>
      </c>
      <c r="M19" s="170">
        <v>100</v>
      </c>
      <c r="N19" s="170">
        <v>100</v>
      </c>
      <c r="O19" s="170">
        <v>100</v>
      </c>
      <c r="P19" s="170">
        <v>100</v>
      </c>
      <c r="Q19" s="174">
        <v>100</v>
      </c>
    </row>
    <row r="20" spans="2:18" ht="26.1" customHeight="1" thickTop="1" thickBot="1" x14ac:dyDescent="0.3">
      <c r="B20" s="273">
        <v>16</v>
      </c>
      <c r="C20" s="274" t="s">
        <v>469</v>
      </c>
      <c r="D20" s="185">
        <f t="shared" si="0"/>
        <v>900</v>
      </c>
      <c r="E20" s="392">
        <f t="shared" si="1"/>
        <v>18</v>
      </c>
      <c r="F20" s="170">
        <v>50</v>
      </c>
      <c r="G20" s="170">
        <v>50</v>
      </c>
      <c r="H20" s="170">
        <v>50</v>
      </c>
      <c r="I20" s="170">
        <v>50</v>
      </c>
      <c r="J20" s="170">
        <v>50</v>
      </c>
      <c r="K20" s="170">
        <v>50</v>
      </c>
      <c r="L20" s="170">
        <v>100</v>
      </c>
      <c r="M20" s="170">
        <v>100</v>
      </c>
      <c r="N20" s="170">
        <v>100</v>
      </c>
      <c r="O20" s="170">
        <v>100</v>
      </c>
      <c r="P20" s="170">
        <v>100</v>
      </c>
      <c r="Q20" s="174">
        <v>100</v>
      </c>
    </row>
    <row r="21" spans="2:18" ht="26.1" customHeight="1" thickTop="1" thickBot="1" x14ac:dyDescent="0.3">
      <c r="B21" s="275">
        <v>17</v>
      </c>
      <c r="C21" s="274" t="s">
        <v>758</v>
      </c>
      <c r="D21" s="185">
        <f t="shared" si="0"/>
        <v>900</v>
      </c>
      <c r="E21" s="392">
        <f t="shared" si="1"/>
        <v>18</v>
      </c>
      <c r="F21" s="170">
        <v>50</v>
      </c>
      <c r="G21" s="170">
        <v>50</v>
      </c>
      <c r="H21" s="170">
        <v>50</v>
      </c>
      <c r="I21" s="170">
        <v>50</v>
      </c>
      <c r="J21" s="170">
        <v>50</v>
      </c>
      <c r="K21" s="170">
        <v>50</v>
      </c>
      <c r="L21" s="170">
        <v>100</v>
      </c>
      <c r="M21" s="170">
        <v>100</v>
      </c>
      <c r="N21" s="170">
        <v>100</v>
      </c>
      <c r="O21" s="170">
        <v>100</v>
      </c>
      <c r="P21" s="170">
        <v>100</v>
      </c>
      <c r="Q21" s="174">
        <v>100</v>
      </c>
    </row>
    <row r="22" spans="2:18" ht="26.1" customHeight="1" thickTop="1" thickBot="1" x14ac:dyDescent="0.3">
      <c r="B22" s="273">
        <v>18</v>
      </c>
      <c r="C22" s="274" t="s">
        <v>213</v>
      </c>
      <c r="D22" s="185">
        <f t="shared" si="0"/>
        <v>900</v>
      </c>
      <c r="E22" s="392">
        <f t="shared" si="1"/>
        <v>18</v>
      </c>
      <c r="F22" s="170">
        <v>50</v>
      </c>
      <c r="G22" s="170">
        <v>50</v>
      </c>
      <c r="H22" s="170">
        <v>50</v>
      </c>
      <c r="I22" s="170">
        <v>50</v>
      </c>
      <c r="J22" s="170">
        <v>50</v>
      </c>
      <c r="K22" s="170">
        <v>50</v>
      </c>
      <c r="L22" s="170">
        <v>100</v>
      </c>
      <c r="M22" s="170">
        <v>100</v>
      </c>
      <c r="N22" s="170">
        <v>100</v>
      </c>
      <c r="O22" s="170">
        <v>100</v>
      </c>
      <c r="P22" s="170">
        <v>100</v>
      </c>
      <c r="Q22" s="174">
        <v>100</v>
      </c>
    </row>
    <row r="23" spans="2:18" ht="26.1" customHeight="1" thickTop="1" thickBot="1" x14ac:dyDescent="0.3">
      <c r="B23" s="275">
        <v>19</v>
      </c>
      <c r="C23" s="277" t="s">
        <v>68</v>
      </c>
      <c r="D23" s="185">
        <f>SUM(F23:Q23)</f>
        <v>400</v>
      </c>
      <c r="E23" s="392">
        <f>D23/$E$4</f>
        <v>8</v>
      </c>
      <c r="F23" s="170">
        <v>50</v>
      </c>
      <c r="G23" s="170">
        <v>50</v>
      </c>
      <c r="H23" s="170">
        <v>50</v>
      </c>
      <c r="I23" s="170">
        <v>50</v>
      </c>
      <c r="J23" s="170">
        <v>50</v>
      </c>
      <c r="K23" s="170">
        <v>50</v>
      </c>
      <c r="L23" s="170">
        <v>100</v>
      </c>
      <c r="M23" s="170"/>
      <c r="N23" s="170"/>
      <c r="O23" s="170"/>
      <c r="P23" s="170"/>
      <c r="Q23" s="174"/>
    </row>
    <row r="24" spans="2:18" ht="26.1" customHeight="1" thickTop="1" thickBot="1" x14ac:dyDescent="0.3">
      <c r="B24" s="273">
        <v>20</v>
      </c>
      <c r="C24" s="277" t="s">
        <v>76</v>
      </c>
      <c r="D24" s="185">
        <f t="shared" ref="D24" si="2">SUM(F24:Q24)</f>
        <v>300</v>
      </c>
      <c r="E24" s="392">
        <f t="shared" si="1"/>
        <v>6</v>
      </c>
      <c r="F24" s="170">
        <v>50</v>
      </c>
      <c r="G24" s="170">
        <v>50</v>
      </c>
      <c r="H24" s="170">
        <v>50</v>
      </c>
      <c r="I24" s="170">
        <v>50</v>
      </c>
      <c r="J24" s="170">
        <v>50</v>
      </c>
      <c r="K24" s="170">
        <v>50</v>
      </c>
      <c r="L24" s="170"/>
      <c r="M24" s="170"/>
      <c r="N24" s="170"/>
      <c r="O24" s="170"/>
      <c r="P24" s="170"/>
      <c r="Q24" s="174"/>
    </row>
    <row r="25" spans="2:18" ht="26.1" customHeight="1" thickTop="1" thickBot="1" x14ac:dyDescent="0.3">
      <c r="B25" s="187"/>
      <c r="C25" s="186"/>
      <c r="D25" s="185"/>
      <c r="E25" s="392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4"/>
      <c r="R25" s="79"/>
    </row>
    <row r="26" spans="2:18" ht="26.1" customHeight="1" thickTop="1" thickBot="1" x14ac:dyDescent="0.3">
      <c r="B26" s="188"/>
      <c r="C26" s="189"/>
      <c r="D26" s="190"/>
      <c r="E26" s="394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6"/>
    </row>
    <row r="27" spans="2:18" s="64" customFormat="1" ht="33" customHeight="1" thickBot="1" x14ac:dyDescent="0.45">
      <c r="B27" s="1048" t="s">
        <v>1</v>
      </c>
      <c r="C27" s="1049"/>
      <c r="D27" s="137">
        <f t="shared" ref="D27:Q27" si="3">SUBTOTAL(9,D5:D25)</f>
        <v>16900</v>
      </c>
      <c r="E27" s="389">
        <f t="shared" si="3"/>
        <v>338</v>
      </c>
      <c r="F27" s="137">
        <f t="shared" si="3"/>
        <v>1000</v>
      </c>
      <c r="G27" s="137">
        <f t="shared" si="3"/>
        <v>1000</v>
      </c>
      <c r="H27" s="137">
        <f t="shared" si="3"/>
        <v>1000</v>
      </c>
      <c r="I27" s="137">
        <f t="shared" si="3"/>
        <v>1000</v>
      </c>
      <c r="J27" s="137">
        <f t="shared" si="3"/>
        <v>1000</v>
      </c>
      <c r="K27" s="137">
        <f t="shared" si="3"/>
        <v>1000</v>
      </c>
      <c r="L27" s="137">
        <f t="shared" si="3"/>
        <v>1900</v>
      </c>
      <c r="M27" s="137">
        <f t="shared" si="3"/>
        <v>1800</v>
      </c>
      <c r="N27" s="137">
        <f t="shared" si="3"/>
        <v>1800</v>
      </c>
      <c r="O27" s="137">
        <f t="shared" si="3"/>
        <v>1800</v>
      </c>
      <c r="P27" s="137">
        <f t="shared" si="3"/>
        <v>1800</v>
      </c>
      <c r="Q27" s="137">
        <f t="shared" si="3"/>
        <v>1800</v>
      </c>
    </row>
    <row r="28" spans="2:18" s="68" customFormat="1" ht="30" customHeight="1" thickTop="1" thickBot="1" x14ac:dyDescent="0.45">
      <c r="B28" s="1046" t="s">
        <v>650</v>
      </c>
      <c r="C28" s="1047"/>
      <c r="D28" s="138">
        <f>COUNT(D5:D26)</f>
        <v>20</v>
      </c>
      <c r="E28" s="138">
        <f t="shared" ref="E28:Q28" si="4">COUNT(E5:E26)</f>
        <v>20</v>
      </c>
      <c r="F28" s="138">
        <f t="shared" si="4"/>
        <v>20</v>
      </c>
      <c r="G28" s="138">
        <f t="shared" si="4"/>
        <v>20</v>
      </c>
      <c r="H28" s="138">
        <f t="shared" si="4"/>
        <v>20</v>
      </c>
      <c r="I28" s="138">
        <f t="shared" si="4"/>
        <v>20</v>
      </c>
      <c r="J28" s="138">
        <f t="shared" si="4"/>
        <v>20</v>
      </c>
      <c r="K28" s="138">
        <f t="shared" si="4"/>
        <v>20</v>
      </c>
      <c r="L28" s="138">
        <f t="shared" si="4"/>
        <v>19</v>
      </c>
      <c r="M28" s="138">
        <f t="shared" si="4"/>
        <v>18</v>
      </c>
      <c r="N28" s="138">
        <f t="shared" si="4"/>
        <v>18</v>
      </c>
      <c r="O28" s="138">
        <f t="shared" si="4"/>
        <v>18</v>
      </c>
      <c r="P28" s="138">
        <f t="shared" si="4"/>
        <v>18</v>
      </c>
      <c r="Q28" s="138">
        <f t="shared" si="4"/>
        <v>18</v>
      </c>
      <c r="R28" s="64"/>
    </row>
    <row r="29" spans="2:18" ht="19.5" customHeight="1" thickTop="1" x14ac:dyDescent="0.25"/>
  </sheetData>
  <autoFilter ref="B4:Q24" xr:uid="{00000000-0009-0000-0000-00000C000000}"/>
  <sortState xmlns:xlrd2="http://schemas.microsoft.com/office/spreadsheetml/2017/richdata2" ref="C5:D22">
    <sortCondition ref="C5:C22"/>
  </sortState>
  <mergeCells count="3">
    <mergeCell ref="B2:D2"/>
    <mergeCell ref="B27:C27"/>
    <mergeCell ref="B28:C28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R33"/>
  <sheetViews>
    <sheetView topLeftCell="A7" zoomScale="90" zoomScaleNormal="90" workbookViewId="0"/>
  </sheetViews>
  <sheetFormatPr defaultColWidth="9.140625" defaultRowHeight="18" x14ac:dyDescent="0.25"/>
  <cols>
    <col min="1" max="1" width="3.5703125" style="77" customWidth="1"/>
    <col min="2" max="2" width="8.85546875" style="76" customWidth="1"/>
    <col min="3" max="3" width="48.28515625" style="77" bestFit="1" customWidth="1"/>
    <col min="4" max="4" width="21.7109375" style="77" bestFit="1" customWidth="1"/>
    <col min="5" max="5" width="17.28515625" style="390" bestFit="1" customWidth="1"/>
    <col min="6" max="17" width="19.5703125" style="77" bestFit="1" customWidth="1"/>
    <col min="18" max="18" width="6.5703125" style="77" customWidth="1"/>
    <col min="19" max="16384" width="9.140625" style="77"/>
  </cols>
  <sheetData>
    <row r="1" spans="1:17" ht="24.75" customHeight="1" x14ac:dyDescent="0.25">
      <c r="A1" s="89"/>
      <c r="E1" s="77"/>
    </row>
    <row r="2" spans="1:17" s="70" customFormat="1" ht="47.25" thickBot="1" x14ac:dyDescent="0.8">
      <c r="B2" s="1043" t="s">
        <v>494</v>
      </c>
      <c r="C2" s="1043"/>
      <c r="D2" s="1043"/>
      <c r="E2" s="387"/>
      <c r="F2" s="82"/>
      <c r="G2" s="82"/>
      <c r="H2" s="82"/>
      <c r="I2" s="82"/>
      <c r="J2" s="82"/>
      <c r="K2" s="82"/>
      <c r="L2" s="78"/>
    </row>
    <row r="3" spans="1:17" s="81" customFormat="1" ht="30" customHeight="1" thickTop="1" thickBot="1" x14ac:dyDescent="0.45">
      <c r="B3" s="182" t="s">
        <v>125</v>
      </c>
      <c r="C3" s="182" t="s">
        <v>483</v>
      </c>
      <c r="D3" s="182" t="s">
        <v>466</v>
      </c>
      <c r="E3" s="182" t="s">
        <v>487</v>
      </c>
      <c r="F3" s="183">
        <v>45658</v>
      </c>
      <c r="G3" s="183">
        <v>45689</v>
      </c>
      <c r="H3" s="183">
        <v>45717</v>
      </c>
      <c r="I3" s="183">
        <v>45748</v>
      </c>
      <c r="J3" s="183">
        <v>45778</v>
      </c>
      <c r="K3" s="183">
        <v>45809</v>
      </c>
      <c r="L3" s="183">
        <v>45839</v>
      </c>
      <c r="M3" s="183">
        <v>45870</v>
      </c>
      <c r="N3" s="183">
        <v>45901</v>
      </c>
      <c r="O3" s="183">
        <v>45931</v>
      </c>
      <c r="P3" s="183">
        <v>45962</v>
      </c>
      <c r="Q3" s="183">
        <v>45992</v>
      </c>
    </row>
    <row r="4" spans="1:17" s="64" customFormat="1" ht="27.95" customHeight="1" thickTop="1" thickBot="1" x14ac:dyDescent="0.4">
      <c r="B4" s="152"/>
      <c r="C4" s="153"/>
      <c r="D4" s="153" t="s">
        <v>124</v>
      </c>
      <c r="E4" s="418">
        <v>50</v>
      </c>
      <c r="F4" s="153" t="s">
        <v>56</v>
      </c>
      <c r="G4" s="153" t="s">
        <v>56</v>
      </c>
      <c r="H4" s="153" t="s">
        <v>56</v>
      </c>
      <c r="I4" s="153" t="s">
        <v>56</v>
      </c>
      <c r="J4" s="153" t="s">
        <v>56</v>
      </c>
      <c r="K4" s="153" t="s">
        <v>56</v>
      </c>
      <c r="L4" s="153" t="s">
        <v>56</v>
      </c>
      <c r="M4" s="153" t="s">
        <v>56</v>
      </c>
      <c r="N4" s="153" t="s">
        <v>56</v>
      </c>
      <c r="O4" s="153" t="s">
        <v>56</v>
      </c>
      <c r="P4" s="153"/>
      <c r="Q4" s="154" t="s">
        <v>56</v>
      </c>
    </row>
    <row r="5" spans="1:17" ht="24" customHeight="1" thickTop="1" thickBot="1" x14ac:dyDescent="0.4">
      <c r="B5" s="264">
        <v>1</v>
      </c>
      <c r="C5" s="268" t="s">
        <v>620</v>
      </c>
      <c r="D5" s="269">
        <f t="shared" ref="D5:D21" si="0">SUM(F5:Q5)</f>
        <v>1200</v>
      </c>
      <c r="E5" s="395">
        <f t="shared" ref="E5:E21" si="1">D5/$E$4</f>
        <v>24</v>
      </c>
      <c r="F5" s="171">
        <v>100</v>
      </c>
      <c r="G5" s="171">
        <v>100</v>
      </c>
      <c r="H5" s="171">
        <v>100</v>
      </c>
      <c r="I5" s="171">
        <v>100</v>
      </c>
      <c r="J5" s="171">
        <v>100</v>
      </c>
      <c r="K5" s="171">
        <v>100</v>
      </c>
      <c r="L5" s="171">
        <v>100</v>
      </c>
      <c r="M5" s="171">
        <v>100</v>
      </c>
      <c r="N5" s="171">
        <v>100</v>
      </c>
      <c r="O5" s="171">
        <v>100</v>
      </c>
      <c r="P5" s="171">
        <v>100</v>
      </c>
      <c r="Q5" s="179">
        <v>100</v>
      </c>
    </row>
    <row r="6" spans="1:17" ht="24" customHeight="1" thickTop="1" thickBot="1" x14ac:dyDescent="0.4">
      <c r="B6" s="264">
        <v>2</v>
      </c>
      <c r="C6" s="265" t="s">
        <v>687</v>
      </c>
      <c r="D6" s="266">
        <f t="shared" si="0"/>
        <v>1200</v>
      </c>
      <c r="E6" s="395">
        <f t="shared" si="1"/>
        <v>24</v>
      </c>
      <c r="F6" s="177">
        <v>100</v>
      </c>
      <c r="G6" s="177">
        <v>100</v>
      </c>
      <c r="H6" s="177">
        <v>100</v>
      </c>
      <c r="I6" s="177">
        <v>100</v>
      </c>
      <c r="J6" s="177">
        <v>100</v>
      </c>
      <c r="K6" s="177">
        <v>100</v>
      </c>
      <c r="L6" s="177">
        <v>100</v>
      </c>
      <c r="M6" s="177">
        <v>100</v>
      </c>
      <c r="N6" s="177">
        <v>100</v>
      </c>
      <c r="O6" s="177">
        <v>100</v>
      </c>
      <c r="P6" s="177">
        <v>100</v>
      </c>
      <c r="Q6" s="178">
        <v>100</v>
      </c>
    </row>
    <row r="7" spans="1:17" ht="24" customHeight="1" thickTop="1" thickBot="1" x14ac:dyDescent="0.4">
      <c r="B7" s="264">
        <v>3</v>
      </c>
      <c r="C7" s="268" t="s">
        <v>458</v>
      </c>
      <c r="D7" s="269">
        <f t="shared" si="0"/>
        <v>1200</v>
      </c>
      <c r="E7" s="395">
        <f t="shared" si="1"/>
        <v>24</v>
      </c>
      <c r="F7" s="171">
        <v>100</v>
      </c>
      <c r="G7" s="171">
        <v>100</v>
      </c>
      <c r="H7" s="171">
        <v>100</v>
      </c>
      <c r="I7" s="171">
        <v>100</v>
      </c>
      <c r="J7" s="171">
        <v>100</v>
      </c>
      <c r="K7" s="171">
        <v>100</v>
      </c>
      <c r="L7" s="171">
        <v>100</v>
      </c>
      <c r="M7" s="171">
        <v>100</v>
      </c>
      <c r="N7" s="171">
        <v>100</v>
      </c>
      <c r="O7" s="171">
        <v>100</v>
      </c>
      <c r="P7" s="171">
        <v>100</v>
      </c>
      <c r="Q7" s="179">
        <v>100</v>
      </c>
    </row>
    <row r="8" spans="1:17" ht="24" customHeight="1" thickTop="1" thickBot="1" x14ac:dyDescent="0.4">
      <c r="B8" s="264">
        <v>4</v>
      </c>
      <c r="C8" s="268" t="s">
        <v>211</v>
      </c>
      <c r="D8" s="269">
        <f t="shared" si="0"/>
        <v>1200</v>
      </c>
      <c r="E8" s="395">
        <f t="shared" si="1"/>
        <v>24</v>
      </c>
      <c r="F8" s="171">
        <v>100</v>
      </c>
      <c r="G8" s="171">
        <v>100</v>
      </c>
      <c r="H8" s="171">
        <v>100</v>
      </c>
      <c r="I8" s="171">
        <v>100</v>
      </c>
      <c r="J8" s="171">
        <v>100</v>
      </c>
      <c r="K8" s="171">
        <v>100</v>
      </c>
      <c r="L8" s="171">
        <v>100</v>
      </c>
      <c r="M8" s="171">
        <v>100</v>
      </c>
      <c r="N8" s="171">
        <v>100</v>
      </c>
      <c r="O8" s="171">
        <v>100</v>
      </c>
      <c r="P8" s="171">
        <v>100</v>
      </c>
      <c r="Q8" s="179">
        <v>100</v>
      </c>
    </row>
    <row r="9" spans="1:17" ht="24" customHeight="1" thickTop="1" thickBot="1" x14ac:dyDescent="0.4">
      <c r="B9" s="264">
        <v>5</v>
      </c>
      <c r="C9" s="295" t="s">
        <v>186</v>
      </c>
      <c r="D9" s="266">
        <f t="shared" si="0"/>
        <v>1200</v>
      </c>
      <c r="E9" s="395">
        <f t="shared" si="1"/>
        <v>24</v>
      </c>
      <c r="F9" s="296">
        <v>100</v>
      </c>
      <c r="G9" s="296">
        <v>100</v>
      </c>
      <c r="H9" s="296">
        <v>100</v>
      </c>
      <c r="I9" s="296">
        <v>100</v>
      </c>
      <c r="J9" s="296">
        <v>100</v>
      </c>
      <c r="K9" s="296">
        <v>100</v>
      </c>
      <c r="L9" s="296">
        <v>100</v>
      </c>
      <c r="M9" s="296">
        <v>100</v>
      </c>
      <c r="N9" s="296">
        <v>100</v>
      </c>
      <c r="O9" s="296">
        <v>100</v>
      </c>
      <c r="P9" s="296">
        <v>100</v>
      </c>
      <c r="Q9" s="297">
        <v>100</v>
      </c>
    </row>
    <row r="10" spans="1:17" ht="24" customHeight="1" thickTop="1" thickBot="1" x14ac:dyDescent="0.4">
      <c r="B10" s="264">
        <v>6</v>
      </c>
      <c r="C10" s="268" t="s">
        <v>351</v>
      </c>
      <c r="D10" s="269">
        <f t="shared" si="0"/>
        <v>1200</v>
      </c>
      <c r="E10" s="395">
        <f t="shared" si="1"/>
        <v>24</v>
      </c>
      <c r="F10" s="171">
        <v>100</v>
      </c>
      <c r="G10" s="171">
        <v>100</v>
      </c>
      <c r="H10" s="171">
        <v>100</v>
      </c>
      <c r="I10" s="171">
        <v>100</v>
      </c>
      <c r="J10" s="171">
        <v>100</v>
      </c>
      <c r="K10" s="171">
        <v>100</v>
      </c>
      <c r="L10" s="171">
        <v>100</v>
      </c>
      <c r="M10" s="171">
        <v>100</v>
      </c>
      <c r="N10" s="171">
        <v>100</v>
      </c>
      <c r="O10" s="171">
        <v>100</v>
      </c>
      <c r="P10" s="171">
        <v>100</v>
      </c>
      <c r="Q10" s="179">
        <v>100</v>
      </c>
    </row>
    <row r="11" spans="1:17" ht="24" customHeight="1" thickTop="1" thickBot="1" x14ac:dyDescent="0.4">
      <c r="B11" s="264">
        <v>7</v>
      </c>
      <c r="C11" s="268" t="s">
        <v>232</v>
      </c>
      <c r="D11" s="269">
        <f t="shared" si="0"/>
        <v>1200</v>
      </c>
      <c r="E11" s="395">
        <f t="shared" si="1"/>
        <v>24</v>
      </c>
      <c r="F11" s="171">
        <v>100</v>
      </c>
      <c r="G11" s="171">
        <v>100</v>
      </c>
      <c r="H11" s="171">
        <v>100</v>
      </c>
      <c r="I11" s="171">
        <v>100</v>
      </c>
      <c r="J11" s="171">
        <v>100</v>
      </c>
      <c r="K11" s="171">
        <v>100</v>
      </c>
      <c r="L11" s="171">
        <v>100</v>
      </c>
      <c r="M11" s="171">
        <v>100</v>
      </c>
      <c r="N11" s="171">
        <v>100</v>
      </c>
      <c r="O11" s="171">
        <v>100</v>
      </c>
      <c r="P11" s="171">
        <v>100</v>
      </c>
      <c r="Q11" s="179">
        <v>100</v>
      </c>
    </row>
    <row r="12" spans="1:17" ht="24" customHeight="1" thickTop="1" thickBot="1" x14ac:dyDescent="0.4">
      <c r="B12" s="264">
        <v>8</v>
      </c>
      <c r="C12" s="268" t="s">
        <v>410</v>
      </c>
      <c r="D12" s="269">
        <f t="shared" si="0"/>
        <v>1200</v>
      </c>
      <c r="E12" s="395">
        <f t="shared" si="1"/>
        <v>24</v>
      </c>
      <c r="F12" s="171">
        <v>100</v>
      </c>
      <c r="G12" s="171">
        <v>100</v>
      </c>
      <c r="H12" s="171">
        <v>100</v>
      </c>
      <c r="I12" s="171">
        <v>100</v>
      </c>
      <c r="J12" s="171">
        <v>100</v>
      </c>
      <c r="K12" s="171">
        <v>100</v>
      </c>
      <c r="L12" s="171">
        <v>100</v>
      </c>
      <c r="M12" s="171">
        <v>100</v>
      </c>
      <c r="N12" s="171">
        <v>100</v>
      </c>
      <c r="O12" s="171">
        <v>100</v>
      </c>
      <c r="P12" s="171">
        <v>100</v>
      </c>
      <c r="Q12" s="179">
        <v>100</v>
      </c>
    </row>
    <row r="13" spans="1:17" ht="24" customHeight="1" thickTop="1" thickBot="1" x14ac:dyDescent="0.4">
      <c r="B13" s="264">
        <v>9</v>
      </c>
      <c r="C13" s="268" t="s">
        <v>346</v>
      </c>
      <c r="D13" s="269">
        <f t="shared" si="0"/>
        <v>1200</v>
      </c>
      <c r="E13" s="395">
        <f t="shared" si="1"/>
        <v>24</v>
      </c>
      <c r="F13" s="171">
        <v>100</v>
      </c>
      <c r="G13" s="171">
        <v>100</v>
      </c>
      <c r="H13" s="171">
        <v>100</v>
      </c>
      <c r="I13" s="171">
        <v>100</v>
      </c>
      <c r="J13" s="171">
        <v>100</v>
      </c>
      <c r="K13" s="171">
        <v>100</v>
      </c>
      <c r="L13" s="171">
        <v>100</v>
      </c>
      <c r="M13" s="171">
        <v>100</v>
      </c>
      <c r="N13" s="171">
        <v>100</v>
      </c>
      <c r="O13" s="171">
        <v>100</v>
      </c>
      <c r="P13" s="171">
        <v>100</v>
      </c>
      <c r="Q13" s="179">
        <v>100</v>
      </c>
    </row>
    <row r="14" spans="1:17" ht="24" customHeight="1" thickTop="1" thickBot="1" x14ac:dyDescent="0.4">
      <c r="B14" s="264">
        <v>10</v>
      </c>
      <c r="C14" s="270" t="s">
        <v>62</v>
      </c>
      <c r="D14" s="269">
        <f t="shared" si="0"/>
        <v>1200</v>
      </c>
      <c r="E14" s="395">
        <f t="shared" si="1"/>
        <v>24</v>
      </c>
      <c r="F14" s="171">
        <v>100</v>
      </c>
      <c r="G14" s="171">
        <v>100</v>
      </c>
      <c r="H14" s="171">
        <v>100</v>
      </c>
      <c r="I14" s="171">
        <v>100</v>
      </c>
      <c r="J14" s="171">
        <v>100</v>
      </c>
      <c r="K14" s="171">
        <v>100</v>
      </c>
      <c r="L14" s="171">
        <v>100</v>
      </c>
      <c r="M14" s="171">
        <v>100</v>
      </c>
      <c r="N14" s="171">
        <v>100</v>
      </c>
      <c r="O14" s="171">
        <v>100</v>
      </c>
      <c r="P14" s="171">
        <v>100</v>
      </c>
      <c r="Q14" s="179">
        <v>100</v>
      </c>
    </row>
    <row r="15" spans="1:17" ht="24" customHeight="1" thickTop="1" thickBot="1" x14ac:dyDescent="0.4">
      <c r="B15" s="264">
        <v>11</v>
      </c>
      <c r="C15" s="268" t="s">
        <v>212</v>
      </c>
      <c r="D15" s="269">
        <f t="shared" si="0"/>
        <v>1200</v>
      </c>
      <c r="E15" s="395">
        <f t="shared" si="1"/>
        <v>24</v>
      </c>
      <c r="F15" s="171">
        <v>100</v>
      </c>
      <c r="G15" s="171">
        <v>100</v>
      </c>
      <c r="H15" s="171">
        <v>100</v>
      </c>
      <c r="I15" s="171">
        <v>100</v>
      </c>
      <c r="J15" s="171">
        <v>100</v>
      </c>
      <c r="K15" s="171">
        <v>100</v>
      </c>
      <c r="L15" s="171">
        <v>100</v>
      </c>
      <c r="M15" s="171">
        <v>100</v>
      </c>
      <c r="N15" s="171">
        <v>100</v>
      </c>
      <c r="O15" s="171">
        <v>100</v>
      </c>
      <c r="P15" s="171">
        <v>100</v>
      </c>
      <c r="Q15" s="179">
        <v>100</v>
      </c>
    </row>
    <row r="16" spans="1:17" ht="24" customHeight="1" thickTop="1" thickBot="1" x14ac:dyDescent="0.4">
      <c r="B16" s="264">
        <v>12</v>
      </c>
      <c r="C16" s="270" t="s">
        <v>75</v>
      </c>
      <c r="D16" s="269">
        <f t="shared" si="0"/>
        <v>1200</v>
      </c>
      <c r="E16" s="395">
        <f t="shared" si="1"/>
        <v>24</v>
      </c>
      <c r="F16" s="171">
        <v>100</v>
      </c>
      <c r="G16" s="171">
        <v>100</v>
      </c>
      <c r="H16" s="171">
        <v>100</v>
      </c>
      <c r="I16" s="171">
        <v>100</v>
      </c>
      <c r="J16" s="171">
        <v>100</v>
      </c>
      <c r="K16" s="171">
        <v>100</v>
      </c>
      <c r="L16" s="171">
        <v>100</v>
      </c>
      <c r="M16" s="171">
        <v>100</v>
      </c>
      <c r="N16" s="171">
        <v>100</v>
      </c>
      <c r="O16" s="171">
        <v>100</v>
      </c>
      <c r="P16" s="171">
        <v>100</v>
      </c>
      <c r="Q16" s="179">
        <v>100</v>
      </c>
    </row>
    <row r="17" spans="2:18" ht="24" customHeight="1" thickTop="1" thickBot="1" x14ac:dyDescent="0.4">
      <c r="B17" s="264">
        <v>13</v>
      </c>
      <c r="C17" s="268" t="s">
        <v>134</v>
      </c>
      <c r="D17" s="269">
        <f t="shared" si="0"/>
        <v>1200</v>
      </c>
      <c r="E17" s="395">
        <f t="shared" si="1"/>
        <v>24</v>
      </c>
      <c r="F17" s="171">
        <v>100</v>
      </c>
      <c r="G17" s="171">
        <v>100</v>
      </c>
      <c r="H17" s="171">
        <v>100</v>
      </c>
      <c r="I17" s="171">
        <v>100</v>
      </c>
      <c r="J17" s="171">
        <v>100</v>
      </c>
      <c r="K17" s="171">
        <v>100</v>
      </c>
      <c r="L17" s="171">
        <v>100</v>
      </c>
      <c r="M17" s="171">
        <v>100</v>
      </c>
      <c r="N17" s="171">
        <v>100</v>
      </c>
      <c r="O17" s="171">
        <v>100</v>
      </c>
      <c r="P17" s="171">
        <v>100</v>
      </c>
      <c r="Q17" s="179">
        <v>100</v>
      </c>
    </row>
    <row r="18" spans="2:18" ht="24" customHeight="1" thickTop="1" thickBot="1" x14ac:dyDescent="0.4">
      <c r="B18" s="264">
        <v>14</v>
      </c>
      <c r="C18" s="270" t="s">
        <v>524</v>
      </c>
      <c r="D18" s="269">
        <f t="shared" si="0"/>
        <v>1200</v>
      </c>
      <c r="E18" s="395">
        <f t="shared" si="1"/>
        <v>24</v>
      </c>
      <c r="F18" s="171">
        <v>100</v>
      </c>
      <c r="G18" s="171">
        <v>100</v>
      </c>
      <c r="H18" s="171">
        <v>100</v>
      </c>
      <c r="I18" s="171">
        <v>100</v>
      </c>
      <c r="J18" s="171">
        <v>100</v>
      </c>
      <c r="K18" s="171">
        <v>100</v>
      </c>
      <c r="L18" s="171">
        <v>100</v>
      </c>
      <c r="M18" s="171">
        <v>100</v>
      </c>
      <c r="N18" s="171">
        <v>100</v>
      </c>
      <c r="O18" s="171">
        <v>100</v>
      </c>
      <c r="P18" s="171">
        <v>100</v>
      </c>
      <c r="Q18" s="179">
        <v>100</v>
      </c>
    </row>
    <row r="19" spans="2:18" ht="24" customHeight="1" thickTop="1" thickBot="1" x14ac:dyDescent="0.4">
      <c r="B19" s="264">
        <v>15</v>
      </c>
      <c r="C19" s="270" t="s">
        <v>66</v>
      </c>
      <c r="D19" s="269">
        <f t="shared" si="0"/>
        <v>1200</v>
      </c>
      <c r="E19" s="395">
        <f t="shared" si="1"/>
        <v>24</v>
      </c>
      <c r="F19" s="171">
        <v>100</v>
      </c>
      <c r="G19" s="171">
        <v>100</v>
      </c>
      <c r="H19" s="171">
        <v>100</v>
      </c>
      <c r="I19" s="171">
        <v>100</v>
      </c>
      <c r="J19" s="171">
        <v>100</v>
      </c>
      <c r="K19" s="171">
        <v>100</v>
      </c>
      <c r="L19" s="171">
        <v>100</v>
      </c>
      <c r="M19" s="171">
        <v>100</v>
      </c>
      <c r="N19" s="171">
        <v>100</v>
      </c>
      <c r="O19" s="171">
        <v>100</v>
      </c>
      <c r="P19" s="171">
        <v>100</v>
      </c>
      <c r="Q19" s="179">
        <v>100</v>
      </c>
    </row>
    <row r="20" spans="2:18" ht="24" customHeight="1" thickTop="1" thickBot="1" x14ac:dyDescent="0.4">
      <c r="B20" s="264">
        <v>16</v>
      </c>
      <c r="C20" s="268" t="s">
        <v>758</v>
      </c>
      <c r="D20" s="269">
        <f t="shared" si="0"/>
        <v>1200</v>
      </c>
      <c r="E20" s="395">
        <f t="shared" si="1"/>
        <v>24</v>
      </c>
      <c r="F20" s="171">
        <v>100</v>
      </c>
      <c r="G20" s="171">
        <v>100</v>
      </c>
      <c r="H20" s="171">
        <v>100</v>
      </c>
      <c r="I20" s="171">
        <v>100</v>
      </c>
      <c r="J20" s="171">
        <v>100</v>
      </c>
      <c r="K20" s="171">
        <v>100</v>
      </c>
      <c r="L20" s="171">
        <v>100</v>
      </c>
      <c r="M20" s="171">
        <v>100</v>
      </c>
      <c r="N20" s="171">
        <v>100</v>
      </c>
      <c r="O20" s="171">
        <v>100</v>
      </c>
      <c r="P20" s="171">
        <v>100</v>
      </c>
      <c r="Q20" s="179">
        <v>100</v>
      </c>
    </row>
    <row r="21" spans="2:18" ht="24" customHeight="1" thickTop="1" thickBot="1" x14ac:dyDescent="0.4">
      <c r="B21" s="264">
        <v>17</v>
      </c>
      <c r="C21" s="268" t="s">
        <v>213</v>
      </c>
      <c r="D21" s="269">
        <f t="shared" si="0"/>
        <v>1200</v>
      </c>
      <c r="E21" s="395">
        <f t="shared" si="1"/>
        <v>24</v>
      </c>
      <c r="F21" s="171">
        <v>100</v>
      </c>
      <c r="G21" s="171">
        <v>100</v>
      </c>
      <c r="H21" s="171">
        <v>100</v>
      </c>
      <c r="I21" s="171">
        <v>100</v>
      </c>
      <c r="J21" s="171">
        <v>100</v>
      </c>
      <c r="K21" s="171">
        <v>100</v>
      </c>
      <c r="L21" s="171">
        <v>100</v>
      </c>
      <c r="M21" s="171">
        <v>100</v>
      </c>
      <c r="N21" s="171">
        <v>100</v>
      </c>
      <c r="O21" s="171">
        <v>100</v>
      </c>
      <c r="P21" s="171">
        <v>100</v>
      </c>
      <c r="Q21" s="179">
        <v>100</v>
      </c>
    </row>
    <row r="22" spans="2:18" ht="24" customHeight="1" thickTop="1" thickBot="1" x14ac:dyDescent="0.4">
      <c r="B22" s="264">
        <v>18</v>
      </c>
      <c r="C22" s="270" t="s">
        <v>158</v>
      </c>
      <c r="D22" s="269">
        <f t="shared" ref="D22:D25" si="2">SUM(F22:Q22)</f>
        <v>1200</v>
      </c>
      <c r="E22" s="395">
        <f t="shared" ref="E22:E25" si="3">D22/$E$4</f>
        <v>24</v>
      </c>
      <c r="F22" s="171">
        <v>100</v>
      </c>
      <c r="G22" s="171">
        <v>100</v>
      </c>
      <c r="H22" s="171">
        <v>100</v>
      </c>
      <c r="I22" s="171">
        <v>100</v>
      </c>
      <c r="J22" s="171">
        <v>100</v>
      </c>
      <c r="K22" s="171">
        <v>100</v>
      </c>
      <c r="L22" s="171">
        <v>100</v>
      </c>
      <c r="M22" s="171">
        <v>100</v>
      </c>
      <c r="N22" s="171">
        <v>100</v>
      </c>
      <c r="O22" s="171">
        <v>100</v>
      </c>
      <c r="P22" s="171">
        <v>100</v>
      </c>
      <c r="Q22" s="179">
        <v>100</v>
      </c>
    </row>
    <row r="23" spans="2:18" ht="24" customHeight="1" thickTop="1" thickBot="1" x14ac:dyDescent="0.4">
      <c r="B23" s="264">
        <v>19</v>
      </c>
      <c r="C23" s="268" t="s">
        <v>776</v>
      </c>
      <c r="D23" s="269">
        <f>SUM(F23:Q23)</f>
        <v>350</v>
      </c>
      <c r="E23" s="395">
        <f>D23/$E$4</f>
        <v>7</v>
      </c>
      <c r="F23" s="171">
        <v>100</v>
      </c>
      <c r="G23" s="171">
        <v>100</v>
      </c>
      <c r="H23" s="171">
        <v>100</v>
      </c>
      <c r="I23" s="171">
        <v>50</v>
      </c>
      <c r="J23" s="171"/>
      <c r="K23" s="171"/>
      <c r="L23" s="171"/>
      <c r="M23" s="171"/>
      <c r="N23" s="171"/>
      <c r="O23" s="171"/>
      <c r="P23" s="171"/>
      <c r="Q23" s="179"/>
    </row>
    <row r="24" spans="2:18" ht="24" customHeight="1" thickTop="1" thickBot="1" x14ac:dyDescent="0.4">
      <c r="B24" s="264">
        <v>20</v>
      </c>
      <c r="C24" s="268" t="s">
        <v>273</v>
      </c>
      <c r="D24" s="269">
        <f t="shared" si="2"/>
        <v>200</v>
      </c>
      <c r="E24" s="395">
        <f t="shared" si="3"/>
        <v>4</v>
      </c>
      <c r="F24" s="171">
        <v>100</v>
      </c>
      <c r="G24" s="171">
        <v>100</v>
      </c>
      <c r="H24" s="171"/>
      <c r="I24" s="171"/>
      <c r="J24" s="171"/>
      <c r="K24" s="171"/>
      <c r="L24" s="171"/>
      <c r="M24" s="171"/>
      <c r="N24" s="171"/>
      <c r="O24" s="171"/>
      <c r="P24" s="171"/>
      <c r="Q24" s="179"/>
    </row>
    <row r="25" spans="2:18" ht="24" customHeight="1" thickTop="1" thickBot="1" x14ac:dyDescent="0.4">
      <c r="B25" s="264">
        <v>21</v>
      </c>
      <c r="C25" s="268" t="s">
        <v>469</v>
      </c>
      <c r="D25" s="269">
        <f t="shared" si="2"/>
        <v>200</v>
      </c>
      <c r="E25" s="395">
        <f t="shared" si="3"/>
        <v>4</v>
      </c>
      <c r="F25" s="171">
        <v>100</v>
      </c>
      <c r="G25" s="171">
        <v>100</v>
      </c>
      <c r="H25" s="171"/>
      <c r="I25" s="171"/>
      <c r="J25" s="171"/>
      <c r="K25" s="171"/>
      <c r="L25" s="171"/>
      <c r="M25" s="171"/>
      <c r="N25" s="171"/>
      <c r="O25" s="171"/>
      <c r="P25" s="171"/>
      <c r="Q25" s="179"/>
    </row>
    <row r="26" spans="2:18" ht="24" customHeight="1" thickTop="1" thickBot="1" x14ac:dyDescent="0.4">
      <c r="B26" s="267"/>
      <c r="C26" s="268"/>
      <c r="D26" s="269"/>
      <c r="E26" s="396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9"/>
      <c r="R26" s="79"/>
    </row>
    <row r="27" spans="2:18" ht="24" customHeight="1" thickTop="1" thickBot="1" x14ac:dyDescent="0.4">
      <c r="B27" s="271"/>
      <c r="C27" s="272"/>
      <c r="D27" s="211"/>
      <c r="E27" s="397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1"/>
    </row>
    <row r="28" spans="2:18" s="81" customFormat="1" ht="33" customHeight="1" thickBot="1" x14ac:dyDescent="0.45">
      <c r="B28" s="1048" t="s">
        <v>1</v>
      </c>
      <c r="C28" s="1049"/>
      <c r="D28" s="399">
        <f t="shared" ref="D28:Q28" si="4">SUBTOTAL(9,D5:D27)</f>
        <v>22350</v>
      </c>
      <c r="E28" s="399">
        <f t="shared" si="4"/>
        <v>447</v>
      </c>
      <c r="F28" s="137">
        <f t="shared" si="4"/>
        <v>2100</v>
      </c>
      <c r="G28" s="137">
        <f t="shared" si="4"/>
        <v>2100</v>
      </c>
      <c r="H28" s="137">
        <f t="shared" si="4"/>
        <v>1900</v>
      </c>
      <c r="I28" s="137">
        <f t="shared" si="4"/>
        <v>1850</v>
      </c>
      <c r="J28" s="137">
        <f t="shared" si="4"/>
        <v>1800</v>
      </c>
      <c r="K28" s="137">
        <f t="shared" si="4"/>
        <v>1800</v>
      </c>
      <c r="L28" s="137">
        <f t="shared" si="4"/>
        <v>1800</v>
      </c>
      <c r="M28" s="137">
        <f t="shared" si="4"/>
        <v>1800</v>
      </c>
      <c r="N28" s="137">
        <f t="shared" si="4"/>
        <v>1800</v>
      </c>
      <c r="O28" s="137">
        <f t="shared" si="4"/>
        <v>1800</v>
      </c>
      <c r="P28" s="137">
        <f t="shared" si="4"/>
        <v>1800</v>
      </c>
      <c r="Q28" s="137">
        <f t="shared" si="4"/>
        <v>1800</v>
      </c>
    </row>
    <row r="29" spans="2:18" s="248" customFormat="1" ht="30" customHeight="1" thickTop="1" thickBot="1" x14ac:dyDescent="0.45">
      <c r="B29" s="1046" t="s">
        <v>650</v>
      </c>
      <c r="C29" s="1047"/>
      <c r="D29" s="138">
        <f t="shared" ref="D29:Q29" si="5">COUNTIF(D5:D27,"&gt;0")</f>
        <v>21</v>
      </c>
      <c r="E29" s="138">
        <f t="shared" si="5"/>
        <v>21</v>
      </c>
      <c r="F29" s="138">
        <f t="shared" si="5"/>
        <v>21</v>
      </c>
      <c r="G29" s="138">
        <f t="shared" si="5"/>
        <v>21</v>
      </c>
      <c r="H29" s="138">
        <f t="shared" si="5"/>
        <v>19</v>
      </c>
      <c r="I29" s="138">
        <f t="shared" si="5"/>
        <v>19</v>
      </c>
      <c r="J29" s="138">
        <f t="shared" si="5"/>
        <v>18</v>
      </c>
      <c r="K29" s="138">
        <f t="shared" si="5"/>
        <v>18</v>
      </c>
      <c r="L29" s="138">
        <f t="shared" si="5"/>
        <v>18</v>
      </c>
      <c r="M29" s="138">
        <f t="shared" si="5"/>
        <v>18</v>
      </c>
      <c r="N29" s="138">
        <f t="shared" si="5"/>
        <v>18</v>
      </c>
      <c r="O29" s="138">
        <f t="shared" si="5"/>
        <v>18</v>
      </c>
      <c r="P29" s="138">
        <f t="shared" si="5"/>
        <v>18</v>
      </c>
      <c r="Q29" s="138">
        <f t="shared" si="5"/>
        <v>18</v>
      </c>
      <c r="R29" s="81"/>
    </row>
    <row r="30" spans="2:18" ht="19.5" customHeight="1" thickTop="1" x14ac:dyDescent="0.25"/>
    <row r="33" spans="4:5" x14ac:dyDescent="0.25">
      <c r="D33" s="216"/>
      <c r="E33" s="398"/>
    </row>
  </sheetData>
  <autoFilter ref="B4:Q25" xr:uid="{00000000-0009-0000-0000-00000D000000}"/>
  <sortState xmlns:xlrd2="http://schemas.microsoft.com/office/spreadsheetml/2017/richdata2" ref="C5:Q21">
    <sortCondition ref="C5:C21"/>
  </sortState>
  <mergeCells count="3">
    <mergeCell ref="B2:D2"/>
    <mergeCell ref="B28:C28"/>
    <mergeCell ref="B29:C29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1"/>
  </sheetPr>
  <dimension ref="A1:R28"/>
  <sheetViews>
    <sheetView workbookViewId="0">
      <selection activeCell="A10" sqref="A10"/>
    </sheetView>
  </sheetViews>
  <sheetFormatPr defaultColWidth="9.140625" defaultRowHeight="18" x14ac:dyDescent="0.25"/>
  <cols>
    <col min="1" max="1" width="3.5703125" style="77" customWidth="1"/>
    <col min="2" max="2" width="8.85546875" style="76" customWidth="1"/>
    <col min="3" max="3" width="48.28515625" style="77" bestFit="1" customWidth="1"/>
    <col min="4" max="4" width="21.7109375" style="77" bestFit="1" customWidth="1"/>
    <col min="5" max="5" width="16.85546875" style="390" bestFit="1" customWidth="1"/>
    <col min="6" max="14" width="19.5703125" style="77" bestFit="1" customWidth="1"/>
    <col min="15" max="17" width="16.28515625" style="77" customWidth="1"/>
    <col min="18" max="18" width="6.5703125" style="77" customWidth="1"/>
    <col min="19" max="16384" width="9.140625" style="77"/>
  </cols>
  <sheetData>
    <row r="1" spans="1:17" ht="24.75" customHeight="1" x14ac:dyDescent="0.25">
      <c r="A1" s="89"/>
      <c r="E1" s="77"/>
    </row>
    <row r="2" spans="1:17" s="70" customFormat="1" ht="47.25" thickBot="1" x14ac:dyDescent="0.8">
      <c r="B2" s="1043" t="s">
        <v>496</v>
      </c>
      <c r="C2" s="1043"/>
      <c r="D2" s="1043"/>
      <c r="E2" s="387"/>
      <c r="F2" s="82"/>
      <c r="G2" s="82"/>
      <c r="H2" s="82"/>
      <c r="I2" s="82"/>
      <c r="J2" s="82"/>
      <c r="K2" s="82"/>
      <c r="L2" s="78"/>
    </row>
    <row r="3" spans="1:17" s="81" customFormat="1" ht="30" customHeight="1" thickTop="1" thickBot="1" x14ac:dyDescent="0.45">
      <c r="B3" s="182" t="s">
        <v>125</v>
      </c>
      <c r="C3" s="182" t="s">
        <v>483</v>
      </c>
      <c r="D3" s="182" t="s">
        <v>466</v>
      </c>
      <c r="E3" s="182" t="s">
        <v>487</v>
      </c>
      <c r="F3" s="183">
        <v>46023</v>
      </c>
      <c r="G3" s="183">
        <v>46054</v>
      </c>
      <c r="H3" s="183">
        <v>46082</v>
      </c>
      <c r="I3" s="183">
        <v>46113</v>
      </c>
      <c r="J3" s="183">
        <v>46143</v>
      </c>
      <c r="K3" s="183">
        <v>46174</v>
      </c>
      <c r="L3" s="183">
        <v>46204</v>
      </c>
      <c r="M3" s="183">
        <v>46235</v>
      </c>
      <c r="N3" s="183">
        <v>46266</v>
      </c>
      <c r="O3" s="183">
        <v>46296</v>
      </c>
      <c r="P3" s="183">
        <v>46327</v>
      </c>
      <c r="Q3" s="183">
        <v>46357</v>
      </c>
    </row>
    <row r="4" spans="1:17" s="64" customFormat="1" ht="27.95" customHeight="1" thickTop="1" thickBot="1" x14ac:dyDescent="0.4">
      <c r="B4" s="152"/>
      <c r="C4" s="153"/>
      <c r="D4" s="153" t="s">
        <v>124</v>
      </c>
      <c r="E4" s="418">
        <v>50</v>
      </c>
      <c r="F4" s="153" t="s">
        <v>56</v>
      </c>
      <c r="G4" s="153" t="s">
        <v>56</v>
      </c>
      <c r="H4" s="153" t="s">
        <v>56</v>
      </c>
      <c r="I4" s="153" t="s">
        <v>56</v>
      </c>
      <c r="J4" s="153" t="s">
        <v>56</v>
      </c>
      <c r="K4" s="153" t="s">
        <v>56</v>
      </c>
      <c r="L4" s="153" t="s">
        <v>56</v>
      </c>
      <c r="M4" s="153" t="s">
        <v>56</v>
      </c>
      <c r="N4" s="153" t="s">
        <v>56</v>
      </c>
      <c r="O4" s="153" t="s">
        <v>56</v>
      </c>
      <c r="P4" s="153"/>
      <c r="Q4" s="154" t="s">
        <v>56</v>
      </c>
    </row>
    <row r="5" spans="1:17" ht="24" customHeight="1" thickBot="1" x14ac:dyDescent="0.4">
      <c r="B5" s="264">
        <v>1</v>
      </c>
      <c r="C5" s="265" t="s">
        <v>186</v>
      </c>
      <c r="D5" s="266">
        <f t="shared" ref="D5:D23" si="0">SUM(F5:Q5)</f>
        <v>1200</v>
      </c>
      <c r="E5" s="395">
        <f t="shared" ref="E5:E23" si="1">D5/$E$4</f>
        <v>24</v>
      </c>
      <c r="F5" s="177">
        <v>100</v>
      </c>
      <c r="G5" s="177">
        <v>100</v>
      </c>
      <c r="H5" s="177">
        <v>100</v>
      </c>
      <c r="I5" s="177">
        <v>100</v>
      </c>
      <c r="J5" s="177">
        <v>100</v>
      </c>
      <c r="K5" s="177">
        <v>100</v>
      </c>
      <c r="L5" s="177">
        <v>100</v>
      </c>
      <c r="M5" s="177">
        <v>100</v>
      </c>
      <c r="N5" s="177">
        <v>100</v>
      </c>
      <c r="O5" s="177">
        <v>100</v>
      </c>
      <c r="P5" s="177">
        <v>100</v>
      </c>
      <c r="Q5" s="178">
        <v>100</v>
      </c>
    </row>
    <row r="6" spans="1:17" ht="24" customHeight="1" thickTop="1" thickBot="1" x14ac:dyDescent="0.4">
      <c r="B6" s="264">
        <v>2</v>
      </c>
      <c r="C6" s="268" t="s">
        <v>351</v>
      </c>
      <c r="D6" s="269">
        <f t="shared" si="0"/>
        <v>1200</v>
      </c>
      <c r="E6" s="395">
        <f t="shared" si="1"/>
        <v>24</v>
      </c>
      <c r="F6" s="171">
        <v>100</v>
      </c>
      <c r="G6" s="171">
        <v>100</v>
      </c>
      <c r="H6" s="171">
        <v>100</v>
      </c>
      <c r="I6" s="171">
        <v>100</v>
      </c>
      <c r="J6" s="171">
        <v>100</v>
      </c>
      <c r="K6" s="171">
        <v>100</v>
      </c>
      <c r="L6" s="171">
        <v>100</v>
      </c>
      <c r="M6" s="171">
        <v>100</v>
      </c>
      <c r="N6" s="171">
        <v>100</v>
      </c>
      <c r="O6" s="171">
        <v>100</v>
      </c>
      <c r="P6" s="171">
        <v>100</v>
      </c>
      <c r="Q6" s="179">
        <v>100</v>
      </c>
    </row>
    <row r="7" spans="1:17" ht="24" customHeight="1" thickTop="1" thickBot="1" x14ac:dyDescent="0.4">
      <c r="B7" s="294">
        <v>3</v>
      </c>
      <c r="C7" s="270" t="s">
        <v>62</v>
      </c>
      <c r="D7" s="269">
        <f t="shared" si="0"/>
        <v>1200</v>
      </c>
      <c r="E7" s="395">
        <f t="shared" si="1"/>
        <v>24</v>
      </c>
      <c r="F7" s="171">
        <v>100</v>
      </c>
      <c r="G7" s="171">
        <v>100</v>
      </c>
      <c r="H7" s="171">
        <v>100</v>
      </c>
      <c r="I7" s="171">
        <v>100</v>
      </c>
      <c r="J7" s="171">
        <v>100</v>
      </c>
      <c r="K7" s="171">
        <v>100</v>
      </c>
      <c r="L7" s="171">
        <v>100</v>
      </c>
      <c r="M7" s="171">
        <v>100</v>
      </c>
      <c r="N7" s="171">
        <v>100</v>
      </c>
      <c r="O7" s="171">
        <v>100</v>
      </c>
      <c r="P7" s="171">
        <v>100</v>
      </c>
      <c r="Q7" s="179">
        <v>100</v>
      </c>
    </row>
    <row r="8" spans="1:17" ht="24" customHeight="1" thickTop="1" thickBot="1" x14ac:dyDescent="0.4">
      <c r="B8" s="264">
        <v>4</v>
      </c>
      <c r="C8" s="268" t="s">
        <v>134</v>
      </c>
      <c r="D8" s="269">
        <f t="shared" si="0"/>
        <v>1200</v>
      </c>
      <c r="E8" s="395">
        <f t="shared" si="1"/>
        <v>24</v>
      </c>
      <c r="F8" s="171">
        <v>100</v>
      </c>
      <c r="G8" s="171">
        <v>100</v>
      </c>
      <c r="H8" s="171">
        <v>100</v>
      </c>
      <c r="I8" s="171">
        <v>100</v>
      </c>
      <c r="J8" s="171">
        <v>100</v>
      </c>
      <c r="K8" s="171">
        <v>100</v>
      </c>
      <c r="L8" s="171">
        <v>100</v>
      </c>
      <c r="M8" s="171">
        <v>100</v>
      </c>
      <c r="N8" s="171">
        <v>100</v>
      </c>
      <c r="O8" s="171">
        <v>100</v>
      </c>
      <c r="P8" s="171">
        <v>100</v>
      </c>
      <c r="Q8" s="179">
        <v>100</v>
      </c>
    </row>
    <row r="9" spans="1:17" ht="24" customHeight="1" thickTop="1" thickBot="1" x14ac:dyDescent="0.4">
      <c r="B9" s="294">
        <v>5</v>
      </c>
      <c r="C9" s="295" t="s">
        <v>213</v>
      </c>
      <c r="D9" s="266">
        <f t="shared" si="0"/>
        <v>1200</v>
      </c>
      <c r="E9" s="395">
        <f t="shared" si="1"/>
        <v>24</v>
      </c>
      <c r="F9" s="296">
        <v>100</v>
      </c>
      <c r="G9" s="296">
        <v>100</v>
      </c>
      <c r="H9" s="296">
        <v>100</v>
      </c>
      <c r="I9" s="296">
        <v>100</v>
      </c>
      <c r="J9" s="296">
        <v>100</v>
      </c>
      <c r="K9" s="296">
        <v>100</v>
      </c>
      <c r="L9" s="296">
        <v>100</v>
      </c>
      <c r="M9" s="296">
        <v>100</v>
      </c>
      <c r="N9" s="296">
        <v>100</v>
      </c>
      <c r="O9" s="296">
        <v>100</v>
      </c>
      <c r="P9" s="296">
        <v>100</v>
      </c>
      <c r="Q9" s="297">
        <v>100</v>
      </c>
    </row>
    <row r="10" spans="1:17" ht="24" customHeight="1" thickTop="1" thickBot="1" x14ac:dyDescent="0.4">
      <c r="B10" s="264">
        <v>6</v>
      </c>
      <c r="C10" s="270" t="s">
        <v>75</v>
      </c>
      <c r="D10" s="269">
        <f>SUM(F10:Q10)</f>
        <v>1000</v>
      </c>
      <c r="E10" s="395">
        <f>D10/$E$4</f>
        <v>20</v>
      </c>
      <c r="F10" s="171">
        <v>100</v>
      </c>
      <c r="G10" s="171">
        <v>100</v>
      </c>
      <c r="H10" s="171">
        <v>100</v>
      </c>
      <c r="I10" s="171">
        <v>100</v>
      </c>
      <c r="J10" s="171">
        <v>100</v>
      </c>
      <c r="K10" s="171">
        <v>100</v>
      </c>
      <c r="L10" s="171">
        <v>100</v>
      </c>
      <c r="M10" s="171">
        <v>100</v>
      </c>
      <c r="N10" s="171">
        <v>100</v>
      </c>
      <c r="O10" s="171">
        <v>100</v>
      </c>
      <c r="P10" s="171"/>
      <c r="Q10" s="179"/>
    </row>
    <row r="11" spans="1:17" ht="24" customHeight="1" thickTop="1" thickBot="1" x14ac:dyDescent="0.4">
      <c r="B11" s="294">
        <v>7</v>
      </c>
      <c r="C11" s="270" t="s">
        <v>758</v>
      </c>
      <c r="D11" s="269">
        <f t="shared" si="0"/>
        <v>1000</v>
      </c>
      <c r="E11" s="395">
        <f t="shared" si="1"/>
        <v>20</v>
      </c>
      <c r="F11" s="171">
        <v>100</v>
      </c>
      <c r="G11" s="171">
        <v>100</v>
      </c>
      <c r="H11" s="171">
        <v>100</v>
      </c>
      <c r="I11" s="171">
        <v>100</v>
      </c>
      <c r="J11" s="171">
        <v>100</v>
      </c>
      <c r="K11" s="171">
        <v>100</v>
      </c>
      <c r="L11" s="171">
        <v>100</v>
      </c>
      <c r="M11" s="171">
        <v>100</v>
      </c>
      <c r="N11" s="171">
        <v>100</v>
      </c>
      <c r="O11" s="171">
        <v>100</v>
      </c>
      <c r="P11" s="171"/>
      <c r="Q11" s="179"/>
    </row>
    <row r="12" spans="1:17" ht="24" customHeight="1" thickTop="1" thickBot="1" x14ac:dyDescent="0.4">
      <c r="B12" s="264">
        <v>8</v>
      </c>
      <c r="C12" s="268" t="s">
        <v>620</v>
      </c>
      <c r="D12" s="269">
        <f t="shared" si="0"/>
        <v>900</v>
      </c>
      <c r="E12" s="395">
        <f t="shared" si="1"/>
        <v>18</v>
      </c>
      <c r="F12" s="171">
        <v>100</v>
      </c>
      <c r="G12" s="171">
        <v>100</v>
      </c>
      <c r="H12" s="171">
        <v>100</v>
      </c>
      <c r="I12" s="171">
        <v>100</v>
      </c>
      <c r="J12" s="171">
        <v>100</v>
      </c>
      <c r="K12" s="171">
        <v>100</v>
      </c>
      <c r="L12" s="171">
        <v>100</v>
      </c>
      <c r="M12" s="171">
        <v>100</v>
      </c>
      <c r="N12" s="171">
        <v>100</v>
      </c>
      <c r="O12" s="171"/>
      <c r="P12" s="171"/>
      <c r="Q12" s="171"/>
    </row>
    <row r="13" spans="1:17" ht="24" customHeight="1" thickTop="1" thickBot="1" x14ac:dyDescent="0.4">
      <c r="B13" s="294">
        <v>9</v>
      </c>
      <c r="C13" s="270" t="s">
        <v>1136</v>
      </c>
      <c r="D13" s="269">
        <f>SUM(F13:Q13)</f>
        <v>900</v>
      </c>
      <c r="E13" s="395">
        <f>D13/$E$4</f>
        <v>18</v>
      </c>
      <c r="F13" s="171">
        <v>100</v>
      </c>
      <c r="G13" s="171">
        <v>100</v>
      </c>
      <c r="H13" s="171">
        <v>100</v>
      </c>
      <c r="I13" s="171">
        <v>100</v>
      </c>
      <c r="J13" s="171">
        <v>100</v>
      </c>
      <c r="K13" s="171">
        <v>100</v>
      </c>
      <c r="L13" s="171">
        <v>100</v>
      </c>
      <c r="M13" s="171">
        <v>100</v>
      </c>
      <c r="N13" s="171">
        <v>100</v>
      </c>
      <c r="O13" s="171"/>
      <c r="P13" s="171"/>
      <c r="Q13" s="179"/>
    </row>
    <row r="14" spans="1:17" ht="24" customHeight="1" thickTop="1" thickBot="1" x14ac:dyDescent="0.4">
      <c r="B14" s="264">
        <v>10</v>
      </c>
      <c r="C14" s="268" t="s">
        <v>346</v>
      </c>
      <c r="D14" s="269">
        <f t="shared" si="0"/>
        <v>900</v>
      </c>
      <c r="E14" s="395">
        <f t="shared" si="1"/>
        <v>18</v>
      </c>
      <c r="F14" s="171">
        <v>100</v>
      </c>
      <c r="G14" s="171">
        <v>100</v>
      </c>
      <c r="H14" s="171">
        <v>100</v>
      </c>
      <c r="I14" s="171">
        <v>100</v>
      </c>
      <c r="J14" s="171">
        <v>100</v>
      </c>
      <c r="K14" s="171">
        <v>100</v>
      </c>
      <c r="L14" s="171">
        <v>100</v>
      </c>
      <c r="M14" s="171">
        <v>100</v>
      </c>
      <c r="N14" s="171">
        <v>100</v>
      </c>
      <c r="O14" s="171"/>
      <c r="P14" s="171"/>
      <c r="Q14" s="179"/>
    </row>
    <row r="15" spans="1:17" ht="24" customHeight="1" thickTop="1" thickBot="1" x14ac:dyDescent="0.4">
      <c r="B15" s="294">
        <v>11</v>
      </c>
      <c r="C15" s="268" t="s">
        <v>410</v>
      </c>
      <c r="D15" s="269">
        <f t="shared" si="0"/>
        <v>800</v>
      </c>
      <c r="E15" s="395">
        <f t="shared" si="1"/>
        <v>16</v>
      </c>
      <c r="F15" s="171">
        <v>100</v>
      </c>
      <c r="G15" s="171">
        <v>100</v>
      </c>
      <c r="H15" s="171">
        <v>100</v>
      </c>
      <c r="I15" s="171">
        <v>100</v>
      </c>
      <c r="J15" s="171">
        <v>100</v>
      </c>
      <c r="K15" s="171">
        <v>100</v>
      </c>
      <c r="L15" s="171">
        <v>100</v>
      </c>
      <c r="M15" s="171">
        <v>100</v>
      </c>
      <c r="N15" s="171"/>
      <c r="O15" s="171"/>
      <c r="P15" s="171"/>
      <c r="Q15" s="179"/>
    </row>
    <row r="16" spans="1:17" ht="24" customHeight="1" thickTop="1" thickBot="1" x14ac:dyDescent="0.4">
      <c r="B16" s="264">
        <v>12</v>
      </c>
      <c r="C16" s="270" t="s">
        <v>524</v>
      </c>
      <c r="D16" s="269">
        <f t="shared" si="0"/>
        <v>800</v>
      </c>
      <c r="E16" s="395">
        <f t="shared" si="1"/>
        <v>16</v>
      </c>
      <c r="F16" s="171">
        <v>100</v>
      </c>
      <c r="G16" s="171">
        <v>100</v>
      </c>
      <c r="H16" s="171">
        <v>100</v>
      </c>
      <c r="I16" s="171">
        <v>100</v>
      </c>
      <c r="J16" s="171">
        <v>100</v>
      </c>
      <c r="K16" s="171">
        <v>100</v>
      </c>
      <c r="L16" s="171">
        <v>100</v>
      </c>
      <c r="M16" s="171">
        <v>100</v>
      </c>
      <c r="N16" s="171"/>
      <c r="O16" s="171"/>
      <c r="P16" s="171"/>
      <c r="Q16" s="179"/>
    </row>
    <row r="17" spans="2:18" ht="24" customHeight="1" thickTop="1" thickBot="1" x14ac:dyDescent="0.4">
      <c r="B17" s="294">
        <v>13</v>
      </c>
      <c r="C17" s="268" t="s">
        <v>458</v>
      </c>
      <c r="D17" s="269">
        <f t="shared" si="0"/>
        <v>700</v>
      </c>
      <c r="E17" s="395">
        <f t="shared" si="1"/>
        <v>14</v>
      </c>
      <c r="F17" s="171">
        <v>100</v>
      </c>
      <c r="G17" s="171">
        <v>100</v>
      </c>
      <c r="H17" s="171">
        <v>100</v>
      </c>
      <c r="I17" s="171">
        <v>100</v>
      </c>
      <c r="J17" s="171">
        <v>100</v>
      </c>
      <c r="K17" s="171">
        <v>100</v>
      </c>
      <c r="L17" s="171">
        <v>100</v>
      </c>
      <c r="M17" s="171"/>
      <c r="N17" s="171"/>
      <c r="O17" s="171"/>
      <c r="P17" s="171"/>
      <c r="Q17" s="179"/>
    </row>
    <row r="18" spans="2:18" ht="24" customHeight="1" thickTop="1" thickBot="1" x14ac:dyDescent="0.4">
      <c r="B18" s="264">
        <v>14</v>
      </c>
      <c r="C18" s="268" t="s">
        <v>211</v>
      </c>
      <c r="D18" s="269">
        <f t="shared" si="0"/>
        <v>700</v>
      </c>
      <c r="E18" s="395">
        <f t="shared" si="1"/>
        <v>14</v>
      </c>
      <c r="F18" s="171">
        <v>100</v>
      </c>
      <c r="G18" s="171">
        <v>100</v>
      </c>
      <c r="H18" s="171">
        <v>100</v>
      </c>
      <c r="I18" s="171">
        <v>100</v>
      </c>
      <c r="J18" s="171">
        <v>100</v>
      </c>
      <c r="K18" s="171">
        <v>100</v>
      </c>
      <c r="L18" s="171">
        <v>100</v>
      </c>
      <c r="M18" s="171"/>
      <c r="N18" s="171"/>
      <c r="O18" s="171"/>
      <c r="P18" s="171"/>
      <c r="Q18" s="179"/>
    </row>
    <row r="19" spans="2:18" ht="24" customHeight="1" thickTop="1" thickBot="1" x14ac:dyDescent="0.4">
      <c r="B19" s="294">
        <v>15</v>
      </c>
      <c r="C19" s="268" t="s">
        <v>232</v>
      </c>
      <c r="D19" s="269">
        <f t="shared" si="0"/>
        <v>700</v>
      </c>
      <c r="E19" s="395">
        <f t="shared" si="1"/>
        <v>14</v>
      </c>
      <c r="F19" s="171">
        <v>100</v>
      </c>
      <c r="G19" s="171">
        <v>100</v>
      </c>
      <c r="H19" s="171">
        <v>100</v>
      </c>
      <c r="I19" s="171">
        <v>100</v>
      </c>
      <c r="J19" s="171">
        <v>100</v>
      </c>
      <c r="K19" s="171">
        <v>100</v>
      </c>
      <c r="L19" s="171">
        <v>100</v>
      </c>
      <c r="M19" s="171"/>
      <c r="N19" s="171"/>
      <c r="O19" s="171"/>
      <c r="P19" s="171"/>
      <c r="Q19" s="179"/>
    </row>
    <row r="20" spans="2:18" ht="24" customHeight="1" thickTop="1" thickBot="1" x14ac:dyDescent="0.4">
      <c r="B20" s="264">
        <v>16</v>
      </c>
      <c r="C20" s="270" t="s">
        <v>66</v>
      </c>
      <c r="D20" s="269">
        <f t="shared" si="0"/>
        <v>600</v>
      </c>
      <c r="E20" s="395">
        <f t="shared" si="1"/>
        <v>12</v>
      </c>
      <c r="F20" s="171">
        <v>100</v>
      </c>
      <c r="G20" s="171">
        <v>100</v>
      </c>
      <c r="H20" s="171">
        <v>100</v>
      </c>
      <c r="I20" s="171">
        <v>100</v>
      </c>
      <c r="J20" s="171">
        <v>100</v>
      </c>
      <c r="K20" s="171">
        <v>100</v>
      </c>
      <c r="L20" s="171"/>
      <c r="M20" s="171"/>
      <c r="N20" s="171"/>
      <c r="O20" s="171"/>
      <c r="P20" s="171"/>
      <c r="Q20" s="179"/>
    </row>
    <row r="21" spans="2:18" ht="24" customHeight="1" thickTop="1" thickBot="1" x14ac:dyDescent="0.4">
      <c r="B21" s="294">
        <v>17</v>
      </c>
      <c r="C21" s="268" t="s">
        <v>687</v>
      </c>
      <c r="D21" s="269">
        <f t="shared" si="0"/>
        <v>300</v>
      </c>
      <c r="E21" s="395">
        <f t="shared" si="1"/>
        <v>6</v>
      </c>
      <c r="F21" s="171">
        <v>100</v>
      </c>
      <c r="G21" s="171">
        <v>100</v>
      </c>
      <c r="H21" s="171">
        <v>100</v>
      </c>
      <c r="I21" s="171"/>
      <c r="J21" s="171"/>
      <c r="K21" s="171"/>
      <c r="L21" s="171"/>
      <c r="M21" s="171"/>
      <c r="N21" s="171"/>
      <c r="O21" s="171"/>
      <c r="P21" s="171"/>
      <c r="Q21" s="179"/>
    </row>
    <row r="22" spans="2:18" ht="24" customHeight="1" thickTop="1" thickBot="1" x14ac:dyDescent="0.4">
      <c r="B22" s="264">
        <v>18</v>
      </c>
      <c r="C22" s="268" t="s">
        <v>212</v>
      </c>
      <c r="D22" s="269">
        <f t="shared" si="0"/>
        <v>300</v>
      </c>
      <c r="E22" s="395">
        <f t="shared" si="1"/>
        <v>6</v>
      </c>
      <c r="F22" s="171">
        <v>100</v>
      </c>
      <c r="G22" s="171">
        <v>100</v>
      </c>
      <c r="H22" s="171">
        <v>100</v>
      </c>
      <c r="I22" s="171"/>
      <c r="J22" s="171"/>
      <c r="K22" s="171"/>
      <c r="L22" s="171"/>
      <c r="M22" s="171"/>
      <c r="N22" s="171"/>
      <c r="O22" s="171"/>
      <c r="P22" s="171"/>
      <c r="Q22" s="179"/>
    </row>
    <row r="23" spans="2:18" ht="24" customHeight="1" thickTop="1" thickBot="1" x14ac:dyDescent="0.4">
      <c r="B23" s="294">
        <v>19</v>
      </c>
      <c r="C23" s="268" t="s">
        <v>158</v>
      </c>
      <c r="D23" s="269">
        <f t="shared" si="0"/>
        <v>300</v>
      </c>
      <c r="E23" s="395">
        <f t="shared" si="1"/>
        <v>6</v>
      </c>
      <c r="F23" s="171">
        <v>100</v>
      </c>
      <c r="G23" s="171">
        <v>100</v>
      </c>
      <c r="H23" s="171">
        <v>100</v>
      </c>
      <c r="I23" s="171"/>
      <c r="J23" s="171"/>
      <c r="K23" s="171"/>
      <c r="L23" s="171"/>
      <c r="M23" s="171"/>
      <c r="N23" s="171"/>
      <c r="O23" s="171"/>
      <c r="P23" s="171"/>
      <c r="Q23" s="179"/>
      <c r="R23" s="79"/>
    </row>
    <row r="24" spans="2:18" ht="24" customHeight="1" thickTop="1" thickBot="1" x14ac:dyDescent="0.4">
      <c r="B24" s="985"/>
      <c r="C24" s="986"/>
      <c r="D24" s="987"/>
      <c r="E24" s="988"/>
      <c r="F24" s="989"/>
      <c r="G24" s="989"/>
      <c r="H24" s="989"/>
      <c r="I24" s="989"/>
      <c r="J24" s="989"/>
      <c r="K24" s="989"/>
      <c r="L24" s="989"/>
      <c r="M24" s="989"/>
      <c r="N24" s="989"/>
      <c r="O24" s="989"/>
      <c r="P24" s="989"/>
      <c r="Q24" s="990"/>
      <c r="R24" s="79"/>
    </row>
    <row r="25" spans="2:18" ht="24" customHeight="1" thickTop="1" thickBot="1" x14ac:dyDescent="0.4">
      <c r="B25" s="271"/>
      <c r="C25" s="272"/>
      <c r="D25" s="211"/>
      <c r="E25" s="397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1"/>
    </row>
    <row r="26" spans="2:18" s="81" customFormat="1" ht="33" customHeight="1" thickBot="1" x14ac:dyDescent="0.45">
      <c r="B26" s="1048" t="s">
        <v>1</v>
      </c>
      <c r="C26" s="1049"/>
      <c r="D26" s="137">
        <f t="shared" ref="D26:Q26" si="2">SUBTOTAL(9,D5:D25)</f>
        <v>15900</v>
      </c>
      <c r="E26" s="399">
        <f t="shared" si="2"/>
        <v>318</v>
      </c>
      <c r="F26" s="137">
        <f t="shared" si="2"/>
        <v>1900</v>
      </c>
      <c r="G26" s="137">
        <f t="shared" si="2"/>
        <v>1900</v>
      </c>
      <c r="H26" s="137">
        <f t="shared" si="2"/>
        <v>1900</v>
      </c>
      <c r="I26" s="137">
        <f t="shared" si="2"/>
        <v>1600</v>
      </c>
      <c r="J26" s="137">
        <f t="shared" si="2"/>
        <v>1600</v>
      </c>
      <c r="K26" s="137">
        <f t="shared" si="2"/>
        <v>1600</v>
      </c>
      <c r="L26" s="137">
        <f t="shared" si="2"/>
        <v>1500</v>
      </c>
      <c r="M26" s="137">
        <f t="shared" si="2"/>
        <v>1200</v>
      </c>
      <c r="N26" s="137">
        <f t="shared" si="2"/>
        <v>1000</v>
      </c>
      <c r="O26" s="137">
        <f t="shared" si="2"/>
        <v>700</v>
      </c>
      <c r="P26" s="137">
        <f t="shared" si="2"/>
        <v>500</v>
      </c>
      <c r="Q26" s="137">
        <f t="shared" si="2"/>
        <v>500</v>
      </c>
    </row>
    <row r="27" spans="2:18" s="248" customFormat="1" ht="30" customHeight="1" thickTop="1" thickBot="1" x14ac:dyDescent="0.45">
      <c r="B27" s="1046" t="s">
        <v>650</v>
      </c>
      <c r="C27" s="1047"/>
      <c r="D27" s="138">
        <f t="shared" ref="D27:Q27" si="3">COUNTIF(D5:D25,"&gt;0")</f>
        <v>19</v>
      </c>
      <c r="E27" s="138">
        <f t="shared" si="3"/>
        <v>19</v>
      </c>
      <c r="F27" s="138">
        <f t="shared" si="3"/>
        <v>19</v>
      </c>
      <c r="G27" s="138">
        <f t="shared" si="3"/>
        <v>19</v>
      </c>
      <c r="H27" s="138">
        <f t="shared" si="3"/>
        <v>19</v>
      </c>
      <c r="I27" s="138">
        <f t="shared" si="3"/>
        <v>16</v>
      </c>
      <c r="J27" s="138">
        <f t="shared" si="3"/>
        <v>16</v>
      </c>
      <c r="K27" s="138">
        <f t="shared" si="3"/>
        <v>16</v>
      </c>
      <c r="L27" s="138">
        <f t="shared" si="3"/>
        <v>15</v>
      </c>
      <c r="M27" s="138">
        <f t="shared" si="3"/>
        <v>12</v>
      </c>
      <c r="N27" s="138">
        <f t="shared" si="3"/>
        <v>10</v>
      </c>
      <c r="O27" s="138">
        <f t="shared" si="3"/>
        <v>7</v>
      </c>
      <c r="P27" s="138">
        <f t="shared" si="3"/>
        <v>5</v>
      </c>
      <c r="Q27" s="138">
        <f t="shared" si="3"/>
        <v>5</v>
      </c>
      <c r="R27" s="81"/>
    </row>
    <row r="28" spans="2:18" ht="19.5" customHeight="1" thickTop="1" x14ac:dyDescent="0.25"/>
  </sheetData>
  <autoFilter ref="B4:Q22" xr:uid="{00000000-0009-0000-0000-00000E000000}"/>
  <sortState xmlns:xlrd2="http://schemas.microsoft.com/office/spreadsheetml/2017/richdata2" ref="C5:Q23">
    <sortCondition descending="1" ref="D5:D23"/>
  </sortState>
  <mergeCells count="3">
    <mergeCell ref="B2:D2"/>
    <mergeCell ref="B26:C26"/>
    <mergeCell ref="B27:C27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1"/>
  </sheetPr>
  <dimension ref="A1:R32"/>
  <sheetViews>
    <sheetView workbookViewId="0">
      <selection activeCell="G17" sqref="G17"/>
    </sheetView>
  </sheetViews>
  <sheetFormatPr defaultColWidth="9.140625" defaultRowHeight="18" x14ac:dyDescent="0.25"/>
  <cols>
    <col min="1" max="1" width="3.5703125" style="77" customWidth="1"/>
    <col min="2" max="2" width="8.85546875" style="76" customWidth="1"/>
    <col min="3" max="3" width="48.28515625" style="77" bestFit="1" customWidth="1"/>
    <col min="4" max="4" width="19.85546875" style="77" bestFit="1" customWidth="1"/>
    <col min="5" max="5" width="13.7109375" style="390" bestFit="1" customWidth="1"/>
    <col min="6" max="7" width="17.28515625" style="77" bestFit="1" customWidth="1"/>
    <col min="8" max="17" width="16.28515625" style="77" customWidth="1"/>
    <col min="18" max="18" width="6.5703125" style="77" customWidth="1"/>
    <col min="19" max="16384" width="9.140625" style="77"/>
  </cols>
  <sheetData>
    <row r="1" spans="1:17" ht="24.75" customHeight="1" x14ac:dyDescent="0.25">
      <c r="A1" s="89"/>
      <c r="E1" s="77"/>
    </row>
    <row r="2" spans="1:17" s="70" customFormat="1" ht="47.25" thickBot="1" x14ac:dyDescent="0.8">
      <c r="B2" s="1043" t="s">
        <v>497</v>
      </c>
      <c r="C2" s="1043"/>
      <c r="D2" s="1043"/>
      <c r="E2" s="387"/>
      <c r="F2" s="82"/>
      <c r="G2" s="82"/>
      <c r="H2" s="82"/>
      <c r="I2" s="82"/>
      <c r="J2" s="82"/>
      <c r="K2" s="82"/>
      <c r="L2" s="78"/>
    </row>
    <row r="3" spans="1:17" s="81" customFormat="1" ht="30" customHeight="1" thickTop="1" thickBot="1" x14ac:dyDescent="0.45">
      <c r="B3" s="182" t="s">
        <v>125</v>
      </c>
      <c r="C3" s="182" t="s">
        <v>483</v>
      </c>
      <c r="D3" s="182" t="s">
        <v>466</v>
      </c>
      <c r="E3" s="182" t="s">
        <v>650</v>
      </c>
      <c r="F3" s="183">
        <v>46388</v>
      </c>
      <c r="G3" s="183">
        <v>46419</v>
      </c>
      <c r="H3" s="183">
        <v>46447</v>
      </c>
      <c r="I3" s="183">
        <v>46478</v>
      </c>
      <c r="J3" s="183">
        <v>46508</v>
      </c>
      <c r="K3" s="183">
        <v>46539</v>
      </c>
      <c r="L3" s="183">
        <v>46569</v>
      </c>
      <c r="M3" s="183">
        <v>46600</v>
      </c>
      <c r="N3" s="183">
        <v>46631</v>
      </c>
      <c r="O3" s="183">
        <v>46661</v>
      </c>
      <c r="P3" s="183">
        <v>46692</v>
      </c>
      <c r="Q3" s="183">
        <v>46722</v>
      </c>
    </row>
    <row r="4" spans="1:17" s="64" customFormat="1" ht="27.95" customHeight="1" thickTop="1" thickBot="1" x14ac:dyDescent="0.4">
      <c r="B4" s="152"/>
      <c r="C4" s="153"/>
      <c r="D4" s="153" t="s">
        <v>124</v>
      </c>
      <c r="E4" s="388"/>
      <c r="F4" s="153" t="s">
        <v>56</v>
      </c>
      <c r="G4" s="153" t="s">
        <v>56</v>
      </c>
      <c r="H4" s="153" t="s">
        <v>56</v>
      </c>
      <c r="I4" s="153" t="s">
        <v>56</v>
      </c>
      <c r="J4" s="153" t="s">
        <v>56</v>
      </c>
      <c r="K4" s="153" t="s">
        <v>56</v>
      </c>
      <c r="L4" s="153" t="s">
        <v>56</v>
      </c>
      <c r="M4" s="153" t="s">
        <v>56</v>
      </c>
      <c r="N4" s="153" t="s">
        <v>56</v>
      </c>
      <c r="O4" s="153" t="s">
        <v>56</v>
      </c>
      <c r="P4" s="153"/>
      <c r="Q4" s="154" t="s">
        <v>56</v>
      </c>
    </row>
    <row r="5" spans="1:17" ht="24" customHeight="1" thickBot="1" x14ac:dyDescent="0.4">
      <c r="B5" s="264">
        <v>1</v>
      </c>
      <c r="C5" s="265"/>
      <c r="D5" s="266">
        <f>SUM(F5:Q5)</f>
        <v>0</v>
      </c>
      <c r="E5" s="395">
        <f>COUNT(F5:Q5)</f>
        <v>0</v>
      </c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8"/>
    </row>
    <row r="6" spans="1:17" ht="24" customHeight="1" thickTop="1" thickBot="1" x14ac:dyDescent="0.4">
      <c r="B6" s="294">
        <v>2</v>
      </c>
      <c r="C6" s="295"/>
      <c r="D6" s="266">
        <f>SUM(F6:Q6)</f>
        <v>0</v>
      </c>
      <c r="E6" s="395">
        <f t="shared" ref="E6:E27" si="0">COUNT(F6:Q6)</f>
        <v>0</v>
      </c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7"/>
    </row>
    <row r="7" spans="1:17" ht="24" customHeight="1" thickTop="1" thickBot="1" x14ac:dyDescent="0.4">
      <c r="B7" s="267">
        <v>3</v>
      </c>
      <c r="C7" s="268"/>
      <c r="D7" s="269">
        <f t="shared" ref="D7:D27" si="1">SUM(F7:Q7)</f>
        <v>0</v>
      </c>
      <c r="E7" s="395">
        <f t="shared" si="0"/>
        <v>0</v>
      </c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9"/>
    </row>
    <row r="8" spans="1:17" ht="24" customHeight="1" thickTop="1" thickBot="1" x14ac:dyDescent="0.4">
      <c r="B8" s="294">
        <v>4</v>
      </c>
      <c r="C8" s="268"/>
      <c r="D8" s="269">
        <f t="shared" si="1"/>
        <v>0</v>
      </c>
      <c r="E8" s="395">
        <f t="shared" si="0"/>
        <v>0</v>
      </c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9"/>
    </row>
    <row r="9" spans="1:17" ht="24" customHeight="1" thickTop="1" thickBot="1" x14ac:dyDescent="0.4">
      <c r="B9" s="267">
        <v>5</v>
      </c>
      <c r="C9" s="268"/>
      <c r="D9" s="269">
        <f t="shared" si="1"/>
        <v>0</v>
      </c>
      <c r="E9" s="395">
        <f t="shared" si="0"/>
        <v>0</v>
      </c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9"/>
    </row>
    <row r="10" spans="1:17" ht="24" customHeight="1" thickTop="1" thickBot="1" x14ac:dyDescent="0.4">
      <c r="B10" s="294">
        <v>6</v>
      </c>
      <c r="C10" s="268"/>
      <c r="D10" s="269">
        <f t="shared" si="1"/>
        <v>0</v>
      </c>
      <c r="E10" s="395">
        <f t="shared" si="0"/>
        <v>0</v>
      </c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9"/>
    </row>
    <row r="11" spans="1:17" ht="24" customHeight="1" thickTop="1" thickBot="1" x14ac:dyDescent="0.4">
      <c r="B11" s="267">
        <v>7</v>
      </c>
      <c r="C11" s="268"/>
      <c r="D11" s="269">
        <f t="shared" si="1"/>
        <v>0</v>
      </c>
      <c r="E11" s="395">
        <f t="shared" si="0"/>
        <v>0</v>
      </c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9"/>
    </row>
    <row r="12" spans="1:17" ht="24" customHeight="1" thickTop="1" thickBot="1" x14ac:dyDescent="0.4">
      <c r="B12" s="294">
        <v>8</v>
      </c>
      <c r="C12" s="268"/>
      <c r="D12" s="269">
        <f t="shared" si="1"/>
        <v>0</v>
      </c>
      <c r="E12" s="395">
        <f t="shared" si="0"/>
        <v>0</v>
      </c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9"/>
    </row>
    <row r="13" spans="1:17" ht="24" customHeight="1" thickTop="1" thickBot="1" x14ac:dyDescent="0.4">
      <c r="B13" s="267">
        <v>9</v>
      </c>
      <c r="C13" s="268"/>
      <c r="D13" s="269">
        <f t="shared" si="1"/>
        <v>0</v>
      </c>
      <c r="E13" s="395">
        <f t="shared" si="0"/>
        <v>0</v>
      </c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9"/>
    </row>
    <row r="14" spans="1:17" ht="24" customHeight="1" thickTop="1" thickBot="1" x14ac:dyDescent="0.4">
      <c r="B14" s="294">
        <v>10</v>
      </c>
      <c r="C14" s="268"/>
      <c r="D14" s="269">
        <f t="shared" si="1"/>
        <v>0</v>
      </c>
      <c r="E14" s="395">
        <f t="shared" si="0"/>
        <v>0</v>
      </c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9"/>
    </row>
    <row r="15" spans="1:17" ht="24" customHeight="1" thickTop="1" thickBot="1" x14ac:dyDescent="0.4">
      <c r="B15" s="267">
        <v>11</v>
      </c>
      <c r="C15" s="268"/>
      <c r="D15" s="269">
        <f t="shared" si="1"/>
        <v>0</v>
      </c>
      <c r="E15" s="395">
        <f t="shared" si="0"/>
        <v>0</v>
      </c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9"/>
    </row>
    <row r="16" spans="1:17" ht="24" customHeight="1" thickTop="1" thickBot="1" x14ac:dyDescent="0.4">
      <c r="B16" s="294">
        <v>12</v>
      </c>
      <c r="C16" s="270"/>
      <c r="D16" s="269">
        <f t="shared" si="1"/>
        <v>0</v>
      </c>
      <c r="E16" s="395">
        <f t="shared" si="0"/>
        <v>0</v>
      </c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9"/>
    </row>
    <row r="17" spans="2:18" ht="24" customHeight="1" thickTop="1" thickBot="1" x14ac:dyDescent="0.4">
      <c r="B17" s="267">
        <v>13</v>
      </c>
      <c r="C17" s="270"/>
      <c r="D17" s="269">
        <f t="shared" si="1"/>
        <v>0</v>
      </c>
      <c r="E17" s="395">
        <f t="shared" si="0"/>
        <v>0</v>
      </c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9"/>
    </row>
    <row r="18" spans="2:18" ht="24" customHeight="1" thickTop="1" thickBot="1" x14ac:dyDescent="0.4">
      <c r="B18" s="294">
        <v>14</v>
      </c>
      <c r="C18" s="270"/>
      <c r="D18" s="269">
        <f t="shared" si="1"/>
        <v>0</v>
      </c>
      <c r="E18" s="395">
        <f t="shared" si="0"/>
        <v>0</v>
      </c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9"/>
    </row>
    <row r="19" spans="2:18" ht="24" customHeight="1" thickTop="1" thickBot="1" x14ac:dyDescent="0.4">
      <c r="B19" s="267">
        <v>15</v>
      </c>
      <c r="C19" s="268"/>
      <c r="D19" s="269">
        <f t="shared" si="1"/>
        <v>0</v>
      </c>
      <c r="E19" s="395">
        <f t="shared" si="0"/>
        <v>0</v>
      </c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9"/>
    </row>
    <row r="20" spans="2:18" ht="24" customHeight="1" thickTop="1" thickBot="1" x14ac:dyDescent="0.4">
      <c r="B20" s="294">
        <v>16</v>
      </c>
      <c r="C20" s="270"/>
      <c r="D20" s="269">
        <f t="shared" si="1"/>
        <v>0</v>
      </c>
      <c r="E20" s="395">
        <f t="shared" si="0"/>
        <v>0</v>
      </c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9"/>
    </row>
    <row r="21" spans="2:18" ht="24" customHeight="1" thickTop="1" thickBot="1" x14ac:dyDescent="0.4">
      <c r="B21" s="267">
        <v>17</v>
      </c>
      <c r="C21" s="268"/>
      <c r="D21" s="269">
        <f t="shared" si="1"/>
        <v>0</v>
      </c>
      <c r="E21" s="395">
        <f t="shared" si="0"/>
        <v>0</v>
      </c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9"/>
    </row>
    <row r="22" spans="2:18" ht="24" customHeight="1" thickTop="1" thickBot="1" x14ac:dyDescent="0.4">
      <c r="B22" s="294">
        <v>18</v>
      </c>
      <c r="C22" s="270"/>
      <c r="D22" s="269">
        <f t="shared" si="1"/>
        <v>0</v>
      </c>
      <c r="E22" s="395">
        <f t="shared" si="0"/>
        <v>0</v>
      </c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9"/>
    </row>
    <row r="23" spans="2:18" ht="24" customHeight="1" thickTop="1" thickBot="1" x14ac:dyDescent="0.4">
      <c r="B23" s="267">
        <v>19</v>
      </c>
      <c r="C23" s="270"/>
      <c r="D23" s="269">
        <f t="shared" si="1"/>
        <v>0</v>
      </c>
      <c r="E23" s="395">
        <f t="shared" si="0"/>
        <v>0</v>
      </c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9"/>
    </row>
    <row r="24" spans="2:18" ht="24" customHeight="1" thickTop="1" thickBot="1" x14ac:dyDescent="0.4">
      <c r="B24" s="294">
        <v>20</v>
      </c>
      <c r="C24" s="270"/>
      <c r="D24" s="269">
        <f t="shared" si="1"/>
        <v>0</v>
      </c>
      <c r="E24" s="395">
        <f t="shared" si="0"/>
        <v>0</v>
      </c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9"/>
    </row>
    <row r="25" spans="2:18" ht="24" customHeight="1" thickTop="1" thickBot="1" x14ac:dyDescent="0.4">
      <c r="B25" s="267">
        <v>21</v>
      </c>
      <c r="C25" s="268"/>
      <c r="D25" s="269">
        <f t="shared" si="1"/>
        <v>0</v>
      </c>
      <c r="E25" s="395">
        <f t="shared" si="0"/>
        <v>0</v>
      </c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9"/>
    </row>
    <row r="26" spans="2:18" ht="24" customHeight="1" thickTop="1" thickBot="1" x14ac:dyDescent="0.4">
      <c r="B26" s="294">
        <v>22</v>
      </c>
      <c r="C26" s="268"/>
      <c r="D26" s="269">
        <f t="shared" si="1"/>
        <v>0</v>
      </c>
      <c r="E26" s="395">
        <f t="shared" si="0"/>
        <v>0</v>
      </c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9"/>
    </row>
    <row r="27" spans="2:18" ht="24" customHeight="1" thickTop="1" thickBot="1" x14ac:dyDescent="0.4">
      <c r="B27" s="267">
        <v>23</v>
      </c>
      <c r="C27" s="268"/>
      <c r="D27" s="269">
        <f t="shared" si="1"/>
        <v>0</v>
      </c>
      <c r="E27" s="395">
        <f t="shared" si="0"/>
        <v>0</v>
      </c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9"/>
    </row>
    <row r="28" spans="2:18" ht="24" customHeight="1" thickTop="1" thickBot="1" x14ac:dyDescent="0.4">
      <c r="B28" s="267"/>
      <c r="C28" s="268"/>
      <c r="D28" s="269"/>
      <c r="E28" s="396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9"/>
      <c r="R28" s="79"/>
    </row>
    <row r="29" spans="2:18" ht="24" customHeight="1" thickTop="1" thickBot="1" x14ac:dyDescent="0.4">
      <c r="B29" s="271"/>
      <c r="C29" s="272"/>
      <c r="D29" s="211"/>
      <c r="E29" s="397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1"/>
    </row>
    <row r="30" spans="2:18" s="81" customFormat="1" ht="33" customHeight="1" thickBot="1" x14ac:dyDescent="0.45">
      <c r="B30" s="1048" t="s">
        <v>1</v>
      </c>
      <c r="C30" s="1049"/>
      <c r="D30" s="137">
        <f>SUBTOTAL(9,D5:D29)</f>
        <v>0</v>
      </c>
      <c r="E30" s="399">
        <f>SUBTOTAL(9,E5:E29)</f>
        <v>0</v>
      </c>
      <c r="F30" s="137">
        <f t="shared" ref="F30:Q30" si="2">SUBTOTAL(9,F5:F29)</f>
        <v>0</v>
      </c>
      <c r="G30" s="137">
        <f t="shared" si="2"/>
        <v>0</v>
      </c>
      <c r="H30" s="137">
        <f t="shared" si="2"/>
        <v>0</v>
      </c>
      <c r="I30" s="137">
        <f t="shared" si="2"/>
        <v>0</v>
      </c>
      <c r="J30" s="137">
        <f t="shared" si="2"/>
        <v>0</v>
      </c>
      <c r="K30" s="137">
        <f t="shared" si="2"/>
        <v>0</v>
      </c>
      <c r="L30" s="137">
        <f t="shared" si="2"/>
        <v>0</v>
      </c>
      <c r="M30" s="137">
        <f t="shared" si="2"/>
        <v>0</v>
      </c>
      <c r="N30" s="137">
        <f t="shared" si="2"/>
        <v>0</v>
      </c>
      <c r="O30" s="137">
        <f t="shared" si="2"/>
        <v>0</v>
      </c>
      <c r="P30" s="137">
        <f t="shared" si="2"/>
        <v>0</v>
      </c>
      <c r="Q30" s="137">
        <f t="shared" si="2"/>
        <v>0</v>
      </c>
    </row>
    <row r="31" spans="2:18" s="248" customFormat="1" ht="30" customHeight="1" thickTop="1" thickBot="1" x14ac:dyDescent="0.45">
      <c r="B31" s="1046" t="s">
        <v>650</v>
      </c>
      <c r="C31" s="1047"/>
      <c r="D31" s="138">
        <f t="shared" ref="D31:Q31" si="3">COUNTIF(D5:D29,"&gt;0")</f>
        <v>0</v>
      </c>
      <c r="E31" s="138">
        <f t="shared" ref="E31" si="4">COUNTIF(E5:E29,"&gt;0")</f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  <c r="J31" s="138">
        <f t="shared" si="3"/>
        <v>0</v>
      </c>
      <c r="K31" s="138">
        <f t="shared" si="3"/>
        <v>0</v>
      </c>
      <c r="L31" s="138">
        <f t="shared" si="3"/>
        <v>0</v>
      </c>
      <c r="M31" s="138">
        <f t="shared" si="3"/>
        <v>0</v>
      </c>
      <c r="N31" s="138">
        <f t="shared" si="3"/>
        <v>0</v>
      </c>
      <c r="O31" s="138">
        <f t="shared" si="3"/>
        <v>0</v>
      </c>
      <c r="P31" s="138">
        <f t="shared" si="3"/>
        <v>0</v>
      </c>
      <c r="Q31" s="138">
        <f t="shared" si="3"/>
        <v>0</v>
      </c>
      <c r="R31" s="81"/>
    </row>
    <row r="32" spans="2:18" ht="19.5" customHeight="1" thickTop="1" x14ac:dyDescent="0.25"/>
  </sheetData>
  <autoFilter ref="B4:Q27" xr:uid="{00000000-0009-0000-0000-00000F000000}"/>
  <mergeCells count="3">
    <mergeCell ref="B2:D2"/>
    <mergeCell ref="B30:C30"/>
    <mergeCell ref="B31:C31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1"/>
  </sheetPr>
  <dimension ref="A1:R32"/>
  <sheetViews>
    <sheetView workbookViewId="0"/>
  </sheetViews>
  <sheetFormatPr defaultColWidth="9.140625" defaultRowHeight="18" x14ac:dyDescent="0.25"/>
  <cols>
    <col min="1" max="1" width="3.5703125" style="77" customWidth="1"/>
    <col min="2" max="2" width="8.85546875" style="76" customWidth="1"/>
    <col min="3" max="3" width="48.28515625" style="77" bestFit="1" customWidth="1"/>
    <col min="4" max="4" width="19.85546875" style="77" bestFit="1" customWidth="1"/>
    <col min="5" max="5" width="13.7109375" style="390" bestFit="1" customWidth="1"/>
    <col min="6" max="7" width="17.28515625" style="77" bestFit="1" customWidth="1"/>
    <col min="8" max="17" width="16.28515625" style="77" customWidth="1"/>
    <col min="18" max="18" width="6.5703125" style="77" customWidth="1"/>
    <col min="19" max="16384" width="9.140625" style="77"/>
  </cols>
  <sheetData>
    <row r="1" spans="1:17" ht="24.75" customHeight="1" x14ac:dyDescent="0.25">
      <c r="A1" s="89"/>
      <c r="E1" s="77"/>
    </row>
    <row r="2" spans="1:17" s="70" customFormat="1" ht="47.25" thickBot="1" x14ac:dyDescent="0.8">
      <c r="B2" s="1043" t="s">
        <v>498</v>
      </c>
      <c r="C2" s="1043"/>
      <c r="D2" s="1043"/>
      <c r="E2" s="387"/>
      <c r="F2" s="82"/>
      <c r="G2" s="82"/>
      <c r="H2" s="82"/>
      <c r="I2" s="82"/>
      <c r="J2" s="82"/>
      <c r="K2" s="82"/>
      <c r="L2" s="78"/>
    </row>
    <row r="3" spans="1:17" s="81" customFormat="1" ht="30" customHeight="1" thickTop="1" thickBot="1" x14ac:dyDescent="0.45">
      <c r="B3" s="182" t="s">
        <v>125</v>
      </c>
      <c r="C3" s="182" t="s">
        <v>483</v>
      </c>
      <c r="D3" s="182" t="s">
        <v>466</v>
      </c>
      <c r="E3" s="182" t="s">
        <v>650</v>
      </c>
      <c r="F3" s="183">
        <v>46753</v>
      </c>
      <c r="G3" s="183">
        <v>46784</v>
      </c>
      <c r="H3" s="183">
        <v>46813</v>
      </c>
      <c r="I3" s="183">
        <v>46844</v>
      </c>
      <c r="J3" s="183">
        <v>46874</v>
      </c>
      <c r="K3" s="183">
        <v>46905</v>
      </c>
      <c r="L3" s="183">
        <v>46935</v>
      </c>
      <c r="M3" s="183">
        <v>46966</v>
      </c>
      <c r="N3" s="183">
        <v>46997</v>
      </c>
      <c r="O3" s="183">
        <v>47027</v>
      </c>
      <c r="P3" s="183">
        <v>47058</v>
      </c>
      <c r="Q3" s="183">
        <v>47088</v>
      </c>
    </row>
    <row r="4" spans="1:17" s="64" customFormat="1" ht="27.95" customHeight="1" thickTop="1" thickBot="1" x14ac:dyDescent="0.4">
      <c r="B4" s="152"/>
      <c r="C4" s="153"/>
      <c r="D4" s="153" t="s">
        <v>124</v>
      </c>
      <c r="E4" s="388"/>
      <c r="F4" s="153" t="s">
        <v>56</v>
      </c>
      <c r="G4" s="153" t="s">
        <v>56</v>
      </c>
      <c r="H4" s="153" t="s">
        <v>56</v>
      </c>
      <c r="I4" s="153" t="s">
        <v>56</v>
      </c>
      <c r="J4" s="153" t="s">
        <v>56</v>
      </c>
      <c r="K4" s="153" t="s">
        <v>56</v>
      </c>
      <c r="L4" s="153" t="s">
        <v>56</v>
      </c>
      <c r="M4" s="153" t="s">
        <v>56</v>
      </c>
      <c r="N4" s="153" t="s">
        <v>56</v>
      </c>
      <c r="O4" s="153" t="s">
        <v>56</v>
      </c>
      <c r="P4" s="153"/>
      <c r="Q4" s="154" t="s">
        <v>56</v>
      </c>
    </row>
    <row r="5" spans="1:17" ht="24" customHeight="1" thickBot="1" x14ac:dyDescent="0.4">
      <c r="B5" s="264">
        <v>1</v>
      </c>
      <c r="C5" s="265"/>
      <c r="D5" s="266">
        <f>SUM(F5:Q5)</f>
        <v>0</v>
      </c>
      <c r="E5" s="395">
        <f>COUNT(F5:Q5)</f>
        <v>0</v>
      </c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8"/>
    </row>
    <row r="6" spans="1:17" ht="24" customHeight="1" thickTop="1" thickBot="1" x14ac:dyDescent="0.4">
      <c r="B6" s="294">
        <v>2</v>
      </c>
      <c r="C6" s="295"/>
      <c r="D6" s="266">
        <f>SUM(F6:Q6)</f>
        <v>0</v>
      </c>
      <c r="E6" s="395">
        <f t="shared" ref="E6:E27" si="0">COUNT(F6:Q6)</f>
        <v>0</v>
      </c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7"/>
    </row>
    <row r="7" spans="1:17" ht="24" customHeight="1" thickTop="1" thickBot="1" x14ac:dyDescent="0.4">
      <c r="B7" s="267">
        <v>3</v>
      </c>
      <c r="C7" s="268"/>
      <c r="D7" s="269">
        <f t="shared" ref="D7:D27" si="1">SUM(F7:Q7)</f>
        <v>0</v>
      </c>
      <c r="E7" s="395">
        <f t="shared" si="0"/>
        <v>0</v>
      </c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9"/>
    </row>
    <row r="8" spans="1:17" ht="24" customHeight="1" thickTop="1" thickBot="1" x14ac:dyDescent="0.4">
      <c r="B8" s="294">
        <v>4</v>
      </c>
      <c r="C8" s="268"/>
      <c r="D8" s="269">
        <f t="shared" si="1"/>
        <v>0</v>
      </c>
      <c r="E8" s="395">
        <f t="shared" si="0"/>
        <v>0</v>
      </c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9"/>
    </row>
    <row r="9" spans="1:17" ht="24" customHeight="1" thickTop="1" thickBot="1" x14ac:dyDescent="0.4">
      <c r="B9" s="267">
        <v>5</v>
      </c>
      <c r="C9" s="268"/>
      <c r="D9" s="269">
        <f t="shared" si="1"/>
        <v>0</v>
      </c>
      <c r="E9" s="395">
        <f t="shared" si="0"/>
        <v>0</v>
      </c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9"/>
    </row>
    <row r="10" spans="1:17" ht="24" customHeight="1" thickTop="1" thickBot="1" x14ac:dyDescent="0.4">
      <c r="B10" s="294">
        <v>6</v>
      </c>
      <c r="C10" s="268"/>
      <c r="D10" s="269">
        <f t="shared" si="1"/>
        <v>0</v>
      </c>
      <c r="E10" s="395">
        <f t="shared" si="0"/>
        <v>0</v>
      </c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9"/>
    </row>
    <row r="11" spans="1:17" ht="24" customHeight="1" thickTop="1" thickBot="1" x14ac:dyDescent="0.4">
      <c r="B11" s="267">
        <v>7</v>
      </c>
      <c r="C11" s="268"/>
      <c r="D11" s="269">
        <f t="shared" si="1"/>
        <v>0</v>
      </c>
      <c r="E11" s="395">
        <f t="shared" si="0"/>
        <v>0</v>
      </c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9"/>
    </row>
    <row r="12" spans="1:17" ht="24" customHeight="1" thickTop="1" thickBot="1" x14ac:dyDescent="0.4">
      <c r="B12" s="294">
        <v>8</v>
      </c>
      <c r="C12" s="268"/>
      <c r="D12" s="269">
        <f t="shared" si="1"/>
        <v>0</v>
      </c>
      <c r="E12" s="395">
        <f t="shared" si="0"/>
        <v>0</v>
      </c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9"/>
    </row>
    <row r="13" spans="1:17" ht="24" customHeight="1" thickTop="1" thickBot="1" x14ac:dyDescent="0.4">
      <c r="B13" s="267">
        <v>9</v>
      </c>
      <c r="C13" s="268"/>
      <c r="D13" s="269">
        <f t="shared" si="1"/>
        <v>0</v>
      </c>
      <c r="E13" s="395">
        <f t="shared" si="0"/>
        <v>0</v>
      </c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9"/>
    </row>
    <row r="14" spans="1:17" ht="24" customHeight="1" thickTop="1" thickBot="1" x14ac:dyDescent="0.4">
      <c r="B14" s="294">
        <v>10</v>
      </c>
      <c r="C14" s="268"/>
      <c r="D14" s="269">
        <f t="shared" si="1"/>
        <v>0</v>
      </c>
      <c r="E14" s="395">
        <f t="shared" si="0"/>
        <v>0</v>
      </c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9"/>
    </row>
    <row r="15" spans="1:17" ht="24" customHeight="1" thickTop="1" thickBot="1" x14ac:dyDescent="0.4">
      <c r="B15" s="267">
        <v>11</v>
      </c>
      <c r="C15" s="268"/>
      <c r="D15" s="269">
        <f t="shared" si="1"/>
        <v>0</v>
      </c>
      <c r="E15" s="395">
        <f t="shared" si="0"/>
        <v>0</v>
      </c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9"/>
    </row>
    <row r="16" spans="1:17" ht="24" customHeight="1" thickTop="1" thickBot="1" x14ac:dyDescent="0.4">
      <c r="B16" s="294">
        <v>12</v>
      </c>
      <c r="C16" s="270"/>
      <c r="D16" s="269">
        <f t="shared" si="1"/>
        <v>0</v>
      </c>
      <c r="E16" s="395">
        <f t="shared" si="0"/>
        <v>0</v>
      </c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9"/>
    </row>
    <row r="17" spans="2:18" ht="24" customHeight="1" thickTop="1" thickBot="1" x14ac:dyDescent="0.4">
      <c r="B17" s="267">
        <v>13</v>
      </c>
      <c r="C17" s="270"/>
      <c r="D17" s="269">
        <f t="shared" si="1"/>
        <v>0</v>
      </c>
      <c r="E17" s="395">
        <f t="shared" si="0"/>
        <v>0</v>
      </c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9"/>
    </row>
    <row r="18" spans="2:18" ht="24" customHeight="1" thickTop="1" thickBot="1" x14ac:dyDescent="0.4">
      <c r="B18" s="294">
        <v>14</v>
      </c>
      <c r="C18" s="270"/>
      <c r="D18" s="269">
        <f t="shared" si="1"/>
        <v>0</v>
      </c>
      <c r="E18" s="395">
        <f t="shared" si="0"/>
        <v>0</v>
      </c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9"/>
    </row>
    <row r="19" spans="2:18" ht="24" customHeight="1" thickTop="1" thickBot="1" x14ac:dyDescent="0.4">
      <c r="B19" s="267">
        <v>15</v>
      </c>
      <c r="C19" s="268"/>
      <c r="D19" s="269">
        <f t="shared" si="1"/>
        <v>0</v>
      </c>
      <c r="E19" s="395">
        <f t="shared" si="0"/>
        <v>0</v>
      </c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9"/>
    </row>
    <row r="20" spans="2:18" ht="24" customHeight="1" thickTop="1" thickBot="1" x14ac:dyDescent="0.4">
      <c r="B20" s="294">
        <v>16</v>
      </c>
      <c r="C20" s="270"/>
      <c r="D20" s="269">
        <f t="shared" si="1"/>
        <v>0</v>
      </c>
      <c r="E20" s="395">
        <f t="shared" si="0"/>
        <v>0</v>
      </c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9"/>
    </row>
    <row r="21" spans="2:18" ht="24" customHeight="1" thickTop="1" thickBot="1" x14ac:dyDescent="0.4">
      <c r="B21" s="267">
        <v>17</v>
      </c>
      <c r="C21" s="268"/>
      <c r="D21" s="269">
        <f t="shared" si="1"/>
        <v>0</v>
      </c>
      <c r="E21" s="395">
        <f t="shared" si="0"/>
        <v>0</v>
      </c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9"/>
    </row>
    <row r="22" spans="2:18" ht="24" customHeight="1" thickTop="1" thickBot="1" x14ac:dyDescent="0.4">
      <c r="B22" s="294">
        <v>18</v>
      </c>
      <c r="C22" s="270"/>
      <c r="D22" s="269">
        <f t="shared" si="1"/>
        <v>0</v>
      </c>
      <c r="E22" s="395">
        <f t="shared" si="0"/>
        <v>0</v>
      </c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9"/>
    </row>
    <row r="23" spans="2:18" ht="24" customHeight="1" thickTop="1" thickBot="1" x14ac:dyDescent="0.4">
      <c r="B23" s="267">
        <v>19</v>
      </c>
      <c r="C23" s="270"/>
      <c r="D23" s="269">
        <f t="shared" si="1"/>
        <v>0</v>
      </c>
      <c r="E23" s="395">
        <f t="shared" si="0"/>
        <v>0</v>
      </c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9"/>
    </row>
    <row r="24" spans="2:18" ht="24" customHeight="1" thickTop="1" thickBot="1" x14ac:dyDescent="0.4">
      <c r="B24" s="294">
        <v>20</v>
      </c>
      <c r="C24" s="270"/>
      <c r="D24" s="269">
        <f t="shared" si="1"/>
        <v>0</v>
      </c>
      <c r="E24" s="395">
        <f t="shared" si="0"/>
        <v>0</v>
      </c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9"/>
    </row>
    <row r="25" spans="2:18" ht="24" customHeight="1" thickTop="1" thickBot="1" x14ac:dyDescent="0.4">
      <c r="B25" s="267">
        <v>21</v>
      </c>
      <c r="C25" s="268"/>
      <c r="D25" s="269">
        <f t="shared" si="1"/>
        <v>0</v>
      </c>
      <c r="E25" s="395">
        <f t="shared" si="0"/>
        <v>0</v>
      </c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9"/>
    </row>
    <row r="26" spans="2:18" ht="24" customHeight="1" thickTop="1" thickBot="1" x14ac:dyDescent="0.4">
      <c r="B26" s="294">
        <v>22</v>
      </c>
      <c r="C26" s="268"/>
      <c r="D26" s="269">
        <f t="shared" si="1"/>
        <v>0</v>
      </c>
      <c r="E26" s="395">
        <f t="shared" si="0"/>
        <v>0</v>
      </c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9"/>
    </row>
    <row r="27" spans="2:18" ht="24" customHeight="1" thickTop="1" thickBot="1" x14ac:dyDescent="0.4">
      <c r="B27" s="267">
        <v>23</v>
      </c>
      <c r="C27" s="268"/>
      <c r="D27" s="269">
        <f t="shared" si="1"/>
        <v>0</v>
      </c>
      <c r="E27" s="395">
        <f t="shared" si="0"/>
        <v>0</v>
      </c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9"/>
    </row>
    <row r="28" spans="2:18" ht="24" customHeight="1" thickTop="1" thickBot="1" x14ac:dyDescent="0.4">
      <c r="B28" s="267"/>
      <c r="C28" s="268"/>
      <c r="D28" s="269"/>
      <c r="E28" s="396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9"/>
      <c r="R28" s="79"/>
    </row>
    <row r="29" spans="2:18" ht="24" customHeight="1" thickTop="1" thickBot="1" x14ac:dyDescent="0.4">
      <c r="B29" s="271"/>
      <c r="C29" s="272"/>
      <c r="D29" s="211"/>
      <c r="E29" s="397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1"/>
    </row>
    <row r="30" spans="2:18" s="81" customFormat="1" ht="33" customHeight="1" thickBot="1" x14ac:dyDescent="0.45">
      <c r="B30" s="1048" t="s">
        <v>1</v>
      </c>
      <c r="C30" s="1049"/>
      <c r="D30" s="137">
        <f>SUBTOTAL(9,D5:D29)</f>
        <v>0</v>
      </c>
      <c r="E30" s="399">
        <f>SUBTOTAL(9,E5:E29)</f>
        <v>0</v>
      </c>
      <c r="F30" s="137">
        <f t="shared" ref="F30:Q30" si="2">SUBTOTAL(9,F5:F29)</f>
        <v>0</v>
      </c>
      <c r="G30" s="137">
        <f t="shared" si="2"/>
        <v>0</v>
      </c>
      <c r="H30" s="137">
        <f t="shared" si="2"/>
        <v>0</v>
      </c>
      <c r="I30" s="137">
        <f t="shared" si="2"/>
        <v>0</v>
      </c>
      <c r="J30" s="137">
        <f t="shared" si="2"/>
        <v>0</v>
      </c>
      <c r="K30" s="137">
        <f t="shared" si="2"/>
        <v>0</v>
      </c>
      <c r="L30" s="137">
        <f t="shared" si="2"/>
        <v>0</v>
      </c>
      <c r="M30" s="137">
        <f t="shared" si="2"/>
        <v>0</v>
      </c>
      <c r="N30" s="137">
        <f t="shared" si="2"/>
        <v>0</v>
      </c>
      <c r="O30" s="137">
        <f t="shared" si="2"/>
        <v>0</v>
      </c>
      <c r="P30" s="137">
        <f t="shared" si="2"/>
        <v>0</v>
      </c>
      <c r="Q30" s="137">
        <f t="shared" si="2"/>
        <v>0</v>
      </c>
    </row>
    <row r="31" spans="2:18" s="248" customFormat="1" ht="30" customHeight="1" thickTop="1" thickBot="1" x14ac:dyDescent="0.45">
      <c r="B31" s="1046" t="s">
        <v>650</v>
      </c>
      <c r="C31" s="1047"/>
      <c r="D31" s="138">
        <f t="shared" ref="D31:Q31" si="3">COUNTIF(D5:D29,"&gt;0")</f>
        <v>0</v>
      </c>
      <c r="E31" s="138">
        <f t="shared" ref="E31" si="4">COUNTIF(E5:E29,"&gt;0")</f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  <c r="J31" s="138">
        <f t="shared" si="3"/>
        <v>0</v>
      </c>
      <c r="K31" s="138">
        <f t="shared" si="3"/>
        <v>0</v>
      </c>
      <c r="L31" s="138">
        <f t="shared" si="3"/>
        <v>0</v>
      </c>
      <c r="M31" s="138">
        <f t="shared" si="3"/>
        <v>0</v>
      </c>
      <c r="N31" s="138">
        <f t="shared" si="3"/>
        <v>0</v>
      </c>
      <c r="O31" s="138">
        <f t="shared" si="3"/>
        <v>0</v>
      </c>
      <c r="P31" s="138">
        <f t="shared" si="3"/>
        <v>0</v>
      </c>
      <c r="Q31" s="138">
        <f t="shared" si="3"/>
        <v>0</v>
      </c>
      <c r="R31" s="81"/>
    </row>
    <row r="32" spans="2:18" ht="19.5" customHeight="1" thickTop="1" x14ac:dyDescent="0.25"/>
  </sheetData>
  <autoFilter ref="B4:Q27" xr:uid="{00000000-0009-0000-0000-000010000000}"/>
  <mergeCells count="3">
    <mergeCell ref="B2:D2"/>
    <mergeCell ref="B30:C30"/>
    <mergeCell ref="B31:C31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1"/>
  </sheetPr>
  <dimension ref="A1:R32"/>
  <sheetViews>
    <sheetView workbookViewId="0"/>
  </sheetViews>
  <sheetFormatPr defaultColWidth="9.140625" defaultRowHeight="18" x14ac:dyDescent="0.25"/>
  <cols>
    <col min="1" max="1" width="3.5703125" style="77" customWidth="1"/>
    <col min="2" max="2" width="8.85546875" style="76" customWidth="1"/>
    <col min="3" max="3" width="48.28515625" style="77" bestFit="1" customWidth="1"/>
    <col min="4" max="4" width="19.85546875" style="77" bestFit="1" customWidth="1"/>
    <col min="5" max="5" width="13.7109375" style="390" bestFit="1" customWidth="1"/>
    <col min="6" max="7" width="17.28515625" style="77" bestFit="1" customWidth="1"/>
    <col min="8" max="17" width="16.28515625" style="77" customWidth="1"/>
    <col min="18" max="18" width="6.5703125" style="77" customWidth="1"/>
    <col min="19" max="16384" width="9.140625" style="77"/>
  </cols>
  <sheetData>
    <row r="1" spans="1:17" ht="24.75" customHeight="1" x14ac:dyDescent="0.25">
      <c r="A1" s="89"/>
      <c r="E1" s="77"/>
    </row>
    <row r="2" spans="1:17" s="70" customFormat="1" ht="47.25" thickBot="1" x14ac:dyDescent="0.8">
      <c r="B2" s="1043" t="s">
        <v>499</v>
      </c>
      <c r="C2" s="1043"/>
      <c r="D2" s="1043"/>
      <c r="E2" s="387"/>
      <c r="F2" s="82"/>
      <c r="G2" s="82"/>
      <c r="H2" s="82"/>
      <c r="I2" s="82"/>
      <c r="J2" s="82"/>
      <c r="K2" s="82"/>
      <c r="L2" s="78"/>
    </row>
    <row r="3" spans="1:17" s="81" customFormat="1" ht="30" customHeight="1" thickTop="1" thickBot="1" x14ac:dyDescent="0.45">
      <c r="B3" s="182" t="s">
        <v>125</v>
      </c>
      <c r="C3" s="182" t="s">
        <v>483</v>
      </c>
      <c r="D3" s="182" t="s">
        <v>466</v>
      </c>
      <c r="E3" s="182" t="s">
        <v>650</v>
      </c>
      <c r="F3" s="183">
        <v>47119</v>
      </c>
      <c r="G3" s="183">
        <v>47150</v>
      </c>
      <c r="H3" s="183">
        <v>47178</v>
      </c>
      <c r="I3" s="183">
        <v>47209</v>
      </c>
      <c r="J3" s="183">
        <v>47239</v>
      </c>
      <c r="K3" s="183">
        <v>47270</v>
      </c>
      <c r="L3" s="183">
        <v>47300</v>
      </c>
      <c r="M3" s="183">
        <v>47331</v>
      </c>
      <c r="N3" s="183">
        <v>47362</v>
      </c>
      <c r="O3" s="183">
        <v>47392</v>
      </c>
      <c r="P3" s="183">
        <v>47423</v>
      </c>
      <c r="Q3" s="183">
        <v>47453</v>
      </c>
    </row>
    <row r="4" spans="1:17" s="64" customFormat="1" ht="27.95" customHeight="1" thickTop="1" thickBot="1" x14ac:dyDescent="0.4">
      <c r="B4" s="152"/>
      <c r="C4" s="153"/>
      <c r="D4" s="153" t="s">
        <v>124</v>
      </c>
      <c r="E4" s="388"/>
      <c r="F4" s="153" t="s">
        <v>56</v>
      </c>
      <c r="G4" s="153" t="s">
        <v>56</v>
      </c>
      <c r="H4" s="153" t="s">
        <v>56</v>
      </c>
      <c r="I4" s="153" t="s">
        <v>56</v>
      </c>
      <c r="J4" s="153" t="s">
        <v>56</v>
      </c>
      <c r="K4" s="153" t="s">
        <v>56</v>
      </c>
      <c r="L4" s="153" t="s">
        <v>56</v>
      </c>
      <c r="M4" s="153" t="s">
        <v>56</v>
      </c>
      <c r="N4" s="153" t="s">
        <v>56</v>
      </c>
      <c r="O4" s="153" t="s">
        <v>56</v>
      </c>
      <c r="P4" s="153"/>
      <c r="Q4" s="154" t="s">
        <v>56</v>
      </c>
    </row>
    <row r="5" spans="1:17" ht="24" customHeight="1" thickBot="1" x14ac:dyDescent="0.4">
      <c r="B5" s="264">
        <v>1</v>
      </c>
      <c r="C5" s="265"/>
      <c r="D5" s="266">
        <f>SUM(F5:Q5)</f>
        <v>0</v>
      </c>
      <c r="E5" s="395">
        <f>COUNT(F5:Q5)</f>
        <v>0</v>
      </c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8"/>
    </row>
    <row r="6" spans="1:17" ht="24" customHeight="1" thickTop="1" thickBot="1" x14ac:dyDescent="0.4">
      <c r="B6" s="294">
        <v>2</v>
      </c>
      <c r="C6" s="295"/>
      <c r="D6" s="266">
        <f>SUM(F6:Q6)</f>
        <v>0</v>
      </c>
      <c r="E6" s="395">
        <f t="shared" ref="E6:E27" si="0">COUNT(F6:Q6)</f>
        <v>0</v>
      </c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7"/>
    </row>
    <row r="7" spans="1:17" ht="24" customHeight="1" thickTop="1" thickBot="1" x14ac:dyDescent="0.4">
      <c r="B7" s="267">
        <v>3</v>
      </c>
      <c r="C7" s="268"/>
      <c r="D7" s="269">
        <f t="shared" ref="D7:D27" si="1">SUM(F7:Q7)</f>
        <v>0</v>
      </c>
      <c r="E7" s="395">
        <f t="shared" si="0"/>
        <v>0</v>
      </c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9"/>
    </row>
    <row r="8" spans="1:17" ht="24" customHeight="1" thickTop="1" thickBot="1" x14ac:dyDescent="0.4">
      <c r="B8" s="294">
        <v>4</v>
      </c>
      <c r="C8" s="268"/>
      <c r="D8" s="269">
        <f t="shared" si="1"/>
        <v>0</v>
      </c>
      <c r="E8" s="395">
        <f t="shared" si="0"/>
        <v>0</v>
      </c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9"/>
    </row>
    <row r="9" spans="1:17" ht="24" customHeight="1" thickTop="1" thickBot="1" x14ac:dyDescent="0.4">
      <c r="B9" s="267">
        <v>5</v>
      </c>
      <c r="C9" s="268"/>
      <c r="D9" s="269">
        <f t="shared" si="1"/>
        <v>0</v>
      </c>
      <c r="E9" s="395">
        <f t="shared" si="0"/>
        <v>0</v>
      </c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9"/>
    </row>
    <row r="10" spans="1:17" ht="24" customHeight="1" thickTop="1" thickBot="1" x14ac:dyDescent="0.4">
      <c r="B10" s="294">
        <v>6</v>
      </c>
      <c r="C10" s="268"/>
      <c r="D10" s="269">
        <f t="shared" si="1"/>
        <v>0</v>
      </c>
      <c r="E10" s="395">
        <f t="shared" si="0"/>
        <v>0</v>
      </c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9"/>
    </row>
    <row r="11" spans="1:17" ht="24" customHeight="1" thickTop="1" thickBot="1" x14ac:dyDescent="0.4">
      <c r="B11" s="267">
        <v>7</v>
      </c>
      <c r="C11" s="268"/>
      <c r="D11" s="269">
        <f t="shared" si="1"/>
        <v>0</v>
      </c>
      <c r="E11" s="395">
        <f t="shared" si="0"/>
        <v>0</v>
      </c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9"/>
    </row>
    <row r="12" spans="1:17" ht="24" customHeight="1" thickTop="1" thickBot="1" x14ac:dyDescent="0.4">
      <c r="B12" s="294">
        <v>8</v>
      </c>
      <c r="C12" s="268"/>
      <c r="D12" s="269">
        <f t="shared" si="1"/>
        <v>0</v>
      </c>
      <c r="E12" s="395">
        <f t="shared" si="0"/>
        <v>0</v>
      </c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9"/>
    </row>
    <row r="13" spans="1:17" ht="24" customHeight="1" thickTop="1" thickBot="1" x14ac:dyDescent="0.4">
      <c r="B13" s="267">
        <v>9</v>
      </c>
      <c r="C13" s="268"/>
      <c r="D13" s="269">
        <f t="shared" si="1"/>
        <v>0</v>
      </c>
      <c r="E13" s="395">
        <f t="shared" si="0"/>
        <v>0</v>
      </c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9"/>
    </row>
    <row r="14" spans="1:17" ht="24" customHeight="1" thickTop="1" thickBot="1" x14ac:dyDescent="0.4">
      <c r="B14" s="294">
        <v>10</v>
      </c>
      <c r="C14" s="268"/>
      <c r="D14" s="269">
        <f t="shared" si="1"/>
        <v>0</v>
      </c>
      <c r="E14" s="395">
        <f t="shared" si="0"/>
        <v>0</v>
      </c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9"/>
    </row>
    <row r="15" spans="1:17" ht="24" customHeight="1" thickTop="1" thickBot="1" x14ac:dyDescent="0.4">
      <c r="B15" s="267">
        <v>11</v>
      </c>
      <c r="C15" s="268"/>
      <c r="D15" s="269">
        <f t="shared" si="1"/>
        <v>0</v>
      </c>
      <c r="E15" s="395">
        <f t="shared" si="0"/>
        <v>0</v>
      </c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9"/>
    </row>
    <row r="16" spans="1:17" ht="24" customHeight="1" thickTop="1" thickBot="1" x14ac:dyDescent="0.4">
      <c r="B16" s="294">
        <v>12</v>
      </c>
      <c r="C16" s="270"/>
      <c r="D16" s="269">
        <f t="shared" si="1"/>
        <v>0</v>
      </c>
      <c r="E16" s="395">
        <f t="shared" si="0"/>
        <v>0</v>
      </c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9"/>
    </row>
    <row r="17" spans="2:18" ht="24" customHeight="1" thickTop="1" thickBot="1" x14ac:dyDescent="0.4">
      <c r="B17" s="267">
        <v>13</v>
      </c>
      <c r="C17" s="270"/>
      <c r="D17" s="269">
        <f t="shared" si="1"/>
        <v>0</v>
      </c>
      <c r="E17" s="395">
        <f t="shared" si="0"/>
        <v>0</v>
      </c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9"/>
    </row>
    <row r="18" spans="2:18" ht="24" customHeight="1" thickTop="1" thickBot="1" x14ac:dyDescent="0.4">
      <c r="B18" s="294">
        <v>14</v>
      </c>
      <c r="C18" s="270"/>
      <c r="D18" s="269">
        <f t="shared" si="1"/>
        <v>0</v>
      </c>
      <c r="E18" s="395">
        <f t="shared" si="0"/>
        <v>0</v>
      </c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9"/>
    </row>
    <row r="19" spans="2:18" ht="24" customHeight="1" thickTop="1" thickBot="1" x14ac:dyDescent="0.4">
      <c r="B19" s="267">
        <v>15</v>
      </c>
      <c r="C19" s="268"/>
      <c r="D19" s="269">
        <f t="shared" si="1"/>
        <v>0</v>
      </c>
      <c r="E19" s="395">
        <f t="shared" si="0"/>
        <v>0</v>
      </c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9"/>
    </row>
    <row r="20" spans="2:18" ht="24" customHeight="1" thickTop="1" thickBot="1" x14ac:dyDescent="0.4">
      <c r="B20" s="294">
        <v>16</v>
      </c>
      <c r="C20" s="270"/>
      <c r="D20" s="269">
        <f t="shared" si="1"/>
        <v>0</v>
      </c>
      <c r="E20" s="395">
        <f t="shared" si="0"/>
        <v>0</v>
      </c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9"/>
    </row>
    <row r="21" spans="2:18" ht="24" customHeight="1" thickTop="1" thickBot="1" x14ac:dyDescent="0.4">
      <c r="B21" s="267">
        <v>17</v>
      </c>
      <c r="C21" s="268"/>
      <c r="D21" s="269">
        <f t="shared" si="1"/>
        <v>0</v>
      </c>
      <c r="E21" s="395">
        <f t="shared" si="0"/>
        <v>0</v>
      </c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9"/>
    </row>
    <row r="22" spans="2:18" ht="24" customHeight="1" thickTop="1" thickBot="1" x14ac:dyDescent="0.4">
      <c r="B22" s="294">
        <v>18</v>
      </c>
      <c r="C22" s="270"/>
      <c r="D22" s="269">
        <f t="shared" si="1"/>
        <v>0</v>
      </c>
      <c r="E22" s="395">
        <f t="shared" si="0"/>
        <v>0</v>
      </c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9"/>
    </row>
    <row r="23" spans="2:18" ht="24" customHeight="1" thickTop="1" thickBot="1" x14ac:dyDescent="0.4">
      <c r="B23" s="267">
        <v>19</v>
      </c>
      <c r="C23" s="270"/>
      <c r="D23" s="269">
        <f t="shared" si="1"/>
        <v>0</v>
      </c>
      <c r="E23" s="395">
        <f t="shared" si="0"/>
        <v>0</v>
      </c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9"/>
    </row>
    <row r="24" spans="2:18" ht="24" customHeight="1" thickTop="1" thickBot="1" x14ac:dyDescent="0.4">
      <c r="B24" s="294">
        <v>20</v>
      </c>
      <c r="C24" s="270"/>
      <c r="D24" s="269">
        <f t="shared" si="1"/>
        <v>0</v>
      </c>
      <c r="E24" s="395">
        <f t="shared" si="0"/>
        <v>0</v>
      </c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9"/>
    </row>
    <row r="25" spans="2:18" ht="24" customHeight="1" thickTop="1" thickBot="1" x14ac:dyDescent="0.4">
      <c r="B25" s="267">
        <v>21</v>
      </c>
      <c r="C25" s="268"/>
      <c r="D25" s="269">
        <f t="shared" si="1"/>
        <v>0</v>
      </c>
      <c r="E25" s="395">
        <f t="shared" si="0"/>
        <v>0</v>
      </c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9"/>
    </row>
    <row r="26" spans="2:18" ht="24" customHeight="1" thickTop="1" thickBot="1" x14ac:dyDescent="0.4">
      <c r="B26" s="294">
        <v>22</v>
      </c>
      <c r="C26" s="268"/>
      <c r="D26" s="269">
        <f t="shared" si="1"/>
        <v>0</v>
      </c>
      <c r="E26" s="395">
        <f t="shared" si="0"/>
        <v>0</v>
      </c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9"/>
    </row>
    <row r="27" spans="2:18" ht="24" customHeight="1" thickTop="1" thickBot="1" x14ac:dyDescent="0.4">
      <c r="B27" s="267">
        <v>23</v>
      </c>
      <c r="C27" s="268"/>
      <c r="D27" s="269">
        <f t="shared" si="1"/>
        <v>0</v>
      </c>
      <c r="E27" s="395">
        <f t="shared" si="0"/>
        <v>0</v>
      </c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9"/>
    </row>
    <row r="28" spans="2:18" ht="24" customHeight="1" thickTop="1" thickBot="1" x14ac:dyDescent="0.4">
      <c r="B28" s="267"/>
      <c r="C28" s="268"/>
      <c r="D28" s="269"/>
      <c r="E28" s="396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9"/>
      <c r="R28" s="79"/>
    </row>
    <row r="29" spans="2:18" ht="24" customHeight="1" thickTop="1" thickBot="1" x14ac:dyDescent="0.4">
      <c r="B29" s="271"/>
      <c r="C29" s="272"/>
      <c r="D29" s="211"/>
      <c r="E29" s="397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1"/>
    </row>
    <row r="30" spans="2:18" s="81" customFormat="1" ht="33" customHeight="1" thickBot="1" x14ac:dyDescent="0.45">
      <c r="B30" s="1048" t="s">
        <v>1</v>
      </c>
      <c r="C30" s="1049"/>
      <c r="D30" s="137">
        <f>SUBTOTAL(9,D5:D29)</f>
        <v>0</v>
      </c>
      <c r="E30" s="399">
        <f>SUBTOTAL(9,E5:E29)</f>
        <v>0</v>
      </c>
      <c r="F30" s="137">
        <f t="shared" ref="F30:Q30" si="2">SUBTOTAL(9,F5:F29)</f>
        <v>0</v>
      </c>
      <c r="G30" s="137">
        <f t="shared" si="2"/>
        <v>0</v>
      </c>
      <c r="H30" s="137">
        <f t="shared" si="2"/>
        <v>0</v>
      </c>
      <c r="I30" s="137">
        <f t="shared" si="2"/>
        <v>0</v>
      </c>
      <c r="J30" s="137">
        <f t="shared" si="2"/>
        <v>0</v>
      </c>
      <c r="K30" s="137">
        <f t="shared" si="2"/>
        <v>0</v>
      </c>
      <c r="L30" s="137">
        <f t="shared" si="2"/>
        <v>0</v>
      </c>
      <c r="M30" s="137">
        <f t="shared" si="2"/>
        <v>0</v>
      </c>
      <c r="N30" s="137">
        <f t="shared" si="2"/>
        <v>0</v>
      </c>
      <c r="O30" s="137">
        <f t="shared" si="2"/>
        <v>0</v>
      </c>
      <c r="P30" s="137">
        <f t="shared" si="2"/>
        <v>0</v>
      </c>
      <c r="Q30" s="137">
        <f t="shared" si="2"/>
        <v>0</v>
      </c>
    </row>
    <row r="31" spans="2:18" s="248" customFormat="1" ht="30" customHeight="1" thickTop="1" thickBot="1" x14ac:dyDescent="0.45">
      <c r="B31" s="1046" t="s">
        <v>650</v>
      </c>
      <c r="C31" s="1047"/>
      <c r="D31" s="138">
        <f t="shared" ref="D31:Q31" si="3">COUNTIF(D5:D29,"&gt;0")</f>
        <v>0</v>
      </c>
      <c r="E31" s="138">
        <f t="shared" ref="E31" si="4">COUNTIF(E5:E29,"&gt;0")</f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  <c r="J31" s="138">
        <f t="shared" si="3"/>
        <v>0</v>
      </c>
      <c r="K31" s="138">
        <f t="shared" si="3"/>
        <v>0</v>
      </c>
      <c r="L31" s="138">
        <f t="shared" si="3"/>
        <v>0</v>
      </c>
      <c r="M31" s="138">
        <f t="shared" si="3"/>
        <v>0</v>
      </c>
      <c r="N31" s="138">
        <f t="shared" si="3"/>
        <v>0</v>
      </c>
      <c r="O31" s="138">
        <f t="shared" si="3"/>
        <v>0</v>
      </c>
      <c r="P31" s="138">
        <f t="shared" si="3"/>
        <v>0</v>
      </c>
      <c r="Q31" s="138">
        <f t="shared" si="3"/>
        <v>0</v>
      </c>
      <c r="R31" s="81"/>
    </row>
    <row r="32" spans="2:18" ht="19.5" customHeight="1" thickTop="1" x14ac:dyDescent="0.25"/>
  </sheetData>
  <autoFilter ref="B4:Q27" xr:uid="{00000000-0009-0000-0000-000011000000}"/>
  <mergeCells count="3">
    <mergeCell ref="B2:D2"/>
    <mergeCell ref="B30:C30"/>
    <mergeCell ref="B31:C31"/>
  </mergeCell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1"/>
  </sheetPr>
  <dimension ref="A1:R32"/>
  <sheetViews>
    <sheetView workbookViewId="0"/>
  </sheetViews>
  <sheetFormatPr defaultColWidth="9.140625" defaultRowHeight="18" x14ac:dyDescent="0.25"/>
  <cols>
    <col min="1" max="1" width="3.5703125" style="77" customWidth="1"/>
    <col min="2" max="2" width="8.85546875" style="76" customWidth="1"/>
    <col min="3" max="3" width="48.28515625" style="77" bestFit="1" customWidth="1"/>
    <col min="4" max="4" width="19.85546875" style="77" bestFit="1" customWidth="1"/>
    <col min="5" max="5" width="13.7109375" style="390" bestFit="1" customWidth="1"/>
    <col min="6" max="7" width="17.28515625" style="77" bestFit="1" customWidth="1"/>
    <col min="8" max="17" width="16.28515625" style="77" customWidth="1"/>
    <col min="18" max="18" width="6.5703125" style="77" customWidth="1"/>
    <col min="19" max="16384" width="9.140625" style="77"/>
  </cols>
  <sheetData>
    <row r="1" spans="1:17" ht="24.75" customHeight="1" x14ac:dyDescent="0.25">
      <c r="A1" s="89"/>
      <c r="E1" s="77"/>
    </row>
    <row r="2" spans="1:17" s="70" customFormat="1" ht="47.25" thickBot="1" x14ac:dyDescent="0.8">
      <c r="B2" s="1043" t="s">
        <v>500</v>
      </c>
      <c r="C2" s="1043"/>
      <c r="D2" s="1043"/>
      <c r="E2" s="387"/>
      <c r="F2" s="82"/>
      <c r="G2" s="82"/>
      <c r="H2" s="82"/>
      <c r="I2" s="82"/>
      <c r="J2" s="82"/>
      <c r="K2" s="82"/>
      <c r="L2" s="78"/>
    </row>
    <row r="3" spans="1:17" s="81" customFormat="1" ht="30" customHeight="1" thickTop="1" thickBot="1" x14ac:dyDescent="0.45">
      <c r="B3" s="182" t="s">
        <v>125</v>
      </c>
      <c r="C3" s="182" t="s">
        <v>483</v>
      </c>
      <c r="D3" s="182" t="s">
        <v>466</v>
      </c>
      <c r="E3" s="182" t="s">
        <v>650</v>
      </c>
      <c r="F3" s="183">
        <v>47484</v>
      </c>
      <c r="G3" s="183">
        <v>47515</v>
      </c>
      <c r="H3" s="183">
        <v>47543</v>
      </c>
      <c r="I3" s="183">
        <v>47574</v>
      </c>
      <c r="J3" s="183">
        <v>47604</v>
      </c>
      <c r="K3" s="183">
        <v>47635</v>
      </c>
      <c r="L3" s="183">
        <v>47665</v>
      </c>
      <c r="M3" s="183">
        <v>47696</v>
      </c>
      <c r="N3" s="183">
        <v>47727</v>
      </c>
      <c r="O3" s="183">
        <v>47757</v>
      </c>
      <c r="P3" s="183">
        <v>47788</v>
      </c>
      <c r="Q3" s="183">
        <v>47818</v>
      </c>
    </row>
    <row r="4" spans="1:17" s="64" customFormat="1" ht="27.95" customHeight="1" thickTop="1" thickBot="1" x14ac:dyDescent="0.4">
      <c r="B4" s="152"/>
      <c r="C4" s="153"/>
      <c r="D4" s="153" t="s">
        <v>124</v>
      </c>
      <c r="E4" s="388"/>
      <c r="F4" s="153" t="s">
        <v>56</v>
      </c>
      <c r="G4" s="153" t="s">
        <v>56</v>
      </c>
      <c r="H4" s="153" t="s">
        <v>56</v>
      </c>
      <c r="I4" s="153" t="s">
        <v>56</v>
      </c>
      <c r="J4" s="153" t="s">
        <v>56</v>
      </c>
      <c r="K4" s="153" t="s">
        <v>56</v>
      </c>
      <c r="L4" s="153" t="s">
        <v>56</v>
      </c>
      <c r="M4" s="153" t="s">
        <v>56</v>
      </c>
      <c r="N4" s="153" t="s">
        <v>56</v>
      </c>
      <c r="O4" s="153" t="s">
        <v>56</v>
      </c>
      <c r="P4" s="153"/>
      <c r="Q4" s="154" t="s">
        <v>56</v>
      </c>
    </row>
    <row r="5" spans="1:17" ht="24" customHeight="1" thickBot="1" x14ac:dyDescent="0.4">
      <c r="B5" s="264">
        <v>1</v>
      </c>
      <c r="C5" s="265"/>
      <c r="D5" s="266">
        <f>SUM(F5:Q5)</f>
        <v>0</v>
      </c>
      <c r="E5" s="395">
        <f>COUNT(F5:Q5)</f>
        <v>0</v>
      </c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8"/>
    </row>
    <row r="6" spans="1:17" ht="24" customHeight="1" thickTop="1" thickBot="1" x14ac:dyDescent="0.4">
      <c r="B6" s="294">
        <v>2</v>
      </c>
      <c r="C6" s="295"/>
      <c r="D6" s="266">
        <f>SUM(F6:Q6)</f>
        <v>0</v>
      </c>
      <c r="E6" s="395">
        <f t="shared" ref="E6:E27" si="0">COUNT(F6:Q6)</f>
        <v>0</v>
      </c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7"/>
    </row>
    <row r="7" spans="1:17" ht="24" customHeight="1" thickTop="1" thickBot="1" x14ac:dyDescent="0.4">
      <c r="B7" s="267">
        <v>3</v>
      </c>
      <c r="C7" s="268"/>
      <c r="D7" s="269">
        <f t="shared" ref="D7:D27" si="1">SUM(F7:Q7)</f>
        <v>0</v>
      </c>
      <c r="E7" s="395">
        <f t="shared" si="0"/>
        <v>0</v>
      </c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9"/>
    </row>
    <row r="8" spans="1:17" ht="24" customHeight="1" thickTop="1" thickBot="1" x14ac:dyDescent="0.4">
      <c r="B8" s="294">
        <v>4</v>
      </c>
      <c r="C8" s="268"/>
      <c r="D8" s="269">
        <f t="shared" si="1"/>
        <v>0</v>
      </c>
      <c r="E8" s="395">
        <f t="shared" si="0"/>
        <v>0</v>
      </c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9"/>
    </row>
    <row r="9" spans="1:17" ht="24" customHeight="1" thickTop="1" thickBot="1" x14ac:dyDescent="0.4">
      <c r="B9" s="267">
        <v>5</v>
      </c>
      <c r="C9" s="268"/>
      <c r="D9" s="269">
        <f t="shared" si="1"/>
        <v>0</v>
      </c>
      <c r="E9" s="395">
        <f t="shared" si="0"/>
        <v>0</v>
      </c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9"/>
    </row>
    <row r="10" spans="1:17" ht="24" customHeight="1" thickTop="1" thickBot="1" x14ac:dyDescent="0.4">
      <c r="B10" s="294">
        <v>6</v>
      </c>
      <c r="C10" s="268"/>
      <c r="D10" s="269">
        <f t="shared" si="1"/>
        <v>0</v>
      </c>
      <c r="E10" s="395">
        <f t="shared" si="0"/>
        <v>0</v>
      </c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9"/>
    </row>
    <row r="11" spans="1:17" ht="24" customHeight="1" thickTop="1" thickBot="1" x14ac:dyDescent="0.4">
      <c r="B11" s="267">
        <v>7</v>
      </c>
      <c r="C11" s="268"/>
      <c r="D11" s="269">
        <f t="shared" si="1"/>
        <v>0</v>
      </c>
      <c r="E11" s="395">
        <f t="shared" si="0"/>
        <v>0</v>
      </c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9"/>
    </row>
    <row r="12" spans="1:17" ht="24" customHeight="1" thickTop="1" thickBot="1" x14ac:dyDescent="0.4">
      <c r="B12" s="294">
        <v>8</v>
      </c>
      <c r="C12" s="268"/>
      <c r="D12" s="269">
        <f t="shared" si="1"/>
        <v>0</v>
      </c>
      <c r="E12" s="395">
        <f t="shared" si="0"/>
        <v>0</v>
      </c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9"/>
    </row>
    <row r="13" spans="1:17" ht="24" customHeight="1" thickTop="1" thickBot="1" x14ac:dyDescent="0.4">
      <c r="B13" s="267">
        <v>9</v>
      </c>
      <c r="C13" s="268"/>
      <c r="D13" s="269">
        <f t="shared" si="1"/>
        <v>0</v>
      </c>
      <c r="E13" s="395">
        <f t="shared" si="0"/>
        <v>0</v>
      </c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9"/>
    </row>
    <row r="14" spans="1:17" ht="24" customHeight="1" thickTop="1" thickBot="1" x14ac:dyDescent="0.4">
      <c r="B14" s="294">
        <v>10</v>
      </c>
      <c r="C14" s="268"/>
      <c r="D14" s="269">
        <f t="shared" si="1"/>
        <v>0</v>
      </c>
      <c r="E14" s="395">
        <f t="shared" si="0"/>
        <v>0</v>
      </c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9"/>
    </row>
    <row r="15" spans="1:17" ht="24" customHeight="1" thickTop="1" thickBot="1" x14ac:dyDescent="0.4">
      <c r="B15" s="267">
        <v>11</v>
      </c>
      <c r="C15" s="268"/>
      <c r="D15" s="269">
        <f t="shared" si="1"/>
        <v>0</v>
      </c>
      <c r="E15" s="395">
        <f t="shared" si="0"/>
        <v>0</v>
      </c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9"/>
    </row>
    <row r="16" spans="1:17" ht="24" customHeight="1" thickTop="1" thickBot="1" x14ac:dyDescent="0.4">
      <c r="B16" s="294">
        <v>12</v>
      </c>
      <c r="C16" s="270"/>
      <c r="D16" s="269">
        <f t="shared" si="1"/>
        <v>0</v>
      </c>
      <c r="E16" s="395">
        <f t="shared" si="0"/>
        <v>0</v>
      </c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9"/>
    </row>
    <row r="17" spans="2:18" ht="24" customHeight="1" thickTop="1" thickBot="1" x14ac:dyDescent="0.4">
      <c r="B17" s="267">
        <v>13</v>
      </c>
      <c r="C17" s="270"/>
      <c r="D17" s="269">
        <f t="shared" si="1"/>
        <v>0</v>
      </c>
      <c r="E17" s="395">
        <f t="shared" si="0"/>
        <v>0</v>
      </c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9"/>
    </row>
    <row r="18" spans="2:18" ht="24" customHeight="1" thickTop="1" thickBot="1" x14ac:dyDescent="0.4">
      <c r="B18" s="294">
        <v>14</v>
      </c>
      <c r="C18" s="270"/>
      <c r="D18" s="269">
        <f t="shared" si="1"/>
        <v>0</v>
      </c>
      <c r="E18" s="395">
        <f t="shared" si="0"/>
        <v>0</v>
      </c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9"/>
    </row>
    <row r="19" spans="2:18" ht="24" customHeight="1" thickTop="1" thickBot="1" x14ac:dyDescent="0.4">
      <c r="B19" s="267">
        <v>15</v>
      </c>
      <c r="C19" s="268"/>
      <c r="D19" s="269">
        <f t="shared" si="1"/>
        <v>0</v>
      </c>
      <c r="E19" s="395">
        <f t="shared" si="0"/>
        <v>0</v>
      </c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9"/>
    </row>
    <row r="20" spans="2:18" ht="24" customHeight="1" thickTop="1" thickBot="1" x14ac:dyDescent="0.4">
      <c r="B20" s="294">
        <v>16</v>
      </c>
      <c r="C20" s="270"/>
      <c r="D20" s="269">
        <f t="shared" si="1"/>
        <v>0</v>
      </c>
      <c r="E20" s="395">
        <f t="shared" si="0"/>
        <v>0</v>
      </c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9"/>
    </row>
    <row r="21" spans="2:18" ht="24" customHeight="1" thickTop="1" thickBot="1" x14ac:dyDescent="0.4">
      <c r="B21" s="267">
        <v>17</v>
      </c>
      <c r="C21" s="268"/>
      <c r="D21" s="269">
        <f t="shared" si="1"/>
        <v>0</v>
      </c>
      <c r="E21" s="395">
        <f t="shared" si="0"/>
        <v>0</v>
      </c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9"/>
    </row>
    <row r="22" spans="2:18" ht="24" customHeight="1" thickTop="1" thickBot="1" x14ac:dyDescent="0.4">
      <c r="B22" s="294">
        <v>18</v>
      </c>
      <c r="C22" s="270"/>
      <c r="D22" s="269">
        <f t="shared" si="1"/>
        <v>0</v>
      </c>
      <c r="E22" s="395">
        <f t="shared" si="0"/>
        <v>0</v>
      </c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9"/>
    </row>
    <row r="23" spans="2:18" ht="24" customHeight="1" thickTop="1" thickBot="1" x14ac:dyDescent="0.4">
      <c r="B23" s="267">
        <v>19</v>
      </c>
      <c r="C23" s="270"/>
      <c r="D23" s="269">
        <f t="shared" si="1"/>
        <v>0</v>
      </c>
      <c r="E23" s="395">
        <f t="shared" si="0"/>
        <v>0</v>
      </c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9"/>
    </row>
    <row r="24" spans="2:18" ht="24" customHeight="1" thickTop="1" thickBot="1" x14ac:dyDescent="0.4">
      <c r="B24" s="294">
        <v>20</v>
      </c>
      <c r="C24" s="270"/>
      <c r="D24" s="269">
        <f t="shared" si="1"/>
        <v>0</v>
      </c>
      <c r="E24" s="395">
        <f t="shared" si="0"/>
        <v>0</v>
      </c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9"/>
    </row>
    <row r="25" spans="2:18" ht="24" customHeight="1" thickTop="1" thickBot="1" x14ac:dyDescent="0.4">
      <c r="B25" s="267">
        <v>21</v>
      </c>
      <c r="C25" s="268"/>
      <c r="D25" s="269">
        <f t="shared" si="1"/>
        <v>0</v>
      </c>
      <c r="E25" s="395">
        <f t="shared" si="0"/>
        <v>0</v>
      </c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9"/>
    </row>
    <row r="26" spans="2:18" ht="24" customHeight="1" thickTop="1" thickBot="1" x14ac:dyDescent="0.4">
      <c r="B26" s="294">
        <v>22</v>
      </c>
      <c r="C26" s="268"/>
      <c r="D26" s="269">
        <f t="shared" si="1"/>
        <v>0</v>
      </c>
      <c r="E26" s="395">
        <f t="shared" si="0"/>
        <v>0</v>
      </c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9"/>
    </row>
    <row r="27" spans="2:18" ht="24" customHeight="1" thickTop="1" thickBot="1" x14ac:dyDescent="0.4">
      <c r="B27" s="267">
        <v>23</v>
      </c>
      <c r="C27" s="268"/>
      <c r="D27" s="269">
        <f t="shared" si="1"/>
        <v>0</v>
      </c>
      <c r="E27" s="395">
        <f t="shared" si="0"/>
        <v>0</v>
      </c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9"/>
    </row>
    <row r="28" spans="2:18" ht="24" customHeight="1" thickTop="1" thickBot="1" x14ac:dyDescent="0.4">
      <c r="B28" s="267"/>
      <c r="C28" s="268"/>
      <c r="D28" s="269"/>
      <c r="E28" s="396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9"/>
      <c r="R28" s="79"/>
    </row>
    <row r="29" spans="2:18" ht="24" customHeight="1" thickTop="1" thickBot="1" x14ac:dyDescent="0.4">
      <c r="B29" s="271"/>
      <c r="C29" s="272"/>
      <c r="D29" s="211"/>
      <c r="E29" s="397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1"/>
    </row>
    <row r="30" spans="2:18" s="81" customFormat="1" ht="33" customHeight="1" thickBot="1" x14ac:dyDescent="0.45">
      <c r="B30" s="1048" t="s">
        <v>1</v>
      </c>
      <c r="C30" s="1049"/>
      <c r="D30" s="137">
        <f>SUBTOTAL(9,D5:D29)</f>
        <v>0</v>
      </c>
      <c r="E30" s="399">
        <f>SUBTOTAL(9,E5:E29)</f>
        <v>0</v>
      </c>
      <c r="F30" s="137">
        <f t="shared" ref="F30:Q30" si="2">SUBTOTAL(9,F5:F29)</f>
        <v>0</v>
      </c>
      <c r="G30" s="137">
        <f t="shared" si="2"/>
        <v>0</v>
      </c>
      <c r="H30" s="137">
        <f t="shared" si="2"/>
        <v>0</v>
      </c>
      <c r="I30" s="137">
        <f t="shared" si="2"/>
        <v>0</v>
      </c>
      <c r="J30" s="137">
        <f t="shared" si="2"/>
        <v>0</v>
      </c>
      <c r="K30" s="137">
        <f t="shared" si="2"/>
        <v>0</v>
      </c>
      <c r="L30" s="137">
        <f t="shared" si="2"/>
        <v>0</v>
      </c>
      <c r="M30" s="137">
        <f t="shared" si="2"/>
        <v>0</v>
      </c>
      <c r="N30" s="137">
        <f t="shared" si="2"/>
        <v>0</v>
      </c>
      <c r="O30" s="137">
        <f t="shared" si="2"/>
        <v>0</v>
      </c>
      <c r="P30" s="137">
        <f t="shared" si="2"/>
        <v>0</v>
      </c>
      <c r="Q30" s="137">
        <f t="shared" si="2"/>
        <v>0</v>
      </c>
    </row>
    <row r="31" spans="2:18" s="248" customFormat="1" ht="30" customHeight="1" thickTop="1" thickBot="1" x14ac:dyDescent="0.45">
      <c r="B31" s="1046" t="s">
        <v>650</v>
      </c>
      <c r="C31" s="1047"/>
      <c r="D31" s="138">
        <f t="shared" ref="D31:Q31" si="3">COUNTIF(D5:D29,"&gt;0")</f>
        <v>0</v>
      </c>
      <c r="E31" s="138">
        <f t="shared" ref="E31" si="4">COUNTIF(E5:E29,"&gt;0")</f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  <c r="J31" s="138">
        <f t="shared" si="3"/>
        <v>0</v>
      </c>
      <c r="K31" s="138">
        <f t="shared" si="3"/>
        <v>0</v>
      </c>
      <c r="L31" s="138">
        <f t="shared" si="3"/>
        <v>0</v>
      </c>
      <c r="M31" s="138">
        <f t="shared" si="3"/>
        <v>0</v>
      </c>
      <c r="N31" s="138">
        <f t="shared" si="3"/>
        <v>0</v>
      </c>
      <c r="O31" s="138">
        <f t="shared" si="3"/>
        <v>0</v>
      </c>
      <c r="P31" s="138">
        <f t="shared" si="3"/>
        <v>0</v>
      </c>
      <c r="Q31" s="138">
        <f t="shared" si="3"/>
        <v>0</v>
      </c>
      <c r="R31" s="81"/>
    </row>
    <row r="32" spans="2:18" ht="19.5" customHeight="1" thickTop="1" x14ac:dyDescent="0.25"/>
  </sheetData>
  <autoFilter ref="B4:Q27" xr:uid="{00000000-0009-0000-0000-000012000000}"/>
  <mergeCells count="3">
    <mergeCell ref="B2:D2"/>
    <mergeCell ref="B30:C30"/>
    <mergeCell ref="B31:C31"/>
  </mergeCell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1"/>
  </sheetPr>
  <dimension ref="A1:R32"/>
  <sheetViews>
    <sheetView workbookViewId="0">
      <selection activeCell="F5" sqref="F5"/>
    </sheetView>
  </sheetViews>
  <sheetFormatPr defaultColWidth="9.140625" defaultRowHeight="18" x14ac:dyDescent="0.25"/>
  <cols>
    <col min="1" max="1" width="3.5703125" style="77" customWidth="1"/>
    <col min="2" max="2" width="8.85546875" style="76" customWidth="1"/>
    <col min="3" max="3" width="48.28515625" style="77" bestFit="1" customWidth="1"/>
    <col min="4" max="4" width="19.85546875" style="77" bestFit="1" customWidth="1"/>
    <col min="5" max="5" width="13.7109375" style="390" bestFit="1" customWidth="1"/>
    <col min="6" max="7" width="17.28515625" style="77" bestFit="1" customWidth="1"/>
    <col min="8" max="17" width="16.28515625" style="77" customWidth="1"/>
    <col min="18" max="18" width="6.5703125" style="77" customWidth="1"/>
    <col min="19" max="16384" width="9.140625" style="77"/>
  </cols>
  <sheetData>
    <row r="1" spans="1:17" ht="24.75" customHeight="1" x14ac:dyDescent="0.25">
      <c r="A1" s="89"/>
      <c r="E1" s="77"/>
    </row>
    <row r="2" spans="1:17" s="70" customFormat="1" ht="47.25" thickBot="1" x14ac:dyDescent="0.8">
      <c r="B2" s="1043" t="s">
        <v>534</v>
      </c>
      <c r="C2" s="1043"/>
      <c r="D2" s="1043"/>
      <c r="E2" s="387"/>
      <c r="F2" s="82"/>
      <c r="G2" s="82"/>
      <c r="H2" s="82"/>
      <c r="I2" s="82"/>
      <c r="J2" s="82"/>
      <c r="K2" s="82"/>
      <c r="L2" s="78"/>
    </row>
    <row r="3" spans="1:17" s="81" customFormat="1" ht="30" customHeight="1" thickTop="1" thickBot="1" x14ac:dyDescent="0.45">
      <c r="B3" s="182" t="s">
        <v>125</v>
      </c>
      <c r="C3" s="182" t="s">
        <v>483</v>
      </c>
      <c r="D3" s="182" t="s">
        <v>466</v>
      </c>
      <c r="E3" s="182" t="s">
        <v>650</v>
      </c>
      <c r="F3" s="183">
        <v>47849</v>
      </c>
      <c r="G3" s="183">
        <v>47880</v>
      </c>
      <c r="H3" s="183">
        <v>47908</v>
      </c>
      <c r="I3" s="183">
        <v>47939</v>
      </c>
      <c r="J3" s="183">
        <v>47969</v>
      </c>
      <c r="K3" s="183">
        <v>48000</v>
      </c>
      <c r="L3" s="183">
        <v>48030</v>
      </c>
      <c r="M3" s="183">
        <v>48061</v>
      </c>
      <c r="N3" s="183">
        <v>48092</v>
      </c>
      <c r="O3" s="183">
        <v>48122</v>
      </c>
      <c r="P3" s="183">
        <v>48153</v>
      </c>
      <c r="Q3" s="183">
        <v>48183</v>
      </c>
    </row>
    <row r="4" spans="1:17" s="64" customFormat="1" ht="27.95" customHeight="1" thickTop="1" thickBot="1" x14ac:dyDescent="0.4">
      <c r="B4" s="152"/>
      <c r="C4" s="153"/>
      <c r="D4" s="153" t="s">
        <v>124</v>
      </c>
      <c r="E4" s="388"/>
      <c r="F4" s="153" t="s">
        <v>56</v>
      </c>
      <c r="G4" s="153" t="s">
        <v>56</v>
      </c>
      <c r="H4" s="153" t="s">
        <v>56</v>
      </c>
      <c r="I4" s="153" t="s">
        <v>56</v>
      </c>
      <c r="J4" s="153" t="s">
        <v>56</v>
      </c>
      <c r="K4" s="153" t="s">
        <v>56</v>
      </c>
      <c r="L4" s="153" t="s">
        <v>56</v>
      </c>
      <c r="M4" s="153" t="s">
        <v>56</v>
      </c>
      <c r="N4" s="153" t="s">
        <v>56</v>
      </c>
      <c r="O4" s="153" t="s">
        <v>56</v>
      </c>
      <c r="P4" s="153"/>
      <c r="Q4" s="154" t="s">
        <v>56</v>
      </c>
    </row>
    <row r="5" spans="1:17" ht="24" customHeight="1" thickBot="1" x14ac:dyDescent="0.4">
      <c r="B5" s="264">
        <v>1</v>
      </c>
      <c r="C5" s="265"/>
      <c r="D5" s="266">
        <f>SUM(F5:Q5)</f>
        <v>0</v>
      </c>
      <c r="E5" s="395">
        <f>COUNT(F5:Q5)</f>
        <v>0</v>
      </c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8"/>
    </row>
    <row r="6" spans="1:17" ht="24" customHeight="1" thickTop="1" thickBot="1" x14ac:dyDescent="0.4">
      <c r="B6" s="294">
        <v>2</v>
      </c>
      <c r="C6" s="295"/>
      <c r="D6" s="266">
        <f>SUM(F6:Q6)</f>
        <v>0</v>
      </c>
      <c r="E6" s="395">
        <f t="shared" ref="E6:E23" si="0">COUNT(F6:Q6)</f>
        <v>0</v>
      </c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7"/>
    </row>
    <row r="7" spans="1:17" ht="24" customHeight="1" thickTop="1" thickBot="1" x14ac:dyDescent="0.4">
      <c r="B7" s="267">
        <v>3</v>
      </c>
      <c r="C7" s="268"/>
      <c r="D7" s="269">
        <f t="shared" ref="D7:D27" si="1">SUM(F7:Q7)</f>
        <v>0</v>
      </c>
      <c r="E7" s="395">
        <f t="shared" si="0"/>
        <v>0</v>
      </c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9"/>
    </row>
    <row r="8" spans="1:17" ht="24" customHeight="1" thickTop="1" thickBot="1" x14ac:dyDescent="0.4">
      <c r="B8" s="294">
        <v>4</v>
      </c>
      <c r="C8" s="268"/>
      <c r="D8" s="269">
        <f t="shared" si="1"/>
        <v>0</v>
      </c>
      <c r="E8" s="395">
        <f t="shared" si="0"/>
        <v>0</v>
      </c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9"/>
    </row>
    <row r="9" spans="1:17" ht="24" customHeight="1" thickTop="1" thickBot="1" x14ac:dyDescent="0.4">
      <c r="B9" s="267">
        <v>5</v>
      </c>
      <c r="C9" s="268"/>
      <c r="D9" s="269">
        <f t="shared" si="1"/>
        <v>0</v>
      </c>
      <c r="E9" s="395">
        <f t="shared" si="0"/>
        <v>0</v>
      </c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9"/>
    </row>
    <row r="10" spans="1:17" ht="24" customHeight="1" thickTop="1" thickBot="1" x14ac:dyDescent="0.4">
      <c r="B10" s="294">
        <v>6</v>
      </c>
      <c r="C10" s="268"/>
      <c r="D10" s="269">
        <f t="shared" si="1"/>
        <v>0</v>
      </c>
      <c r="E10" s="395">
        <f t="shared" si="0"/>
        <v>0</v>
      </c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9"/>
    </row>
    <row r="11" spans="1:17" ht="24" customHeight="1" thickTop="1" thickBot="1" x14ac:dyDescent="0.4">
      <c r="B11" s="267">
        <v>7</v>
      </c>
      <c r="C11" s="268"/>
      <c r="D11" s="269">
        <f t="shared" si="1"/>
        <v>0</v>
      </c>
      <c r="E11" s="395">
        <f t="shared" si="0"/>
        <v>0</v>
      </c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9"/>
    </row>
    <row r="12" spans="1:17" ht="24" customHeight="1" thickTop="1" thickBot="1" x14ac:dyDescent="0.4">
      <c r="B12" s="294">
        <v>8</v>
      </c>
      <c r="C12" s="268"/>
      <c r="D12" s="269">
        <f t="shared" si="1"/>
        <v>0</v>
      </c>
      <c r="E12" s="395">
        <f t="shared" si="0"/>
        <v>0</v>
      </c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9"/>
    </row>
    <row r="13" spans="1:17" ht="24" customHeight="1" thickTop="1" thickBot="1" x14ac:dyDescent="0.4">
      <c r="B13" s="267">
        <v>9</v>
      </c>
      <c r="C13" s="268"/>
      <c r="D13" s="269">
        <f t="shared" si="1"/>
        <v>0</v>
      </c>
      <c r="E13" s="395">
        <f t="shared" si="0"/>
        <v>0</v>
      </c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9"/>
    </row>
    <row r="14" spans="1:17" ht="24" customHeight="1" thickTop="1" thickBot="1" x14ac:dyDescent="0.4">
      <c r="B14" s="294">
        <v>10</v>
      </c>
      <c r="C14" s="268"/>
      <c r="D14" s="269">
        <f t="shared" si="1"/>
        <v>0</v>
      </c>
      <c r="E14" s="395">
        <f t="shared" si="0"/>
        <v>0</v>
      </c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9"/>
    </row>
    <row r="15" spans="1:17" ht="24" customHeight="1" thickTop="1" thickBot="1" x14ac:dyDescent="0.4">
      <c r="B15" s="267">
        <v>11</v>
      </c>
      <c r="C15" s="268"/>
      <c r="D15" s="269">
        <f t="shared" si="1"/>
        <v>0</v>
      </c>
      <c r="E15" s="395">
        <f t="shared" si="0"/>
        <v>0</v>
      </c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9"/>
    </row>
    <row r="16" spans="1:17" ht="24" customHeight="1" thickTop="1" thickBot="1" x14ac:dyDescent="0.4">
      <c r="B16" s="294">
        <v>12</v>
      </c>
      <c r="C16" s="270"/>
      <c r="D16" s="269">
        <f t="shared" si="1"/>
        <v>0</v>
      </c>
      <c r="E16" s="395">
        <f t="shared" si="0"/>
        <v>0</v>
      </c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9"/>
    </row>
    <row r="17" spans="2:18" ht="24" customHeight="1" thickTop="1" thickBot="1" x14ac:dyDescent="0.4">
      <c r="B17" s="267">
        <v>13</v>
      </c>
      <c r="C17" s="270"/>
      <c r="D17" s="269">
        <f t="shared" si="1"/>
        <v>0</v>
      </c>
      <c r="E17" s="395">
        <f t="shared" si="0"/>
        <v>0</v>
      </c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9"/>
    </row>
    <row r="18" spans="2:18" ht="24" customHeight="1" thickTop="1" thickBot="1" x14ac:dyDescent="0.4">
      <c r="B18" s="294">
        <v>14</v>
      </c>
      <c r="C18" s="270"/>
      <c r="D18" s="269">
        <f t="shared" si="1"/>
        <v>0</v>
      </c>
      <c r="E18" s="395">
        <f t="shared" si="0"/>
        <v>0</v>
      </c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9"/>
    </row>
    <row r="19" spans="2:18" ht="24" customHeight="1" thickTop="1" thickBot="1" x14ac:dyDescent="0.4">
      <c r="B19" s="267">
        <v>15</v>
      </c>
      <c r="C19" s="268"/>
      <c r="D19" s="269">
        <f t="shared" si="1"/>
        <v>0</v>
      </c>
      <c r="E19" s="395">
        <f t="shared" si="0"/>
        <v>0</v>
      </c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9"/>
    </row>
    <row r="20" spans="2:18" ht="24" customHeight="1" thickTop="1" thickBot="1" x14ac:dyDescent="0.4">
      <c r="B20" s="294">
        <v>16</v>
      </c>
      <c r="C20" s="270"/>
      <c r="D20" s="269">
        <f t="shared" si="1"/>
        <v>0</v>
      </c>
      <c r="E20" s="395">
        <f t="shared" si="0"/>
        <v>0</v>
      </c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9"/>
    </row>
    <row r="21" spans="2:18" ht="24" customHeight="1" thickTop="1" thickBot="1" x14ac:dyDescent="0.4">
      <c r="B21" s="267">
        <v>17</v>
      </c>
      <c r="C21" s="268"/>
      <c r="D21" s="269">
        <f t="shared" si="1"/>
        <v>0</v>
      </c>
      <c r="E21" s="395">
        <f t="shared" si="0"/>
        <v>0</v>
      </c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9"/>
    </row>
    <row r="22" spans="2:18" ht="24" customHeight="1" thickTop="1" thickBot="1" x14ac:dyDescent="0.4">
      <c r="B22" s="294">
        <v>18</v>
      </c>
      <c r="C22" s="270"/>
      <c r="D22" s="269">
        <f t="shared" si="1"/>
        <v>0</v>
      </c>
      <c r="E22" s="395">
        <f t="shared" si="0"/>
        <v>0</v>
      </c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9"/>
    </row>
    <row r="23" spans="2:18" ht="24" customHeight="1" thickTop="1" thickBot="1" x14ac:dyDescent="0.4">
      <c r="B23" s="267">
        <v>19</v>
      </c>
      <c r="C23" s="270"/>
      <c r="D23" s="269">
        <f t="shared" si="1"/>
        <v>0</v>
      </c>
      <c r="E23" s="395">
        <f t="shared" si="0"/>
        <v>0</v>
      </c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9"/>
    </row>
    <row r="24" spans="2:18" ht="24" customHeight="1" thickTop="1" thickBot="1" x14ac:dyDescent="0.4">
      <c r="B24" s="294">
        <v>20</v>
      </c>
      <c r="C24" s="270"/>
      <c r="D24" s="269">
        <f t="shared" si="1"/>
        <v>0</v>
      </c>
      <c r="E24" s="396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9"/>
    </row>
    <row r="25" spans="2:18" ht="24" customHeight="1" thickTop="1" thickBot="1" x14ac:dyDescent="0.4">
      <c r="B25" s="267">
        <v>21</v>
      </c>
      <c r="C25" s="268"/>
      <c r="D25" s="269">
        <f t="shared" si="1"/>
        <v>0</v>
      </c>
      <c r="E25" s="396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9"/>
    </row>
    <row r="26" spans="2:18" ht="24" customHeight="1" thickTop="1" thickBot="1" x14ac:dyDescent="0.4">
      <c r="B26" s="294">
        <v>22</v>
      </c>
      <c r="C26" s="268"/>
      <c r="D26" s="269">
        <f t="shared" si="1"/>
        <v>0</v>
      </c>
      <c r="E26" s="396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9"/>
    </row>
    <row r="27" spans="2:18" ht="24" customHeight="1" thickTop="1" thickBot="1" x14ac:dyDescent="0.4">
      <c r="B27" s="267">
        <v>23</v>
      </c>
      <c r="C27" s="268"/>
      <c r="D27" s="269">
        <f t="shared" si="1"/>
        <v>0</v>
      </c>
      <c r="E27" s="396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9"/>
    </row>
    <row r="28" spans="2:18" ht="24" customHeight="1" thickTop="1" thickBot="1" x14ac:dyDescent="0.4">
      <c r="B28" s="267"/>
      <c r="C28" s="268"/>
      <c r="D28" s="269"/>
      <c r="E28" s="396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9"/>
      <c r="R28" s="79"/>
    </row>
    <row r="29" spans="2:18" ht="24" customHeight="1" thickTop="1" thickBot="1" x14ac:dyDescent="0.4">
      <c r="B29" s="271"/>
      <c r="C29" s="272"/>
      <c r="D29" s="211"/>
      <c r="E29" s="397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1"/>
    </row>
    <row r="30" spans="2:18" s="81" customFormat="1" ht="33" customHeight="1" thickBot="1" x14ac:dyDescent="0.45">
      <c r="B30" s="1048" t="s">
        <v>1</v>
      </c>
      <c r="C30" s="1049"/>
      <c r="D30" s="137">
        <f>SUBTOTAL(9,D5:D29)</f>
        <v>0</v>
      </c>
      <c r="E30" s="399">
        <f>SUBTOTAL(9,E5:E29)</f>
        <v>0</v>
      </c>
      <c r="F30" s="137">
        <f t="shared" ref="F30:Q30" si="2">SUBTOTAL(9,F5:F29)</f>
        <v>0</v>
      </c>
      <c r="G30" s="137">
        <f t="shared" si="2"/>
        <v>0</v>
      </c>
      <c r="H30" s="137">
        <f t="shared" si="2"/>
        <v>0</v>
      </c>
      <c r="I30" s="137">
        <f t="shared" si="2"/>
        <v>0</v>
      </c>
      <c r="J30" s="137">
        <f t="shared" si="2"/>
        <v>0</v>
      </c>
      <c r="K30" s="137">
        <f t="shared" si="2"/>
        <v>0</v>
      </c>
      <c r="L30" s="137">
        <f t="shared" si="2"/>
        <v>0</v>
      </c>
      <c r="M30" s="137">
        <f t="shared" si="2"/>
        <v>0</v>
      </c>
      <c r="N30" s="137">
        <f t="shared" si="2"/>
        <v>0</v>
      </c>
      <c r="O30" s="137">
        <f t="shared" si="2"/>
        <v>0</v>
      </c>
      <c r="P30" s="137">
        <f t="shared" si="2"/>
        <v>0</v>
      </c>
      <c r="Q30" s="137">
        <f t="shared" si="2"/>
        <v>0</v>
      </c>
    </row>
    <row r="31" spans="2:18" s="248" customFormat="1" ht="30" customHeight="1" thickTop="1" thickBot="1" x14ac:dyDescent="0.45">
      <c r="B31" s="1046" t="s">
        <v>650</v>
      </c>
      <c r="C31" s="1047"/>
      <c r="D31" s="138">
        <f t="shared" ref="D31:Q31" si="3">COUNTIF(D5:D29,"&gt;0")</f>
        <v>0</v>
      </c>
      <c r="E31" s="138">
        <f t="shared" ref="E31" si="4">COUNTIF(E5:E29,"&gt;0")</f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  <c r="J31" s="138">
        <f t="shared" si="3"/>
        <v>0</v>
      </c>
      <c r="K31" s="138">
        <f t="shared" si="3"/>
        <v>0</v>
      </c>
      <c r="L31" s="138">
        <f t="shared" si="3"/>
        <v>0</v>
      </c>
      <c r="M31" s="138">
        <f t="shared" si="3"/>
        <v>0</v>
      </c>
      <c r="N31" s="138">
        <f t="shared" si="3"/>
        <v>0</v>
      </c>
      <c r="O31" s="138">
        <f t="shared" si="3"/>
        <v>0</v>
      </c>
      <c r="P31" s="138">
        <f t="shared" si="3"/>
        <v>0</v>
      </c>
      <c r="Q31" s="138">
        <f t="shared" si="3"/>
        <v>0</v>
      </c>
      <c r="R31" s="81"/>
    </row>
    <row r="32" spans="2:18" ht="19.5" customHeight="1" thickTop="1" x14ac:dyDescent="0.25"/>
  </sheetData>
  <autoFilter ref="B4:Q27" xr:uid="{00000000-0009-0000-0000-000013000000}"/>
  <mergeCells count="3">
    <mergeCell ref="B2:D2"/>
    <mergeCell ref="B30:C30"/>
    <mergeCell ref="B31:C31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1"/>
  </sheetPr>
  <dimension ref="A1:R32"/>
  <sheetViews>
    <sheetView workbookViewId="0">
      <selection sqref="A1:XFD1"/>
    </sheetView>
  </sheetViews>
  <sheetFormatPr defaultColWidth="9.140625" defaultRowHeight="18" x14ac:dyDescent="0.25"/>
  <cols>
    <col min="1" max="1" width="3.5703125" style="77" customWidth="1"/>
    <col min="2" max="2" width="8.85546875" style="76" customWidth="1"/>
    <col min="3" max="3" width="48.28515625" style="77" bestFit="1" customWidth="1"/>
    <col min="4" max="4" width="19.85546875" style="77" bestFit="1" customWidth="1"/>
    <col min="5" max="5" width="13.7109375" style="390" bestFit="1" customWidth="1"/>
    <col min="6" max="7" width="17.28515625" style="77" bestFit="1" customWidth="1"/>
    <col min="8" max="17" width="16.28515625" style="77" customWidth="1"/>
    <col min="18" max="18" width="6.5703125" style="77" customWidth="1"/>
    <col min="19" max="16384" width="9.140625" style="77"/>
  </cols>
  <sheetData>
    <row r="1" spans="1:17" ht="24.75" customHeight="1" x14ac:dyDescent="0.25">
      <c r="A1" s="89"/>
      <c r="E1" s="77"/>
    </row>
    <row r="2" spans="1:17" s="70" customFormat="1" ht="47.25" thickBot="1" x14ac:dyDescent="0.8">
      <c r="B2" s="1043" t="s">
        <v>535</v>
      </c>
      <c r="C2" s="1043"/>
      <c r="D2" s="1043"/>
      <c r="E2" s="387"/>
      <c r="F2" s="82"/>
      <c r="G2" s="82"/>
      <c r="H2" s="82"/>
      <c r="I2" s="82"/>
      <c r="J2" s="82"/>
      <c r="K2" s="82"/>
      <c r="L2" s="78"/>
    </row>
    <row r="3" spans="1:17" s="81" customFormat="1" ht="30" customHeight="1" thickTop="1" thickBot="1" x14ac:dyDescent="0.45">
      <c r="B3" s="182" t="s">
        <v>125</v>
      </c>
      <c r="C3" s="182" t="s">
        <v>483</v>
      </c>
      <c r="D3" s="182" t="s">
        <v>466</v>
      </c>
      <c r="E3" s="182" t="s">
        <v>650</v>
      </c>
      <c r="F3" s="183">
        <v>48214</v>
      </c>
      <c r="G3" s="183">
        <v>48245</v>
      </c>
      <c r="H3" s="183">
        <v>48274</v>
      </c>
      <c r="I3" s="183">
        <v>48305</v>
      </c>
      <c r="J3" s="183">
        <v>48335</v>
      </c>
      <c r="K3" s="183">
        <v>48366</v>
      </c>
      <c r="L3" s="183">
        <v>48396</v>
      </c>
      <c r="M3" s="183">
        <v>48427</v>
      </c>
      <c r="N3" s="183">
        <v>48458</v>
      </c>
      <c r="O3" s="183">
        <v>48488</v>
      </c>
      <c r="P3" s="183">
        <v>48519</v>
      </c>
      <c r="Q3" s="183">
        <v>48549</v>
      </c>
    </row>
    <row r="4" spans="1:17" s="64" customFormat="1" ht="27.95" customHeight="1" thickTop="1" thickBot="1" x14ac:dyDescent="0.4">
      <c r="B4" s="152"/>
      <c r="C4" s="153"/>
      <c r="D4" s="153" t="s">
        <v>124</v>
      </c>
      <c r="E4" s="388"/>
      <c r="F4" s="153" t="s">
        <v>56</v>
      </c>
      <c r="G4" s="153" t="s">
        <v>56</v>
      </c>
      <c r="H4" s="153" t="s">
        <v>56</v>
      </c>
      <c r="I4" s="153" t="s">
        <v>56</v>
      </c>
      <c r="J4" s="153" t="s">
        <v>56</v>
      </c>
      <c r="K4" s="153" t="s">
        <v>56</v>
      </c>
      <c r="L4" s="153" t="s">
        <v>56</v>
      </c>
      <c r="M4" s="153" t="s">
        <v>56</v>
      </c>
      <c r="N4" s="153" t="s">
        <v>56</v>
      </c>
      <c r="O4" s="153" t="s">
        <v>56</v>
      </c>
      <c r="P4" s="153"/>
      <c r="Q4" s="154" t="s">
        <v>56</v>
      </c>
    </row>
    <row r="5" spans="1:17" ht="24" customHeight="1" thickBot="1" x14ac:dyDescent="0.4">
      <c r="B5" s="264">
        <v>1</v>
      </c>
      <c r="C5" s="265"/>
      <c r="D5" s="266">
        <f>SUM(F5:Q5)</f>
        <v>0</v>
      </c>
      <c r="E5" s="395">
        <f>COUNT(F5:Q5)</f>
        <v>0</v>
      </c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8"/>
    </row>
    <row r="6" spans="1:17" ht="24" customHeight="1" thickTop="1" thickBot="1" x14ac:dyDescent="0.4">
      <c r="B6" s="294">
        <v>2</v>
      </c>
      <c r="C6" s="295"/>
      <c r="D6" s="266">
        <f>SUM(F6:Q6)</f>
        <v>0</v>
      </c>
      <c r="E6" s="395">
        <f t="shared" ref="E6:E27" si="0">COUNT(F6:Q6)</f>
        <v>0</v>
      </c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7"/>
    </row>
    <row r="7" spans="1:17" ht="24" customHeight="1" thickTop="1" thickBot="1" x14ac:dyDescent="0.4">
      <c r="B7" s="267">
        <v>3</v>
      </c>
      <c r="C7" s="268"/>
      <c r="D7" s="269">
        <f t="shared" ref="D7:D27" si="1">SUM(F7:Q7)</f>
        <v>0</v>
      </c>
      <c r="E7" s="395">
        <f t="shared" si="0"/>
        <v>0</v>
      </c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9"/>
    </row>
    <row r="8" spans="1:17" ht="24" customHeight="1" thickTop="1" thickBot="1" x14ac:dyDescent="0.4">
      <c r="B8" s="294">
        <v>4</v>
      </c>
      <c r="C8" s="268"/>
      <c r="D8" s="269">
        <f t="shared" si="1"/>
        <v>0</v>
      </c>
      <c r="E8" s="395">
        <f t="shared" si="0"/>
        <v>0</v>
      </c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9"/>
    </row>
    <row r="9" spans="1:17" ht="24" customHeight="1" thickTop="1" thickBot="1" x14ac:dyDescent="0.4">
      <c r="B9" s="267">
        <v>5</v>
      </c>
      <c r="C9" s="268"/>
      <c r="D9" s="269">
        <f t="shared" si="1"/>
        <v>0</v>
      </c>
      <c r="E9" s="395">
        <f t="shared" si="0"/>
        <v>0</v>
      </c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9"/>
    </row>
    <row r="10" spans="1:17" ht="24" customHeight="1" thickTop="1" thickBot="1" x14ac:dyDescent="0.4">
      <c r="B10" s="294">
        <v>6</v>
      </c>
      <c r="C10" s="268"/>
      <c r="D10" s="269">
        <f t="shared" si="1"/>
        <v>0</v>
      </c>
      <c r="E10" s="395">
        <f t="shared" si="0"/>
        <v>0</v>
      </c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9"/>
    </row>
    <row r="11" spans="1:17" ht="24" customHeight="1" thickTop="1" thickBot="1" x14ac:dyDescent="0.4">
      <c r="B11" s="267">
        <v>7</v>
      </c>
      <c r="C11" s="268"/>
      <c r="D11" s="269">
        <f t="shared" si="1"/>
        <v>0</v>
      </c>
      <c r="E11" s="395">
        <f t="shared" si="0"/>
        <v>0</v>
      </c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9"/>
    </row>
    <row r="12" spans="1:17" ht="24" customHeight="1" thickTop="1" thickBot="1" x14ac:dyDescent="0.4">
      <c r="B12" s="294">
        <v>8</v>
      </c>
      <c r="C12" s="268"/>
      <c r="D12" s="269">
        <f t="shared" si="1"/>
        <v>0</v>
      </c>
      <c r="E12" s="395">
        <f t="shared" si="0"/>
        <v>0</v>
      </c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9"/>
    </row>
    <row r="13" spans="1:17" ht="24" customHeight="1" thickTop="1" thickBot="1" x14ac:dyDescent="0.4">
      <c r="B13" s="267">
        <v>9</v>
      </c>
      <c r="C13" s="268"/>
      <c r="D13" s="269">
        <f t="shared" si="1"/>
        <v>0</v>
      </c>
      <c r="E13" s="395">
        <f t="shared" si="0"/>
        <v>0</v>
      </c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9"/>
    </row>
    <row r="14" spans="1:17" ht="24" customHeight="1" thickTop="1" thickBot="1" x14ac:dyDescent="0.4">
      <c r="B14" s="294">
        <v>10</v>
      </c>
      <c r="C14" s="268"/>
      <c r="D14" s="269">
        <f t="shared" si="1"/>
        <v>0</v>
      </c>
      <c r="E14" s="395">
        <f t="shared" si="0"/>
        <v>0</v>
      </c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9"/>
    </row>
    <row r="15" spans="1:17" ht="24" customHeight="1" thickTop="1" thickBot="1" x14ac:dyDescent="0.4">
      <c r="B15" s="267">
        <v>11</v>
      </c>
      <c r="C15" s="268"/>
      <c r="D15" s="269">
        <f t="shared" si="1"/>
        <v>0</v>
      </c>
      <c r="E15" s="395">
        <f t="shared" si="0"/>
        <v>0</v>
      </c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9"/>
    </row>
    <row r="16" spans="1:17" ht="24" customHeight="1" thickTop="1" thickBot="1" x14ac:dyDescent="0.4">
      <c r="B16" s="294">
        <v>12</v>
      </c>
      <c r="C16" s="270"/>
      <c r="D16" s="269">
        <f t="shared" si="1"/>
        <v>0</v>
      </c>
      <c r="E16" s="395">
        <f t="shared" si="0"/>
        <v>0</v>
      </c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9"/>
    </row>
    <row r="17" spans="2:18" ht="24" customHeight="1" thickTop="1" thickBot="1" x14ac:dyDescent="0.4">
      <c r="B17" s="267">
        <v>13</v>
      </c>
      <c r="C17" s="270"/>
      <c r="D17" s="269">
        <f t="shared" si="1"/>
        <v>0</v>
      </c>
      <c r="E17" s="395">
        <f t="shared" si="0"/>
        <v>0</v>
      </c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9"/>
    </row>
    <row r="18" spans="2:18" ht="24" customHeight="1" thickTop="1" thickBot="1" x14ac:dyDescent="0.4">
      <c r="B18" s="294">
        <v>14</v>
      </c>
      <c r="C18" s="270"/>
      <c r="D18" s="269">
        <f t="shared" si="1"/>
        <v>0</v>
      </c>
      <c r="E18" s="395">
        <f t="shared" si="0"/>
        <v>0</v>
      </c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9"/>
    </row>
    <row r="19" spans="2:18" ht="24" customHeight="1" thickTop="1" thickBot="1" x14ac:dyDescent="0.4">
      <c r="B19" s="267">
        <v>15</v>
      </c>
      <c r="C19" s="268"/>
      <c r="D19" s="269">
        <f t="shared" si="1"/>
        <v>0</v>
      </c>
      <c r="E19" s="395">
        <f t="shared" si="0"/>
        <v>0</v>
      </c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9"/>
    </row>
    <row r="20" spans="2:18" ht="24" customHeight="1" thickTop="1" thickBot="1" x14ac:dyDescent="0.4">
      <c r="B20" s="294">
        <v>16</v>
      </c>
      <c r="C20" s="270"/>
      <c r="D20" s="269">
        <f t="shared" si="1"/>
        <v>0</v>
      </c>
      <c r="E20" s="395">
        <f t="shared" si="0"/>
        <v>0</v>
      </c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9"/>
    </row>
    <row r="21" spans="2:18" ht="24" customHeight="1" thickTop="1" thickBot="1" x14ac:dyDescent="0.4">
      <c r="B21" s="267">
        <v>17</v>
      </c>
      <c r="C21" s="268"/>
      <c r="D21" s="269">
        <f t="shared" si="1"/>
        <v>0</v>
      </c>
      <c r="E21" s="395">
        <f t="shared" si="0"/>
        <v>0</v>
      </c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9"/>
    </row>
    <row r="22" spans="2:18" ht="24" customHeight="1" thickTop="1" thickBot="1" x14ac:dyDescent="0.4">
      <c r="B22" s="294">
        <v>18</v>
      </c>
      <c r="C22" s="270"/>
      <c r="D22" s="269">
        <f t="shared" si="1"/>
        <v>0</v>
      </c>
      <c r="E22" s="395">
        <f t="shared" si="0"/>
        <v>0</v>
      </c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9"/>
    </row>
    <row r="23" spans="2:18" ht="24" customHeight="1" thickTop="1" thickBot="1" x14ac:dyDescent="0.4">
      <c r="B23" s="267">
        <v>19</v>
      </c>
      <c r="C23" s="270"/>
      <c r="D23" s="269">
        <f t="shared" si="1"/>
        <v>0</v>
      </c>
      <c r="E23" s="395">
        <f t="shared" si="0"/>
        <v>0</v>
      </c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9"/>
    </row>
    <row r="24" spans="2:18" ht="24" customHeight="1" thickTop="1" thickBot="1" x14ac:dyDescent="0.4">
      <c r="B24" s="294">
        <v>20</v>
      </c>
      <c r="C24" s="270"/>
      <c r="D24" s="269">
        <f t="shared" si="1"/>
        <v>0</v>
      </c>
      <c r="E24" s="395">
        <f t="shared" si="0"/>
        <v>0</v>
      </c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9"/>
    </row>
    <row r="25" spans="2:18" ht="24" customHeight="1" thickTop="1" thickBot="1" x14ac:dyDescent="0.4">
      <c r="B25" s="267">
        <v>21</v>
      </c>
      <c r="C25" s="268"/>
      <c r="D25" s="269">
        <f t="shared" si="1"/>
        <v>0</v>
      </c>
      <c r="E25" s="395">
        <f t="shared" si="0"/>
        <v>0</v>
      </c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9"/>
    </row>
    <row r="26" spans="2:18" ht="24" customHeight="1" thickTop="1" thickBot="1" x14ac:dyDescent="0.4">
      <c r="B26" s="294">
        <v>22</v>
      </c>
      <c r="C26" s="268"/>
      <c r="D26" s="269">
        <f t="shared" si="1"/>
        <v>0</v>
      </c>
      <c r="E26" s="395">
        <f t="shared" si="0"/>
        <v>0</v>
      </c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9"/>
    </row>
    <row r="27" spans="2:18" ht="24" customHeight="1" thickTop="1" thickBot="1" x14ac:dyDescent="0.4">
      <c r="B27" s="267">
        <v>23</v>
      </c>
      <c r="C27" s="268"/>
      <c r="D27" s="269">
        <f t="shared" si="1"/>
        <v>0</v>
      </c>
      <c r="E27" s="395">
        <f t="shared" si="0"/>
        <v>0</v>
      </c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9"/>
    </row>
    <row r="28" spans="2:18" ht="24" customHeight="1" thickTop="1" thickBot="1" x14ac:dyDescent="0.4">
      <c r="B28" s="267"/>
      <c r="C28" s="268"/>
      <c r="D28" s="269"/>
      <c r="E28" s="396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9"/>
      <c r="R28" s="79"/>
    </row>
    <row r="29" spans="2:18" ht="24" customHeight="1" thickTop="1" thickBot="1" x14ac:dyDescent="0.4">
      <c r="B29" s="271"/>
      <c r="C29" s="272"/>
      <c r="D29" s="211"/>
      <c r="E29" s="397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1"/>
    </row>
    <row r="30" spans="2:18" s="81" customFormat="1" ht="33" customHeight="1" thickBot="1" x14ac:dyDescent="0.45">
      <c r="B30" s="1048" t="s">
        <v>1</v>
      </c>
      <c r="C30" s="1049"/>
      <c r="D30" s="137">
        <f>SUBTOTAL(9,D5:D29)</f>
        <v>0</v>
      </c>
      <c r="E30" s="399">
        <f>SUBTOTAL(9,E5:E29)</f>
        <v>0</v>
      </c>
      <c r="F30" s="137">
        <f t="shared" ref="F30:Q30" si="2">SUBTOTAL(9,F5:F29)</f>
        <v>0</v>
      </c>
      <c r="G30" s="137">
        <f t="shared" si="2"/>
        <v>0</v>
      </c>
      <c r="H30" s="137">
        <f t="shared" si="2"/>
        <v>0</v>
      </c>
      <c r="I30" s="137">
        <f t="shared" si="2"/>
        <v>0</v>
      </c>
      <c r="J30" s="137">
        <f t="shared" si="2"/>
        <v>0</v>
      </c>
      <c r="K30" s="137">
        <f t="shared" si="2"/>
        <v>0</v>
      </c>
      <c r="L30" s="137">
        <f t="shared" si="2"/>
        <v>0</v>
      </c>
      <c r="M30" s="137">
        <f t="shared" si="2"/>
        <v>0</v>
      </c>
      <c r="N30" s="137">
        <f t="shared" si="2"/>
        <v>0</v>
      </c>
      <c r="O30" s="137">
        <f t="shared" si="2"/>
        <v>0</v>
      </c>
      <c r="P30" s="137">
        <f t="shared" si="2"/>
        <v>0</v>
      </c>
      <c r="Q30" s="137">
        <f t="shared" si="2"/>
        <v>0</v>
      </c>
    </row>
    <row r="31" spans="2:18" s="248" customFormat="1" ht="30" customHeight="1" thickTop="1" thickBot="1" x14ac:dyDescent="0.45">
      <c r="B31" s="1046" t="s">
        <v>650</v>
      </c>
      <c r="C31" s="1047"/>
      <c r="D31" s="138">
        <f t="shared" ref="D31:Q31" si="3">COUNTIF(D5:D29,"&gt;0")</f>
        <v>0</v>
      </c>
      <c r="E31" s="138">
        <f t="shared" ref="E31" si="4">COUNTIF(E5:E29,"&gt;0")</f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  <c r="J31" s="138">
        <f t="shared" si="3"/>
        <v>0</v>
      </c>
      <c r="K31" s="138">
        <f t="shared" si="3"/>
        <v>0</v>
      </c>
      <c r="L31" s="138">
        <f t="shared" si="3"/>
        <v>0</v>
      </c>
      <c r="M31" s="138">
        <f t="shared" si="3"/>
        <v>0</v>
      </c>
      <c r="N31" s="138">
        <f t="shared" si="3"/>
        <v>0</v>
      </c>
      <c r="O31" s="138">
        <f t="shared" si="3"/>
        <v>0</v>
      </c>
      <c r="P31" s="138">
        <f t="shared" si="3"/>
        <v>0</v>
      </c>
      <c r="Q31" s="138">
        <f t="shared" si="3"/>
        <v>0</v>
      </c>
      <c r="R31" s="81"/>
    </row>
    <row r="32" spans="2:18" ht="19.5" customHeight="1" thickTop="1" x14ac:dyDescent="0.25"/>
  </sheetData>
  <autoFilter ref="B4:Q27" xr:uid="{00000000-0009-0000-0000-000014000000}"/>
  <mergeCells count="3">
    <mergeCell ref="B2:D2"/>
    <mergeCell ref="B30:C30"/>
    <mergeCell ref="B31:C31"/>
  </mergeCells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P33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ColWidth="9.140625" defaultRowHeight="18" x14ac:dyDescent="0.25"/>
  <cols>
    <col min="1" max="1" width="2.85546875" style="2" customWidth="1"/>
    <col min="2" max="2" width="7.42578125" style="1" customWidth="1"/>
    <col min="3" max="3" width="48.28515625" style="2" bestFit="1" customWidth="1"/>
    <col min="4" max="4" width="21.7109375" style="2" bestFit="1" customWidth="1"/>
    <col min="5" max="6" width="19.5703125" style="2" bestFit="1" customWidth="1"/>
    <col min="7" max="7" width="20" style="2" customWidth="1"/>
    <col min="8" max="8" width="20.85546875" style="2" customWidth="1"/>
    <col min="9" max="9" width="20.5703125" style="2" customWidth="1"/>
    <col min="10" max="10" width="20.85546875" style="2" customWidth="1"/>
    <col min="11" max="14" width="18.7109375" style="2" customWidth="1"/>
    <col min="15" max="16" width="17.28515625" style="2" customWidth="1"/>
    <col min="17" max="16384" width="9.140625" style="2"/>
  </cols>
  <sheetData>
    <row r="1" spans="1:16" s="77" customFormat="1" ht="24.75" customHeight="1" x14ac:dyDescent="0.25">
      <c r="A1" s="89"/>
      <c r="B1" s="76"/>
    </row>
    <row r="2" spans="1:16" s="70" customFormat="1" ht="46.5" x14ac:dyDescent="0.75">
      <c r="B2" s="1050" t="s">
        <v>537</v>
      </c>
      <c r="C2" s="1050"/>
      <c r="D2" s="1050"/>
      <c r="G2" s="93"/>
      <c r="I2" s="93"/>
      <c r="J2" s="78"/>
    </row>
    <row r="3" spans="1:16" ht="9" customHeight="1" thickBot="1" x14ac:dyDescent="0.3"/>
    <row r="4" spans="1:16" s="130" customFormat="1" ht="82.5" thickTop="1" thickBot="1" x14ac:dyDescent="0.3">
      <c r="A4" s="130" t="s">
        <v>653</v>
      </c>
      <c r="B4" s="131" t="s">
        <v>125</v>
      </c>
      <c r="C4" s="131" t="s">
        <v>57</v>
      </c>
      <c r="D4" s="131" t="s">
        <v>1</v>
      </c>
      <c r="E4" s="131" t="s">
        <v>645</v>
      </c>
      <c r="F4" s="131" t="s">
        <v>646</v>
      </c>
      <c r="G4" s="131" t="s">
        <v>646</v>
      </c>
      <c r="H4" s="131" t="s">
        <v>1133</v>
      </c>
      <c r="I4" s="131" t="s">
        <v>1134</v>
      </c>
      <c r="J4" s="131" t="s">
        <v>1135</v>
      </c>
      <c r="K4" s="131"/>
      <c r="L4" s="131"/>
      <c r="M4" s="131"/>
      <c r="N4" s="131"/>
    </row>
    <row r="5" spans="1:16" ht="26.1" customHeight="1" thickTop="1" thickBot="1" x14ac:dyDescent="0.3">
      <c r="B5" s="238">
        <v>1</v>
      </c>
      <c r="C5" s="239" t="s">
        <v>620</v>
      </c>
      <c r="D5" s="166">
        <f t="shared" ref="D5:D28" si="0">SUM(E5:N5)</f>
        <v>700</v>
      </c>
      <c r="E5" s="245">
        <v>0</v>
      </c>
      <c r="F5" s="245">
        <v>0</v>
      </c>
      <c r="G5" s="245">
        <v>200</v>
      </c>
      <c r="H5" s="245">
        <v>200</v>
      </c>
      <c r="I5" s="245">
        <v>200</v>
      </c>
      <c r="J5" s="159">
        <v>100</v>
      </c>
      <c r="K5" s="159"/>
      <c r="L5" s="159"/>
      <c r="M5" s="159"/>
      <c r="N5" s="160"/>
      <c r="P5" s="193"/>
    </row>
    <row r="6" spans="1:16" ht="26.1" customHeight="1" thickTop="1" thickBot="1" x14ac:dyDescent="0.3">
      <c r="B6" s="238">
        <v>2</v>
      </c>
      <c r="C6" s="239" t="s">
        <v>687</v>
      </c>
      <c r="D6" s="166">
        <f t="shared" si="0"/>
        <v>100</v>
      </c>
      <c r="E6" s="843">
        <v>0</v>
      </c>
      <c r="F6" s="843">
        <v>0</v>
      </c>
      <c r="G6" s="843">
        <v>0</v>
      </c>
      <c r="H6" s="843">
        <v>0</v>
      </c>
      <c r="I6" s="843">
        <v>0</v>
      </c>
      <c r="J6" s="159">
        <v>100</v>
      </c>
      <c r="K6" s="159"/>
      <c r="L6" s="159"/>
      <c r="M6" s="159"/>
      <c r="N6" s="160"/>
      <c r="P6" s="193"/>
    </row>
    <row r="7" spans="1:16" ht="26.1" customHeight="1" thickTop="1" thickBot="1" x14ac:dyDescent="0.3">
      <c r="B7" s="240">
        <v>3</v>
      </c>
      <c r="C7" s="241" t="s">
        <v>458</v>
      </c>
      <c r="D7" s="167">
        <f t="shared" si="0"/>
        <v>1000</v>
      </c>
      <c r="E7" s="245">
        <v>200</v>
      </c>
      <c r="F7" s="245">
        <v>100</v>
      </c>
      <c r="G7" s="245">
        <v>200</v>
      </c>
      <c r="H7" s="245">
        <v>200</v>
      </c>
      <c r="I7" s="245">
        <v>200</v>
      </c>
      <c r="J7" s="159">
        <v>100</v>
      </c>
      <c r="K7" s="161"/>
      <c r="L7" s="161"/>
      <c r="M7" s="161"/>
      <c r="N7" s="162"/>
      <c r="P7" s="193"/>
    </row>
    <row r="8" spans="1:16" ht="26.1" customHeight="1" thickTop="1" thickBot="1" x14ac:dyDescent="0.3">
      <c r="B8" s="238">
        <v>4</v>
      </c>
      <c r="C8" s="241" t="s">
        <v>211</v>
      </c>
      <c r="D8" s="167">
        <f t="shared" si="0"/>
        <v>1000</v>
      </c>
      <c r="E8" s="246">
        <v>200</v>
      </c>
      <c r="F8" s="246">
        <v>100</v>
      </c>
      <c r="G8" s="246">
        <v>200</v>
      </c>
      <c r="H8" s="246">
        <v>200</v>
      </c>
      <c r="I8" s="246">
        <v>200</v>
      </c>
      <c r="J8" s="159">
        <v>100</v>
      </c>
      <c r="K8" s="161"/>
      <c r="L8" s="161"/>
      <c r="M8" s="161"/>
      <c r="N8" s="162"/>
      <c r="P8" s="193"/>
    </row>
    <row r="9" spans="1:16" ht="26.1" customHeight="1" thickTop="1" thickBot="1" x14ac:dyDescent="0.3">
      <c r="B9" s="240">
        <v>5</v>
      </c>
      <c r="C9" s="241" t="s">
        <v>273</v>
      </c>
      <c r="D9" s="167">
        <f t="shared" si="0"/>
        <v>100</v>
      </c>
      <c r="E9" s="844">
        <v>0</v>
      </c>
      <c r="F9" s="844">
        <v>0</v>
      </c>
      <c r="G9" s="844">
        <v>0</v>
      </c>
      <c r="H9" s="844">
        <v>0</v>
      </c>
      <c r="I9" s="844">
        <v>0</v>
      </c>
      <c r="J9" s="159">
        <v>100</v>
      </c>
      <c r="K9" s="161"/>
      <c r="L9" s="161"/>
      <c r="M9" s="161"/>
      <c r="N9" s="162"/>
      <c r="P9" s="193"/>
    </row>
    <row r="10" spans="1:16" ht="26.1" customHeight="1" thickTop="1" thickBot="1" x14ac:dyDescent="0.3">
      <c r="B10" s="238">
        <v>6</v>
      </c>
      <c r="C10" s="241" t="s">
        <v>186</v>
      </c>
      <c r="D10" s="167">
        <f t="shared" si="0"/>
        <v>800</v>
      </c>
      <c r="E10" s="842">
        <v>0</v>
      </c>
      <c r="F10" s="245">
        <v>100</v>
      </c>
      <c r="G10" s="245">
        <v>200</v>
      </c>
      <c r="H10" s="245">
        <v>200</v>
      </c>
      <c r="I10" s="245">
        <v>200</v>
      </c>
      <c r="J10" s="159">
        <v>100</v>
      </c>
      <c r="K10" s="161"/>
      <c r="L10" s="161"/>
      <c r="M10" s="161"/>
      <c r="N10" s="162"/>
      <c r="P10" s="193"/>
    </row>
    <row r="11" spans="1:16" ht="26.1" customHeight="1" thickTop="1" thickBot="1" x14ac:dyDescent="0.3">
      <c r="B11" s="240">
        <v>7</v>
      </c>
      <c r="C11" s="241" t="s">
        <v>351</v>
      </c>
      <c r="D11" s="167">
        <f t="shared" si="0"/>
        <v>100</v>
      </c>
      <c r="E11" s="844">
        <v>0</v>
      </c>
      <c r="F11" s="844">
        <v>0</v>
      </c>
      <c r="G11" s="844">
        <v>0</v>
      </c>
      <c r="H11" s="844">
        <v>0</v>
      </c>
      <c r="I11" s="844">
        <v>0</v>
      </c>
      <c r="J11" s="159">
        <v>100</v>
      </c>
      <c r="K11" s="161"/>
      <c r="L11" s="161"/>
      <c r="M11" s="161"/>
      <c r="N11" s="162"/>
      <c r="P11" s="193"/>
    </row>
    <row r="12" spans="1:16" ht="26.1" customHeight="1" thickTop="1" thickBot="1" x14ac:dyDescent="0.3">
      <c r="B12" s="238">
        <v>8</v>
      </c>
      <c r="C12" s="241" t="s">
        <v>1136</v>
      </c>
      <c r="D12" s="167">
        <f t="shared" ref="D12" si="1">SUM(E12:N12)</f>
        <v>0</v>
      </c>
      <c r="E12" s="844">
        <v>0</v>
      </c>
      <c r="F12" s="844">
        <v>0</v>
      </c>
      <c r="G12" s="844">
        <v>0</v>
      </c>
      <c r="H12" s="844">
        <v>0</v>
      </c>
      <c r="I12" s="844">
        <v>0</v>
      </c>
      <c r="J12" s="159">
        <v>0</v>
      </c>
      <c r="K12" s="161"/>
      <c r="L12" s="161"/>
      <c r="M12" s="161"/>
      <c r="N12" s="162"/>
      <c r="P12" s="193"/>
    </row>
    <row r="13" spans="1:16" ht="26.1" customHeight="1" thickTop="1" thickBot="1" x14ac:dyDescent="0.3">
      <c r="B13" s="240">
        <v>9</v>
      </c>
      <c r="C13" s="241" t="s">
        <v>776</v>
      </c>
      <c r="D13" s="167">
        <f t="shared" si="0"/>
        <v>100</v>
      </c>
      <c r="E13" s="245">
        <v>0</v>
      </c>
      <c r="F13" s="245">
        <v>0</v>
      </c>
      <c r="G13" s="245">
        <v>0</v>
      </c>
      <c r="H13" s="245">
        <v>0</v>
      </c>
      <c r="I13" s="245">
        <v>0</v>
      </c>
      <c r="J13" s="159">
        <v>100</v>
      </c>
      <c r="K13" s="161"/>
      <c r="L13" s="161"/>
      <c r="M13" s="161"/>
      <c r="N13" s="162"/>
      <c r="P13" s="193"/>
    </row>
    <row r="14" spans="1:16" ht="26.1" customHeight="1" thickTop="1" thickBot="1" x14ac:dyDescent="0.3">
      <c r="B14" s="238">
        <v>10</v>
      </c>
      <c r="C14" s="241" t="s">
        <v>232</v>
      </c>
      <c r="D14" s="167">
        <f t="shared" si="0"/>
        <v>800</v>
      </c>
      <c r="E14" s="844">
        <v>200</v>
      </c>
      <c r="F14" s="844">
        <v>100</v>
      </c>
      <c r="G14" s="844">
        <v>200</v>
      </c>
      <c r="H14" s="845">
        <v>0</v>
      </c>
      <c r="I14" s="844">
        <v>200</v>
      </c>
      <c r="J14" s="159">
        <v>100</v>
      </c>
      <c r="K14" s="161"/>
      <c r="L14" s="161"/>
      <c r="M14" s="161"/>
      <c r="N14" s="162"/>
      <c r="P14" s="193"/>
    </row>
    <row r="15" spans="1:16" ht="26.1" customHeight="1" thickTop="1" thickBot="1" x14ac:dyDescent="0.3">
      <c r="B15" s="240">
        <v>11</v>
      </c>
      <c r="C15" s="241" t="s">
        <v>410</v>
      </c>
      <c r="D15" s="167">
        <f t="shared" si="0"/>
        <v>1000</v>
      </c>
      <c r="E15" s="245">
        <v>200</v>
      </c>
      <c r="F15" s="245">
        <v>100</v>
      </c>
      <c r="G15" s="245">
        <v>200</v>
      </c>
      <c r="H15" s="245">
        <v>200</v>
      </c>
      <c r="I15" s="245">
        <v>200</v>
      </c>
      <c r="J15" s="159">
        <v>100</v>
      </c>
      <c r="K15" s="161"/>
      <c r="L15" s="161"/>
      <c r="M15" s="161"/>
      <c r="N15" s="162"/>
      <c r="P15" s="193"/>
    </row>
    <row r="16" spans="1:16" ht="26.1" customHeight="1" thickTop="1" thickBot="1" x14ac:dyDescent="0.3">
      <c r="B16" s="238">
        <v>12</v>
      </c>
      <c r="C16" s="241" t="s">
        <v>346</v>
      </c>
      <c r="D16" s="167">
        <f t="shared" si="0"/>
        <v>1000</v>
      </c>
      <c r="E16" s="246">
        <v>200</v>
      </c>
      <c r="F16" s="246">
        <v>100</v>
      </c>
      <c r="G16" s="246">
        <v>200</v>
      </c>
      <c r="H16" s="246">
        <v>200</v>
      </c>
      <c r="I16" s="246">
        <v>200</v>
      </c>
      <c r="J16" s="159">
        <v>100</v>
      </c>
      <c r="K16" s="161"/>
      <c r="L16" s="161"/>
      <c r="M16" s="161"/>
      <c r="N16" s="162"/>
      <c r="P16" s="193"/>
    </row>
    <row r="17" spans="2:16" ht="26.1" customHeight="1" thickTop="1" thickBot="1" x14ac:dyDescent="0.3">
      <c r="B17" s="240">
        <v>13</v>
      </c>
      <c r="C17" s="242" t="s">
        <v>62</v>
      </c>
      <c r="D17" s="167">
        <f t="shared" si="0"/>
        <v>800</v>
      </c>
      <c r="E17" s="246">
        <v>200</v>
      </c>
      <c r="F17" s="246">
        <v>100</v>
      </c>
      <c r="G17" s="246">
        <v>200</v>
      </c>
      <c r="H17" s="246">
        <v>200</v>
      </c>
      <c r="I17" s="380">
        <v>0</v>
      </c>
      <c r="J17" s="159">
        <v>100</v>
      </c>
      <c r="K17" s="161"/>
      <c r="L17" s="161"/>
      <c r="M17" s="161"/>
      <c r="N17" s="162"/>
      <c r="P17" s="193"/>
    </row>
    <row r="18" spans="2:16" ht="26.1" customHeight="1" thickTop="1" thickBot="1" x14ac:dyDescent="0.3">
      <c r="B18" s="238">
        <v>14</v>
      </c>
      <c r="C18" s="242" t="s">
        <v>68</v>
      </c>
      <c r="D18" s="167">
        <f t="shared" si="0"/>
        <v>1000</v>
      </c>
      <c r="E18" s="246">
        <v>200</v>
      </c>
      <c r="F18" s="246">
        <v>100</v>
      </c>
      <c r="G18" s="246">
        <v>200</v>
      </c>
      <c r="H18" s="246">
        <v>200</v>
      </c>
      <c r="I18" s="246">
        <v>200</v>
      </c>
      <c r="J18" s="159">
        <v>100</v>
      </c>
      <c r="K18" s="161"/>
      <c r="L18" s="161"/>
      <c r="M18" s="161"/>
      <c r="N18" s="162"/>
      <c r="P18" s="193"/>
    </row>
    <row r="19" spans="2:16" ht="26.1" customHeight="1" thickTop="1" thickBot="1" x14ac:dyDescent="0.3">
      <c r="B19" s="240">
        <v>15</v>
      </c>
      <c r="C19" s="242" t="s">
        <v>158</v>
      </c>
      <c r="D19" s="167">
        <f t="shared" si="0"/>
        <v>1000</v>
      </c>
      <c r="E19" s="246">
        <v>200</v>
      </c>
      <c r="F19" s="246">
        <v>100</v>
      </c>
      <c r="G19" s="246">
        <v>200</v>
      </c>
      <c r="H19" s="246">
        <v>200</v>
      </c>
      <c r="I19" s="246">
        <v>200</v>
      </c>
      <c r="J19" s="159">
        <v>100</v>
      </c>
      <c r="K19" s="161"/>
      <c r="L19" s="161"/>
      <c r="M19" s="161"/>
      <c r="N19" s="162"/>
      <c r="P19" s="193"/>
    </row>
    <row r="20" spans="2:16" ht="26.1" customHeight="1" thickTop="1" thickBot="1" x14ac:dyDescent="0.3">
      <c r="B20" s="238">
        <v>16</v>
      </c>
      <c r="C20" s="241" t="s">
        <v>212</v>
      </c>
      <c r="D20" s="167">
        <f t="shared" si="0"/>
        <v>1000</v>
      </c>
      <c r="E20" s="246">
        <v>200</v>
      </c>
      <c r="F20" s="246">
        <v>100</v>
      </c>
      <c r="G20" s="246">
        <v>200</v>
      </c>
      <c r="H20" s="246">
        <v>200</v>
      </c>
      <c r="I20" s="246">
        <v>200</v>
      </c>
      <c r="J20" s="159">
        <v>100</v>
      </c>
      <c r="K20" s="161"/>
      <c r="L20" s="161"/>
      <c r="M20" s="161"/>
      <c r="N20" s="162"/>
      <c r="P20" s="193"/>
    </row>
    <row r="21" spans="2:16" ht="26.1" customHeight="1" thickTop="1" thickBot="1" x14ac:dyDescent="0.3">
      <c r="B21" s="240">
        <v>17</v>
      </c>
      <c r="C21" s="242" t="s">
        <v>75</v>
      </c>
      <c r="D21" s="167">
        <f t="shared" si="0"/>
        <v>1000</v>
      </c>
      <c r="E21" s="246">
        <v>200</v>
      </c>
      <c r="F21" s="246">
        <v>100</v>
      </c>
      <c r="G21" s="246">
        <v>200</v>
      </c>
      <c r="H21" s="246">
        <v>200</v>
      </c>
      <c r="I21" s="246">
        <v>200</v>
      </c>
      <c r="J21" s="159">
        <v>100</v>
      </c>
      <c r="K21" s="161"/>
      <c r="L21" s="161"/>
      <c r="M21" s="161"/>
      <c r="N21" s="162"/>
      <c r="P21" s="193"/>
    </row>
    <row r="22" spans="2:16" ht="26.1" customHeight="1" thickTop="1" thickBot="1" x14ac:dyDescent="0.3">
      <c r="B22" s="238">
        <v>18</v>
      </c>
      <c r="C22" s="241" t="s">
        <v>134</v>
      </c>
      <c r="D22" s="167">
        <f t="shared" si="0"/>
        <v>1000</v>
      </c>
      <c r="E22" s="246">
        <v>200</v>
      </c>
      <c r="F22" s="246">
        <v>100</v>
      </c>
      <c r="G22" s="246">
        <v>200</v>
      </c>
      <c r="H22" s="246">
        <v>200</v>
      </c>
      <c r="I22" s="246">
        <v>200</v>
      </c>
      <c r="J22" s="159">
        <v>100</v>
      </c>
      <c r="K22" s="161"/>
      <c r="L22" s="161"/>
      <c r="M22" s="161"/>
      <c r="N22" s="162"/>
      <c r="P22" s="193"/>
    </row>
    <row r="23" spans="2:16" ht="26.1" customHeight="1" thickTop="1" thickBot="1" x14ac:dyDescent="0.3">
      <c r="B23" s="240">
        <v>19</v>
      </c>
      <c r="C23" s="242" t="s">
        <v>524</v>
      </c>
      <c r="D23" s="167">
        <f t="shared" si="0"/>
        <v>1000</v>
      </c>
      <c r="E23" s="246">
        <v>200</v>
      </c>
      <c r="F23" s="246">
        <v>100</v>
      </c>
      <c r="G23" s="246">
        <v>200</v>
      </c>
      <c r="H23" s="246">
        <v>200</v>
      </c>
      <c r="I23" s="246">
        <v>200</v>
      </c>
      <c r="J23" s="159">
        <v>100</v>
      </c>
      <c r="K23" s="161"/>
      <c r="L23" s="161"/>
      <c r="M23" s="161"/>
      <c r="N23" s="162"/>
      <c r="P23" s="193"/>
    </row>
    <row r="24" spans="2:16" ht="26.1" customHeight="1" thickTop="1" thickBot="1" x14ac:dyDescent="0.3">
      <c r="B24" s="238">
        <v>20</v>
      </c>
      <c r="C24" s="242" t="s">
        <v>76</v>
      </c>
      <c r="D24" s="167">
        <f t="shared" si="0"/>
        <v>1000</v>
      </c>
      <c r="E24" s="246">
        <v>200</v>
      </c>
      <c r="F24" s="246">
        <v>100</v>
      </c>
      <c r="G24" s="246">
        <v>200</v>
      </c>
      <c r="H24" s="246">
        <v>200</v>
      </c>
      <c r="I24" s="246">
        <v>200</v>
      </c>
      <c r="J24" s="159">
        <v>100</v>
      </c>
      <c r="K24" s="161"/>
      <c r="L24" s="161"/>
      <c r="M24" s="161"/>
      <c r="N24" s="162"/>
      <c r="P24" s="193"/>
    </row>
    <row r="25" spans="2:16" ht="26.1" customHeight="1" thickTop="1" thickBot="1" x14ac:dyDescent="0.3">
      <c r="B25" s="240">
        <v>21</v>
      </c>
      <c r="C25" s="242" t="s">
        <v>66</v>
      </c>
      <c r="D25" s="167">
        <f t="shared" si="0"/>
        <v>900</v>
      </c>
      <c r="E25" s="246">
        <v>200</v>
      </c>
      <c r="F25" s="246">
        <v>100</v>
      </c>
      <c r="G25" s="246">
        <v>200</v>
      </c>
      <c r="H25" s="246">
        <v>200</v>
      </c>
      <c r="I25" s="246">
        <v>200</v>
      </c>
      <c r="J25" s="381">
        <v>0</v>
      </c>
      <c r="K25" s="161"/>
      <c r="L25" s="161"/>
      <c r="M25" s="161"/>
      <c r="N25" s="162"/>
      <c r="P25" s="193"/>
    </row>
    <row r="26" spans="2:16" ht="26.1" customHeight="1" thickTop="1" thickBot="1" x14ac:dyDescent="0.3">
      <c r="B26" s="238">
        <v>22</v>
      </c>
      <c r="C26" s="241" t="s">
        <v>469</v>
      </c>
      <c r="D26" s="167">
        <f t="shared" si="0"/>
        <v>700</v>
      </c>
      <c r="E26" s="246">
        <v>200</v>
      </c>
      <c r="F26" s="380">
        <v>0</v>
      </c>
      <c r="G26" s="380">
        <v>0</v>
      </c>
      <c r="H26" s="246">
        <v>200</v>
      </c>
      <c r="I26" s="246">
        <v>200</v>
      </c>
      <c r="J26" s="159">
        <v>100</v>
      </c>
      <c r="K26" s="161"/>
      <c r="L26" s="161"/>
      <c r="M26" s="161"/>
      <c r="N26" s="162"/>
      <c r="P26" s="193"/>
    </row>
    <row r="27" spans="2:16" ht="26.1" customHeight="1" thickTop="1" thickBot="1" x14ac:dyDescent="0.3">
      <c r="B27" s="240">
        <v>23</v>
      </c>
      <c r="C27" s="241" t="s">
        <v>758</v>
      </c>
      <c r="D27" s="167">
        <f t="shared" si="0"/>
        <v>1000</v>
      </c>
      <c r="E27" s="246">
        <v>200</v>
      </c>
      <c r="F27" s="246">
        <v>100</v>
      </c>
      <c r="G27" s="246">
        <v>200</v>
      </c>
      <c r="H27" s="246">
        <v>200</v>
      </c>
      <c r="I27" s="246">
        <v>200</v>
      </c>
      <c r="J27" s="159">
        <v>100</v>
      </c>
      <c r="K27" s="161"/>
      <c r="L27" s="161"/>
      <c r="M27" s="161"/>
      <c r="N27" s="162"/>
      <c r="P27" s="193"/>
    </row>
    <row r="28" spans="2:16" ht="26.1" customHeight="1" thickTop="1" thickBot="1" x14ac:dyDescent="0.3">
      <c r="B28" s="238">
        <v>24</v>
      </c>
      <c r="C28" s="241" t="s">
        <v>213</v>
      </c>
      <c r="D28" s="167">
        <f t="shared" si="0"/>
        <v>1000</v>
      </c>
      <c r="E28" s="246">
        <v>200</v>
      </c>
      <c r="F28" s="246">
        <v>100</v>
      </c>
      <c r="G28" s="246">
        <v>200</v>
      </c>
      <c r="H28" s="246">
        <v>200</v>
      </c>
      <c r="I28" s="246">
        <v>200</v>
      </c>
      <c r="J28" s="159">
        <v>100</v>
      </c>
      <c r="K28" s="161"/>
      <c r="L28" s="161"/>
      <c r="M28" s="161"/>
      <c r="N28" s="162"/>
      <c r="P28" s="193"/>
    </row>
    <row r="29" spans="2:16" ht="26.1" customHeight="1" thickTop="1" thickBot="1" x14ac:dyDescent="0.3">
      <c r="B29" s="243"/>
      <c r="C29" s="244"/>
      <c r="D29" s="168"/>
      <c r="E29" s="247"/>
      <c r="F29" s="247"/>
      <c r="G29" s="247"/>
      <c r="H29" s="247"/>
      <c r="I29" s="247"/>
      <c r="J29" s="163"/>
      <c r="K29" s="163"/>
      <c r="L29" s="163"/>
      <c r="M29" s="163"/>
      <c r="N29" s="164"/>
    </row>
    <row r="30" spans="2:16" s="81" customFormat="1" ht="32.1" customHeight="1" thickBot="1" x14ac:dyDescent="0.45">
      <c r="B30" s="1053" t="s">
        <v>1</v>
      </c>
      <c r="C30" s="1054"/>
      <c r="D30" s="249">
        <f t="shared" ref="D30:N30" si="2">SUBTOTAL(9,D5:D28)</f>
        <v>18100</v>
      </c>
      <c r="E30" s="249">
        <f t="shared" si="2"/>
        <v>3400</v>
      </c>
      <c r="F30" s="249">
        <f t="shared" si="2"/>
        <v>1700</v>
      </c>
      <c r="G30" s="249">
        <f t="shared" si="2"/>
        <v>3600</v>
      </c>
      <c r="H30" s="249">
        <f t="shared" si="2"/>
        <v>3600</v>
      </c>
      <c r="I30" s="249">
        <f t="shared" si="2"/>
        <v>3600</v>
      </c>
      <c r="J30" s="249">
        <f t="shared" si="2"/>
        <v>2200</v>
      </c>
      <c r="K30" s="249">
        <f t="shared" si="2"/>
        <v>0</v>
      </c>
      <c r="L30" s="249">
        <f t="shared" si="2"/>
        <v>0</v>
      </c>
      <c r="M30" s="249">
        <f t="shared" si="2"/>
        <v>0</v>
      </c>
      <c r="N30" s="249">
        <f t="shared" si="2"/>
        <v>0</v>
      </c>
    </row>
    <row r="31" spans="2:16" s="248" customFormat="1" ht="32.1" customHeight="1" thickTop="1" thickBot="1" x14ac:dyDescent="0.45">
      <c r="B31" s="1051" t="s">
        <v>684</v>
      </c>
      <c r="C31" s="1052"/>
      <c r="D31" s="250">
        <f t="shared" ref="D31:N31" si="3">COUNTIF(D5:D28,"&gt;0")</f>
        <v>23</v>
      </c>
      <c r="E31" s="250">
        <f t="shared" si="3"/>
        <v>17</v>
      </c>
      <c r="F31" s="250">
        <f t="shared" si="3"/>
        <v>17</v>
      </c>
      <c r="G31" s="250">
        <f t="shared" si="3"/>
        <v>18</v>
      </c>
      <c r="H31" s="250">
        <f t="shared" si="3"/>
        <v>18</v>
      </c>
      <c r="I31" s="250">
        <f t="shared" si="3"/>
        <v>18</v>
      </c>
      <c r="J31" s="250">
        <f t="shared" si="3"/>
        <v>22</v>
      </c>
      <c r="K31" s="250">
        <f t="shared" si="3"/>
        <v>0</v>
      </c>
      <c r="L31" s="250">
        <f t="shared" si="3"/>
        <v>0</v>
      </c>
      <c r="M31" s="250">
        <f t="shared" si="3"/>
        <v>0</v>
      </c>
      <c r="N31" s="250">
        <f t="shared" si="3"/>
        <v>0</v>
      </c>
      <c r="O31" s="81"/>
      <c r="P31" s="81"/>
    </row>
    <row r="32" spans="2:16" ht="32.1" customHeight="1" thickTop="1" thickBot="1" x14ac:dyDescent="0.45">
      <c r="B32" s="1051" t="s">
        <v>685</v>
      </c>
      <c r="C32" s="1052"/>
      <c r="D32" s="250">
        <f>COUNTIF(D5:D28,0)</f>
        <v>1</v>
      </c>
      <c r="E32" s="250">
        <f t="shared" ref="E32:N32" si="4">COUNTIF(E5:E28,0)</f>
        <v>7</v>
      </c>
      <c r="F32" s="250">
        <f t="shared" si="4"/>
        <v>7</v>
      </c>
      <c r="G32" s="250">
        <f>COUNTIF(G5:G28,0)</f>
        <v>6</v>
      </c>
      <c r="H32" s="250">
        <f t="shared" si="4"/>
        <v>6</v>
      </c>
      <c r="I32" s="250">
        <f t="shared" si="4"/>
        <v>6</v>
      </c>
      <c r="J32" s="250">
        <f t="shared" si="4"/>
        <v>2</v>
      </c>
      <c r="K32" s="250">
        <f t="shared" si="4"/>
        <v>0</v>
      </c>
      <c r="L32" s="250">
        <f t="shared" si="4"/>
        <v>0</v>
      </c>
      <c r="M32" s="250">
        <f t="shared" si="4"/>
        <v>0</v>
      </c>
      <c r="N32" s="250">
        <f t="shared" si="4"/>
        <v>0</v>
      </c>
    </row>
    <row r="33" spans="3:3" ht="18.75" thickTop="1" x14ac:dyDescent="0.25">
      <c r="C33" s="75"/>
    </row>
  </sheetData>
  <autoFilter ref="B4:N4" xr:uid="{00000000-0001-0000-0700-000000000000}"/>
  <sortState xmlns:xlrd2="http://schemas.microsoft.com/office/spreadsheetml/2017/richdata2" ref="C6:J28">
    <sortCondition ref="C5:C28"/>
  </sortState>
  <mergeCells count="4">
    <mergeCell ref="B2:D2"/>
    <mergeCell ref="B31:C31"/>
    <mergeCell ref="B32:C32"/>
    <mergeCell ref="B30:C30"/>
  </mergeCells>
  <conditionalFormatting sqref="D30:N32">
    <cfRule type="cellIs" dxfId="84" priority="1" operator="equal">
      <formula>0</formula>
    </cfRule>
    <cfRule type="cellIs" dxfId="83" priority="2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P32"/>
  <sheetViews>
    <sheetView workbookViewId="0">
      <pane xSplit="4" ySplit="3" topLeftCell="E10" activePane="bottomRight" state="frozen"/>
      <selection pane="topRight"/>
      <selection pane="bottomLeft"/>
      <selection pane="bottomRight"/>
    </sheetView>
  </sheetViews>
  <sheetFormatPr defaultColWidth="9.140625" defaultRowHeight="18" x14ac:dyDescent="0.25"/>
  <cols>
    <col min="1" max="1" width="2.85546875" style="2" customWidth="1"/>
    <col min="2" max="2" width="7.7109375" style="1" customWidth="1"/>
    <col min="3" max="3" width="48.28515625" style="2" bestFit="1" customWidth="1"/>
    <col min="4" max="4" width="21.7109375" style="2" bestFit="1" customWidth="1"/>
    <col min="5" max="5" width="19.5703125" style="2" bestFit="1" customWidth="1"/>
    <col min="6" max="6" width="22.85546875" style="2" customWidth="1"/>
    <col min="7" max="7" width="19.5703125" style="2" bestFit="1" customWidth="1"/>
    <col min="8" max="8" width="20.140625" style="2" customWidth="1"/>
    <col min="9" max="9" width="21" style="2" customWidth="1"/>
    <col min="10" max="10" width="19.85546875" style="2" customWidth="1"/>
    <col min="11" max="14" width="18.7109375" style="2" customWidth="1"/>
    <col min="15" max="16" width="17.28515625" style="2" customWidth="1"/>
    <col min="17" max="16384" width="9.140625" style="2"/>
  </cols>
  <sheetData>
    <row r="1" spans="1:14" s="77" customFormat="1" ht="24.75" customHeight="1" x14ac:dyDescent="0.25">
      <c r="A1" s="89"/>
      <c r="B1" s="76"/>
    </row>
    <row r="2" spans="1:14" s="70" customFormat="1" ht="47.25" thickBot="1" x14ac:dyDescent="0.8">
      <c r="B2" s="1050" t="s">
        <v>521</v>
      </c>
      <c r="C2" s="1050"/>
      <c r="D2" s="91"/>
      <c r="G2" s="93"/>
      <c r="I2" s="93"/>
      <c r="J2" s="78"/>
    </row>
    <row r="3" spans="1:14" s="130" customFormat="1" ht="62.25" thickTop="1" thickBot="1" x14ac:dyDescent="0.3">
      <c r="A3" s="130" t="s">
        <v>653</v>
      </c>
      <c r="B3" s="131" t="s">
        <v>125</v>
      </c>
      <c r="C3" s="131" t="s">
        <v>57</v>
      </c>
      <c r="D3" s="131" t="s">
        <v>1</v>
      </c>
      <c r="E3" s="131" t="s">
        <v>645</v>
      </c>
      <c r="F3" s="131" t="s">
        <v>646</v>
      </c>
      <c r="G3" s="131" t="s">
        <v>646</v>
      </c>
      <c r="H3" s="131" t="s">
        <v>1133</v>
      </c>
      <c r="I3" s="131" t="s">
        <v>1134</v>
      </c>
      <c r="J3" s="131" t="s">
        <v>1135</v>
      </c>
      <c r="K3" s="131"/>
      <c r="L3" s="131"/>
      <c r="M3" s="131"/>
      <c r="N3" s="131"/>
    </row>
    <row r="4" spans="1:14" ht="26.1" customHeight="1" thickTop="1" thickBot="1" x14ac:dyDescent="0.4">
      <c r="B4" s="251">
        <v>1</v>
      </c>
      <c r="C4" s="252" t="s">
        <v>620</v>
      </c>
      <c r="D4" s="169">
        <f t="shared" ref="D4:D27" si="0">SUM(E4:N4)</f>
        <v>700</v>
      </c>
      <c r="E4" s="255">
        <v>0</v>
      </c>
      <c r="F4" s="255">
        <v>0</v>
      </c>
      <c r="G4" s="255">
        <v>200</v>
      </c>
      <c r="H4" s="255">
        <v>200</v>
      </c>
      <c r="I4" s="255">
        <v>200</v>
      </c>
      <c r="J4" s="255">
        <v>100</v>
      </c>
      <c r="K4" s="255"/>
      <c r="L4" s="255"/>
      <c r="M4" s="255"/>
      <c r="N4" s="326"/>
    </row>
    <row r="5" spans="1:14" ht="26.1" customHeight="1" thickTop="1" thickBot="1" x14ac:dyDescent="0.4">
      <c r="B5" s="287">
        <v>2</v>
      </c>
      <c r="C5" s="288" t="s">
        <v>687</v>
      </c>
      <c r="D5" s="169">
        <f t="shared" si="0"/>
        <v>100</v>
      </c>
      <c r="E5" s="245">
        <v>0</v>
      </c>
      <c r="F5" s="245">
        <v>0</v>
      </c>
      <c r="G5" s="245">
        <v>0</v>
      </c>
      <c r="H5" s="245">
        <v>0</v>
      </c>
      <c r="I5" s="245">
        <v>0</v>
      </c>
      <c r="J5" s="245">
        <v>100</v>
      </c>
      <c r="K5" s="245"/>
      <c r="L5" s="245"/>
      <c r="M5" s="245"/>
      <c r="N5" s="327"/>
    </row>
    <row r="6" spans="1:14" ht="26.1" customHeight="1" thickTop="1" thickBot="1" x14ac:dyDescent="0.4">
      <c r="B6" s="287">
        <v>3</v>
      </c>
      <c r="C6" s="253" t="s">
        <v>458</v>
      </c>
      <c r="D6" s="167">
        <f t="shared" si="0"/>
        <v>1000</v>
      </c>
      <c r="E6" s="246">
        <v>200</v>
      </c>
      <c r="F6" s="246">
        <v>100</v>
      </c>
      <c r="G6" s="246">
        <v>200</v>
      </c>
      <c r="H6" s="246">
        <v>200</v>
      </c>
      <c r="I6" s="246">
        <v>200</v>
      </c>
      <c r="J6" s="246">
        <v>100</v>
      </c>
      <c r="K6" s="246"/>
      <c r="L6" s="246"/>
      <c r="M6" s="246"/>
      <c r="N6" s="328"/>
    </row>
    <row r="7" spans="1:14" ht="26.1" customHeight="1" thickTop="1" thickBot="1" x14ac:dyDescent="0.4">
      <c r="B7" s="287">
        <v>4</v>
      </c>
      <c r="C7" s="253" t="s">
        <v>211</v>
      </c>
      <c r="D7" s="167">
        <f t="shared" si="0"/>
        <v>1000</v>
      </c>
      <c r="E7" s="246">
        <v>200</v>
      </c>
      <c r="F7" s="246">
        <v>100</v>
      </c>
      <c r="G7" s="246">
        <v>200</v>
      </c>
      <c r="H7" s="246">
        <v>200</v>
      </c>
      <c r="I7" s="246">
        <v>200</v>
      </c>
      <c r="J7" s="246">
        <v>100</v>
      </c>
      <c r="K7" s="246"/>
      <c r="L7" s="246"/>
      <c r="M7" s="246"/>
      <c r="N7" s="328"/>
    </row>
    <row r="8" spans="1:14" ht="26.1" customHeight="1" thickTop="1" thickBot="1" x14ac:dyDescent="0.4">
      <c r="B8" s="287">
        <v>5</v>
      </c>
      <c r="C8" s="253" t="s">
        <v>273</v>
      </c>
      <c r="D8" s="167">
        <f t="shared" si="0"/>
        <v>100</v>
      </c>
      <c r="E8" s="246">
        <v>0</v>
      </c>
      <c r="F8" s="246">
        <v>0</v>
      </c>
      <c r="G8" s="246">
        <v>0</v>
      </c>
      <c r="H8" s="246">
        <v>0</v>
      </c>
      <c r="I8" s="246">
        <v>0</v>
      </c>
      <c r="J8" s="246">
        <v>100</v>
      </c>
      <c r="K8" s="246"/>
      <c r="L8" s="246"/>
      <c r="M8" s="246"/>
      <c r="N8" s="328"/>
    </row>
    <row r="9" spans="1:14" ht="26.1" customHeight="1" thickTop="1" thickBot="1" x14ac:dyDescent="0.4">
      <c r="B9" s="287">
        <v>6</v>
      </c>
      <c r="C9" s="253" t="s">
        <v>186</v>
      </c>
      <c r="D9" s="167">
        <f t="shared" si="0"/>
        <v>800</v>
      </c>
      <c r="E9" s="380">
        <v>0</v>
      </c>
      <c r="F9" s="246">
        <v>100</v>
      </c>
      <c r="G9" s="246">
        <v>200</v>
      </c>
      <c r="H9" s="246">
        <v>200</v>
      </c>
      <c r="I9" s="246">
        <v>200</v>
      </c>
      <c r="J9" s="246">
        <v>100</v>
      </c>
      <c r="K9" s="246"/>
      <c r="L9" s="246"/>
      <c r="M9" s="246"/>
      <c r="N9" s="328"/>
    </row>
    <row r="10" spans="1:14" ht="26.1" customHeight="1" thickTop="1" thickBot="1" x14ac:dyDescent="0.4">
      <c r="B10" s="287">
        <v>7</v>
      </c>
      <c r="C10" s="253" t="s">
        <v>351</v>
      </c>
      <c r="D10" s="167">
        <f t="shared" si="0"/>
        <v>100</v>
      </c>
      <c r="E10" s="246">
        <v>0</v>
      </c>
      <c r="F10" s="246">
        <v>0</v>
      </c>
      <c r="G10" s="246">
        <v>0</v>
      </c>
      <c r="H10" s="246">
        <v>0</v>
      </c>
      <c r="I10" s="246">
        <v>0</v>
      </c>
      <c r="J10" s="246">
        <v>100</v>
      </c>
      <c r="K10" s="246"/>
      <c r="L10" s="246"/>
      <c r="M10" s="246"/>
      <c r="N10" s="328"/>
    </row>
    <row r="11" spans="1:14" ht="26.1" customHeight="1" thickTop="1" thickBot="1" x14ac:dyDescent="0.4">
      <c r="B11" s="287">
        <v>8</v>
      </c>
      <c r="C11" s="253" t="s">
        <v>1136</v>
      </c>
      <c r="D11" s="167">
        <f t="shared" ref="D11" si="1">SUM(E11:N11)</f>
        <v>0</v>
      </c>
      <c r="E11" s="246">
        <v>0</v>
      </c>
      <c r="F11" s="246">
        <v>0</v>
      </c>
      <c r="G11" s="246">
        <v>0</v>
      </c>
      <c r="H11" s="246">
        <v>0</v>
      </c>
      <c r="I11" s="246">
        <v>0</v>
      </c>
      <c r="J11" s="246">
        <v>0</v>
      </c>
      <c r="K11" s="246"/>
      <c r="L11" s="246"/>
      <c r="M11" s="246"/>
      <c r="N11" s="328"/>
    </row>
    <row r="12" spans="1:14" ht="26.1" customHeight="1" thickTop="1" thickBot="1" x14ac:dyDescent="0.4">
      <c r="B12" s="287">
        <v>9</v>
      </c>
      <c r="C12" s="253" t="s">
        <v>776</v>
      </c>
      <c r="D12" s="167">
        <f t="shared" si="0"/>
        <v>100</v>
      </c>
      <c r="E12" s="246">
        <v>0</v>
      </c>
      <c r="F12" s="246">
        <v>0</v>
      </c>
      <c r="G12" s="246">
        <v>0</v>
      </c>
      <c r="H12" s="246">
        <v>0</v>
      </c>
      <c r="I12" s="246">
        <v>0</v>
      </c>
      <c r="J12" s="246">
        <v>100</v>
      </c>
      <c r="K12" s="246"/>
      <c r="L12" s="246"/>
      <c r="M12" s="246"/>
      <c r="N12" s="328"/>
    </row>
    <row r="13" spans="1:14" ht="26.1" customHeight="1" thickTop="1" thickBot="1" x14ac:dyDescent="0.4">
      <c r="B13" s="287">
        <v>10</v>
      </c>
      <c r="C13" s="253" t="s">
        <v>232</v>
      </c>
      <c r="D13" s="167">
        <f t="shared" si="0"/>
        <v>800</v>
      </c>
      <c r="E13" s="246">
        <v>200</v>
      </c>
      <c r="F13" s="246">
        <v>100</v>
      </c>
      <c r="G13" s="246">
        <v>200</v>
      </c>
      <c r="H13" s="380">
        <v>0</v>
      </c>
      <c r="I13" s="246">
        <v>200</v>
      </c>
      <c r="J13" s="246">
        <v>100</v>
      </c>
      <c r="K13" s="246"/>
      <c r="L13" s="246"/>
      <c r="M13" s="246"/>
      <c r="N13" s="328"/>
    </row>
    <row r="14" spans="1:14" ht="26.1" customHeight="1" thickTop="1" thickBot="1" x14ac:dyDescent="0.4">
      <c r="B14" s="287">
        <v>11</v>
      </c>
      <c r="C14" s="253" t="s">
        <v>410</v>
      </c>
      <c r="D14" s="167">
        <f t="shared" si="0"/>
        <v>1000</v>
      </c>
      <c r="E14" s="246">
        <v>200</v>
      </c>
      <c r="F14" s="246">
        <v>100</v>
      </c>
      <c r="G14" s="246">
        <v>200</v>
      </c>
      <c r="H14" s="246">
        <v>200</v>
      </c>
      <c r="I14" s="246">
        <v>200</v>
      </c>
      <c r="J14" s="246">
        <v>100</v>
      </c>
      <c r="K14" s="246"/>
      <c r="L14" s="246"/>
      <c r="M14" s="246"/>
      <c r="N14" s="328"/>
    </row>
    <row r="15" spans="1:14" ht="26.1" customHeight="1" thickTop="1" thickBot="1" x14ac:dyDescent="0.4">
      <c r="B15" s="287">
        <v>12</v>
      </c>
      <c r="C15" s="253" t="s">
        <v>346</v>
      </c>
      <c r="D15" s="167">
        <f t="shared" si="0"/>
        <v>1000</v>
      </c>
      <c r="E15" s="246">
        <v>200</v>
      </c>
      <c r="F15" s="246">
        <v>100</v>
      </c>
      <c r="G15" s="246">
        <v>200</v>
      </c>
      <c r="H15" s="246">
        <v>200</v>
      </c>
      <c r="I15" s="246">
        <v>200</v>
      </c>
      <c r="J15" s="246">
        <v>100</v>
      </c>
      <c r="K15" s="246"/>
      <c r="L15" s="246"/>
      <c r="M15" s="246"/>
      <c r="N15" s="328"/>
    </row>
    <row r="16" spans="1:14" ht="26.1" customHeight="1" thickTop="1" thickBot="1" x14ac:dyDescent="0.4">
      <c r="B16" s="287">
        <v>13</v>
      </c>
      <c r="C16" s="254" t="s">
        <v>62</v>
      </c>
      <c r="D16" s="167">
        <f t="shared" si="0"/>
        <v>800</v>
      </c>
      <c r="E16" s="246">
        <v>200</v>
      </c>
      <c r="F16" s="246">
        <v>100</v>
      </c>
      <c r="G16" s="246">
        <v>200</v>
      </c>
      <c r="H16" s="246">
        <v>200</v>
      </c>
      <c r="I16" s="380">
        <v>0</v>
      </c>
      <c r="J16" s="246">
        <v>100</v>
      </c>
      <c r="K16" s="246"/>
      <c r="L16" s="246"/>
      <c r="M16" s="246"/>
      <c r="N16" s="328"/>
    </row>
    <row r="17" spans="2:16" ht="26.1" customHeight="1" thickTop="1" thickBot="1" x14ac:dyDescent="0.4">
      <c r="B17" s="287">
        <v>14</v>
      </c>
      <c r="C17" s="254" t="s">
        <v>68</v>
      </c>
      <c r="D17" s="167">
        <f t="shared" si="0"/>
        <v>1000</v>
      </c>
      <c r="E17" s="246">
        <v>200</v>
      </c>
      <c r="F17" s="246">
        <v>100</v>
      </c>
      <c r="G17" s="246">
        <v>200</v>
      </c>
      <c r="H17" s="246">
        <v>200</v>
      </c>
      <c r="I17" s="246">
        <v>200</v>
      </c>
      <c r="J17" s="246">
        <v>100</v>
      </c>
      <c r="K17" s="246"/>
      <c r="L17" s="246"/>
      <c r="M17" s="246"/>
      <c r="N17" s="328"/>
    </row>
    <row r="18" spans="2:16" ht="26.1" customHeight="1" thickTop="1" thickBot="1" x14ac:dyDescent="0.4">
      <c r="B18" s="287">
        <v>15</v>
      </c>
      <c r="C18" s="254" t="s">
        <v>158</v>
      </c>
      <c r="D18" s="167">
        <f t="shared" si="0"/>
        <v>1000</v>
      </c>
      <c r="E18" s="246">
        <v>200</v>
      </c>
      <c r="F18" s="246">
        <v>100</v>
      </c>
      <c r="G18" s="246">
        <v>200</v>
      </c>
      <c r="H18" s="246">
        <v>200</v>
      </c>
      <c r="I18" s="246">
        <v>200</v>
      </c>
      <c r="J18" s="246">
        <v>100</v>
      </c>
      <c r="K18" s="246"/>
      <c r="L18" s="246"/>
      <c r="M18" s="246"/>
      <c r="N18" s="328"/>
    </row>
    <row r="19" spans="2:16" ht="26.1" customHeight="1" thickTop="1" thickBot="1" x14ac:dyDescent="0.4">
      <c r="B19" s="287">
        <v>16</v>
      </c>
      <c r="C19" s="253" t="s">
        <v>212</v>
      </c>
      <c r="D19" s="167">
        <f t="shared" si="0"/>
        <v>1000</v>
      </c>
      <c r="E19" s="246">
        <v>200</v>
      </c>
      <c r="F19" s="246">
        <v>100</v>
      </c>
      <c r="G19" s="246">
        <v>200</v>
      </c>
      <c r="H19" s="246">
        <v>200</v>
      </c>
      <c r="I19" s="246">
        <v>200</v>
      </c>
      <c r="J19" s="246">
        <v>100</v>
      </c>
      <c r="K19" s="246"/>
      <c r="L19" s="246"/>
      <c r="M19" s="246"/>
      <c r="N19" s="328"/>
    </row>
    <row r="20" spans="2:16" ht="26.1" customHeight="1" thickTop="1" thickBot="1" x14ac:dyDescent="0.4">
      <c r="B20" s="287">
        <v>17</v>
      </c>
      <c r="C20" s="254" t="s">
        <v>75</v>
      </c>
      <c r="D20" s="167">
        <f t="shared" si="0"/>
        <v>1000</v>
      </c>
      <c r="E20" s="246">
        <v>200</v>
      </c>
      <c r="F20" s="246">
        <v>100</v>
      </c>
      <c r="G20" s="246">
        <v>200</v>
      </c>
      <c r="H20" s="246">
        <v>200</v>
      </c>
      <c r="I20" s="246">
        <v>200</v>
      </c>
      <c r="J20" s="246">
        <v>100</v>
      </c>
      <c r="K20" s="246"/>
      <c r="L20" s="246"/>
      <c r="M20" s="246"/>
      <c r="N20" s="328"/>
    </row>
    <row r="21" spans="2:16" ht="26.1" customHeight="1" thickTop="1" thickBot="1" x14ac:dyDescent="0.4">
      <c r="B21" s="287">
        <v>18</v>
      </c>
      <c r="C21" s="253" t="s">
        <v>134</v>
      </c>
      <c r="D21" s="167">
        <f t="shared" si="0"/>
        <v>1000</v>
      </c>
      <c r="E21" s="246">
        <v>200</v>
      </c>
      <c r="F21" s="246">
        <v>100</v>
      </c>
      <c r="G21" s="246">
        <v>200</v>
      </c>
      <c r="H21" s="246">
        <v>200</v>
      </c>
      <c r="I21" s="246">
        <v>200</v>
      </c>
      <c r="J21" s="246">
        <v>100</v>
      </c>
      <c r="K21" s="246"/>
      <c r="L21" s="246"/>
      <c r="M21" s="246"/>
      <c r="N21" s="328"/>
    </row>
    <row r="22" spans="2:16" ht="26.1" customHeight="1" thickTop="1" thickBot="1" x14ac:dyDescent="0.4">
      <c r="B22" s="287">
        <v>19</v>
      </c>
      <c r="C22" s="254" t="s">
        <v>524</v>
      </c>
      <c r="D22" s="167">
        <f t="shared" si="0"/>
        <v>1000</v>
      </c>
      <c r="E22" s="246">
        <v>200</v>
      </c>
      <c r="F22" s="246">
        <v>100</v>
      </c>
      <c r="G22" s="246">
        <v>200</v>
      </c>
      <c r="H22" s="246">
        <v>200</v>
      </c>
      <c r="I22" s="246">
        <v>200</v>
      </c>
      <c r="J22" s="246">
        <v>100</v>
      </c>
      <c r="K22" s="246"/>
      <c r="L22" s="246"/>
      <c r="M22" s="246"/>
      <c r="N22" s="328"/>
    </row>
    <row r="23" spans="2:16" ht="26.1" customHeight="1" thickTop="1" thickBot="1" x14ac:dyDescent="0.4">
      <c r="B23" s="287">
        <v>20</v>
      </c>
      <c r="C23" s="254" t="s">
        <v>76</v>
      </c>
      <c r="D23" s="167">
        <f t="shared" si="0"/>
        <v>1000</v>
      </c>
      <c r="E23" s="246">
        <v>200</v>
      </c>
      <c r="F23" s="246">
        <v>100</v>
      </c>
      <c r="G23" s="246">
        <v>200</v>
      </c>
      <c r="H23" s="246">
        <v>200</v>
      </c>
      <c r="I23" s="246">
        <v>200</v>
      </c>
      <c r="J23" s="246">
        <v>100</v>
      </c>
      <c r="K23" s="246"/>
      <c r="L23" s="246"/>
      <c r="M23" s="246"/>
      <c r="N23" s="328"/>
    </row>
    <row r="24" spans="2:16" ht="26.1" customHeight="1" thickTop="1" thickBot="1" x14ac:dyDescent="0.4">
      <c r="B24" s="287">
        <v>21</v>
      </c>
      <c r="C24" s="254" t="s">
        <v>66</v>
      </c>
      <c r="D24" s="167">
        <f t="shared" si="0"/>
        <v>900</v>
      </c>
      <c r="E24" s="246">
        <v>200</v>
      </c>
      <c r="F24" s="246">
        <v>100</v>
      </c>
      <c r="G24" s="246">
        <v>200</v>
      </c>
      <c r="H24" s="246">
        <v>200</v>
      </c>
      <c r="I24" s="246">
        <v>200</v>
      </c>
      <c r="J24" s="380">
        <v>0</v>
      </c>
      <c r="K24" s="246"/>
      <c r="L24" s="246"/>
      <c r="M24" s="246"/>
      <c r="N24" s="328"/>
    </row>
    <row r="25" spans="2:16" ht="26.1" customHeight="1" thickTop="1" thickBot="1" x14ac:dyDescent="0.4">
      <c r="B25" s="287">
        <v>22</v>
      </c>
      <c r="C25" s="253" t="s">
        <v>469</v>
      </c>
      <c r="D25" s="167">
        <f t="shared" si="0"/>
        <v>700</v>
      </c>
      <c r="E25" s="246">
        <v>200</v>
      </c>
      <c r="F25" s="380">
        <v>0</v>
      </c>
      <c r="G25" s="380">
        <v>0</v>
      </c>
      <c r="H25" s="246">
        <v>200</v>
      </c>
      <c r="I25" s="246">
        <v>200</v>
      </c>
      <c r="J25" s="246">
        <v>100</v>
      </c>
      <c r="K25" s="246"/>
      <c r="L25" s="246"/>
      <c r="M25" s="246"/>
      <c r="N25" s="328"/>
    </row>
    <row r="26" spans="2:16" ht="26.1" customHeight="1" thickTop="1" thickBot="1" x14ac:dyDescent="0.4">
      <c r="B26" s="287">
        <v>23</v>
      </c>
      <c r="C26" s="253" t="s">
        <v>758</v>
      </c>
      <c r="D26" s="167">
        <f t="shared" si="0"/>
        <v>1000</v>
      </c>
      <c r="E26" s="246">
        <v>200</v>
      </c>
      <c r="F26" s="246">
        <v>100</v>
      </c>
      <c r="G26" s="246">
        <v>200</v>
      </c>
      <c r="H26" s="246">
        <v>200</v>
      </c>
      <c r="I26" s="246">
        <v>200</v>
      </c>
      <c r="J26" s="246">
        <v>100</v>
      </c>
      <c r="K26" s="246"/>
      <c r="L26" s="246"/>
      <c r="M26" s="246"/>
      <c r="N26" s="328"/>
    </row>
    <row r="27" spans="2:16" ht="26.1" customHeight="1" thickTop="1" thickBot="1" x14ac:dyDescent="0.4">
      <c r="B27" s="287">
        <v>24</v>
      </c>
      <c r="C27" s="253" t="s">
        <v>213</v>
      </c>
      <c r="D27" s="167">
        <f t="shared" si="0"/>
        <v>1000</v>
      </c>
      <c r="E27" s="246">
        <v>200</v>
      </c>
      <c r="F27" s="246">
        <v>100</v>
      </c>
      <c r="G27" s="246">
        <v>200</v>
      </c>
      <c r="H27" s="246">
        <v>200</v>
      </c>
      <c r="I27" s="246">
        <v>200</v>
      </c>
      <c r="J27" s="246">
        <v>100</v>
      </c>
      <c r="K27" s="246"/>
      <c r="L27" s="246"/>
      <c r="M27" s="246"/>
      <c r="N27" s="328"/>
    </row>
    <row r="28" spans="2:16" ht="26.1" customHeight="1" thickTop="1" thickBot="1" x14ac:dyDescent="0.3">
      <c r="B28" s="155"/>
      <c r="C28" s="156"/>
      <c r="D28" s="168"/>
      <c r="E28" s="158"/>
      <c r="F28" s="158"/>
      <c r="G28" s="158"/>
      <c r="H28" s="158"/>
      <c r="I28" s="158"/>
      <c r="J28" s="247"/>
      <c r="K28" s="247"/>
      <c r="L28" s="247"/>
      <c r="M28" s="247"/>
      <c r="N28" s="329"/>
    </row>
    <row r="29" spans="2:16" s="81" customFormat="1" ht="32.1" customHeight="1" thickBot="1" x14ac:dyDescent="0.45">
      <c r="B29" s="1053" t="s">
        <v>1</v>
      </c>
      <c r="C29" s="1054"/>
      <c r="D29" s="249">
        <f t="shared" ref="D29:N29" si="2">SUBTOTAL(9,D4:D27)</f>
        <v>18100</v>
      </c>
      <c r="E29" s="249">
        <f t="shared" si="2"/>
        <v>3400</v>
      </c>
      <c r="F29" s="249">
        <f t="shared" si="2"/>
        <v>1700</v>
      </c>
      <c r="G29" s="249">
        <f t="shared" si="2"/>
        <v>3600</v>
      </c>
      <c r="H29" s="249">
        <f t="shared" si="2"/>
        <v>3600</v>
      </c>
      <c r="I29" s="249">
        <f t="shared" si="2"/>
        <v>3600</v>
      </c>
      <c r="J29" s="249">
        <f t="shared" si="2"/>
        <v>2200</v>
      </c>
      <c r="K29" s="249">
        <f t="shared" si="2"/>
        <v>0</v>
      </c>
      <c r="L29" s="249">
        <f t="shared" si="2"/>
        <v>0</v>
      </c>
      <c r="M29" s="249">
        <f t="shared" si="2"/>
        <v>0</v>
      </c>
      <c r="N29" s="249">
        <f t="shared" si="2"/>
        <v>0</v>
      </c>
    </row>
    <row r="30" spans="2:16" s="248" customFormat="1" ht="32.1" customHeight="1" thickTop="1" thickBot="1" x14ac:dyDescent="0.45">
      <c r="B30" s="1051" t="s">
        <v>684</v>
      </c>
      <c r="C30" s="1052"/>
      <c r="D30" s="250">
        <f t="shared" ref="D30:N30" si="3">COUNTIF(D4:D27,"&gt;0")</f>
        <v>23</v>
      </c>
      <c r="E30" s="250">
        <f t="shared" si="3"/>
        <v>17</v>
      </c>
      <c r="F30" s="250">
        <f t="shared" si="3"/>
        <v>17</v>
      </c>
      <c r="G30" s="250">
        <f t="shared" si="3"/>
        <v>18</v>
      </c>
      <c r="H30" s="250">
        <f t="shared" si="3"/>
        <v>18</v>
      </c>
      <c r="I30" s="250">
        <f t="shared" si="3"/>
        <v>18</v>
      </c>
      <c r="J30" s="250">
        <f t="shared" si="3"/>
        <v>22</v>
      </c>
      <c r="K30" s="250">
        <f t="shared" si="3"/>
        <v>0</v>
      </c>
      <c r="L30" s="250">
        <f t="shared" si="3"/>
        <v>0</v>
      </c>
      <c r="M30" s="250">
        <f t="shared" si="3"/>
        <v>0</v>
      </c>
      <c r="N30" s="250">
        <f t="shared" si="3"/>
        <v>0</v>
      </c>
      <c r="O30" s="81"/>
      <c r="P30" s="81"/>
    </row>
    <row r="31" spans="2:16" ht="32.1" customHeight="1" thickTop="1" thickBot="1" x14ac:dyDescent="0.45">
      <c r="B31" s="1051" t="s">
        <v>685</v>
      </c>
      <c r="C31" s="1052"/>
      <c r="D31" s="250">
        <f t="shared" ref="D31:N31" si="4">COUNTIF(D4:D27,0)</f>
        <v>1</v>
      </c>
      <c r="E31" s="250">
        <f t="shared" si="4"/>
        <v>7</v>
      </c>
      <c r="F31" s="250">
        <f t="shared" si="4"/>
        <v>7</v>
      </c>
      <c r="G31" s="250">
        <f t="shared" si="4"/>
        <v>6</v>
      </c>
      <c r="H31" s="250">
        <f t="shared" si="4"/>
        <v>6</v>
      </c>
      <c r="I31" s="250">
        <f t="shared" si="4"/>
        <v>6</v>
      </c>
      <c r="J31" s="250">
        <f t="shared" si="4"/>
        <v>2</v>
      </c>
      <c r="K31" s="250">
        <f t="shared" si="4"/>
        <v>0</v>
      </c>
      <c r="L31" s="250">
        <f t="shared" si="4"/>
        <v>0</v>
      </c>
      <c r="M31" s="250">
        <f t="shared" si="4"/>
        <v>0</v>
      </c>
      <c r="N31" s="250">
        <f t="shared" si="4"/>
        <v>0</v>
      </c>
    </row>
    <row r="32" spans="2:16" ht="18.75" thickTop="1" x14ac:dyDescent="0.25">
      <c r="C32" s="75"/>
    </row>
  </sheetData>
  <autoFilter ref="B3:N3" xr:uid="{00000000-0001-0000-0800-000000000000}"/>
  <sortState xmlns:xlrd2="http://schemas.microsoft.com/office/spreadsheetml/2017/richdata2" ref="C4:J27">
    <sortCondition ref="C4:C27"/>
  </sortState>
  <mergeCells count="4">
    <mergeCell ref="B2:C2"/>
    <mergeCell ref="B29:C29"/>
    <mergeCell ref="B30:C30"/>
    <mergeCell ref="B31:C31"/>
  </mergeCells>
  <conditionalFormatting sqref="D29:N31">
    <cfRule type="cellIs" dxfId="82" priority="1" operator="equal">
      <formula>0</formula>
    </cfRule>
    <cfRule type="cellIs" dxfId="81" priority="2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86E6-CFAD-4B95-846D-B18CF0347848}">
  <sheetPr>
    <tabColor rgb="FF7030A0"/>
  </sheetPr>
  <dimension ref="A1:P109"/>
  <sheetViews>
    <sheetView workbookViewId="0">
      <selection activeCell="H55" sqref="H55"/>
    </sheetView>
  </sheetViews>
  <sheetFormatPr defaultColWidth="9.140625" defaultRowHeight="20.100000000000001" customHeight="1" x14ac:dyDescent="0.25"/>
  <cols>
    <col min="1" max="1" width="5.85546875" style="19" bestFit="1" customWidth="1"/>
    <col min="2" max="2" width="15.7109375" style="813" bestFit="1" customWidth="1"/>
    <col min="3" max="3" width="60.42578125" style="216" bestFit="1" customWidth="1"/>
    <col min="4" max="4" width="16.7109375" style="216" customWidth="1"/>
    <col min="5" max="5" width="19.140625" style="216" bestFit="1" customWidth="1"/>
    <col min="6" max="6" width="19.5703125" style="216" bestFit="1" customWidth="1"/>
    <col min="7" max="8" width="19.140625" style="216" bestFit="1" customWidth="1"/>
    <col min="9" max="11" width="17.5703125" style="216" customWidth="1"/>
    <col min="12" max="12" width="16.7109375" style="216" customWidth="1"/>
    <col min="13" max="13" width="10" style="216" customWidth="1"/>
    <col min="14" max="14" width="37.28515625" style="216" customWidth="1"/>
    <col min="15" max="15" width="18.140625" style="216" customWidth="1"/>
    <col min="16" max="16" width="19.7109375" style="216" bestFit="1" customWidth="1"/>
    <col min="17" max="17" width="9.140625" style="216"/>
    <col min="18" max="18" width="41.140625" style="216" bestFit="1" customWidth="1"/>
    <col min="19" max="19" width="23.140625" style="216" bestFit="1" customWidth="1"/>
    <col min="20" max="16384" width="9.140625" style="216"/>
  </cols>
  <sheetData>
    <row r="1" spans="1:16" s="77" customFormat="1" ht="24.75" customHeight="1" x14ac:dyDescent="0.25">
      <c r="A1" s="89"/>
      <c r="B1" s="76"/>
    </row>
    <row r="2" spans="1:16" ht="48.6" customHeight="1" thickBot="1" x14ac:dyDescent="0.85">
      <c r="A2" s="216"/>
      <c r="B2" s="1062" t="s">
        <v>1084</v>
      </c>
      <c r="C2" s="1062"/>
      <c r="D2" s="1062"/>
      <c r="E2" s="1062"/>
      <c r="G2" s="814"/>
      <c r="H2" s="814"/>
      <c r="I2" s="814"/>
      <c r="J2" s="814"/>
      <c r="K2" s="814"/>
      <c r="N2" s="1055" t="s">
        <v>539</v>
      </c>
      <c r="O2" s="1055"/>
      <c r="P2" s="1055"/>
    </row>
    <row r="3" spans="1:16" s="81" customFormat="1" ht="39.950000000000003" customHeight="1" thickBot="1" x14ac:dyDescent="0.45">
      <c r="A3" s="817">
        <v>1</v>
      </c>
      <c r="B3" s="1056" t="s">
        <v>1063</v>
      </c>
      <c r="C3" s="1057"/>
      <c r="D3" s="1057"/>
      <c r="E3" s="1057"/>
      <c r="F3" s="1058"/>
      <c r="L3" s="830"/>
      <c r="M3" s="216"/>
      <c r="N3" s="216"/>
    </row>
    <row r="4" spans="1:16" s="821" customFormat="1" ht="27" customHeight="1" thickTop="1" thickBot="1" x14ac:dyDescent="0.3">
      <c r="A4" s="818"/>
      <c r="B4" s="819" t="s">
        <v>51</v>
      </c>
      <c r="C4" s="820" t="s">
        <v>1060</v>
      </c>
      <c r="D4" s="820" t="s">
        <v>53</v>
      </c>
      <c r="E4" s="820" t="s">
        <v>54</v>
      </c>
      <c r="F4" s="820" t="s">
        <v>55</v>
      </c>
      <c r="L4" s="830"/>
      <c r="M4" s="216"/>
      <c r="N4" s="216"/>
    </row>
    <row r="5" spans="1:16" ht="24" customHeight="1" thickTop="1" thickBot="1" x14ac:dyDescent="0.35">
      <c r="B5" s="823">
        <v>45157</v>
      </c>
      <c r="C5" s="824" t="s">
        <v>1061</v>
      </c>
      <c r="D5" s="825">
        <f>'SPECIAL LEVY'!E29</f>
        <v>3400</v>
      </c>
      <c r="E5" s="826"/>
      <c r="F5" s="827">
        <f>D5</f>
        <v>3400</v>
      </c>
      <c r="L5" s="837"/>
      <c r="M5" s="816"/>
      <c r="N5" s="816"/>
    </row>
    <row r="6" spans="1:16" ht="24" customHeight="1" thickTop="1" thickBot="1" x14ac:dyDescent="0.35">
      <c r="B6" s="823">
        <v>45158</v>
      </c>
      <c r="C6" s="828" t="s">
        <v>1065</v>
      </c>
      <c r="D6" s="825">
        <v>400</v>
      </c>
      <c r="E6" s="829"/>
      <c r="F6" s="827">
        <f>F5+D6-E6</f>
        <v>3800</v>
      </c>
    </row>
    <row r="7" spans="1:16" ht="24" customHeight="1" thickTop="1" thickBot="1" x14ac:dyDescent="0.4">
      <c r="B7" s="823">
        <v>45158</v>
      </c>
      <c r="C7" s="828" t="s">
        <v>1067</v>
      </c>
      <c r="D7" s="825"/>
      <c r="E7" s="829">
        <v>3140</v>
      </c>
      <c r="F7" s="827">
        <f t="shared" ref="F7:F10" si="0">F6+D7-E7</f>
        <v>660</v>
      </c>
      <c r="L7" s="81"/>
      <c r="M7" s="81"/>
      <c r="N7" s="81"/>
    </row>
    <row r="8" spans="1:16" ht="24" customHeight="1" thickTop="1" thickBot="1" x14ac:dyDescent="0.35">
      <c r="B8" s="823">
        <v>45158</v>
      </c>
      <c r="C8" s="828" t="s">
        <v>1069</v>
      </c>
      <c r="D8" s="825"/>
      <c r="E8" s="829">
        <v>600</v>
      </c>
      <c r="F8" s="827">
        <f t="shared" si="0"/>
        <v>60</v>
      </c>
    </row>
    <row r="9" spans="1:16" ht="24" customHeight="1" thickTop="1" thickBot="1" x14ac:dyDescent="0.35">
      <c r="B9" s="823">
        <v>45158</v>
      </c>
      <c r="C9" s="828" t="s">
        <v>1008</v>
      </c>
      <c r="D9" s="825"/>
      <c r="E9" s="829">
        <f>F6*1.5%</f>
        <v>57</v>
      </c>
      <c r="F9" s="827">
        <f t="shared" si="0"/>
        <v>3</v>
      </c>
      <c r="L9" s="830"/>
    </row>
    <row r="10" spans="1:16" ht="24" customHeight="1" thickTop="1" thickBot="1" x14ac:dyDescent="0.35">
      <c r="B10" s="823">
        <v>45158</v>
      </c>
      <c r="C10" s="828" t="s">
        <v>1064</v>
      </c>
      <c r="D10" s="825"/>
      <c r="E10" s="829"/>
      <c r="F10" s="827">
        <f t="shared" si="0"/>
        <v>3</v>
      </c>
      <c r="G10" s="816"/>
      <c r="K10" s="816"/>
      <c r="L10" s="830"/>
    </row>
    <row r="11" spans="1:16" ht="24.75" customHeight="1" thickTop="1" thickBot="1" x14ac:dyDescent="0.35">
      <c r="B11" s="1061" t="s">
        <v>1062</v>
      </c>
      <c r="C11" s="1061"/>
      <c r="D11" s="831">
        <f>SUM(D5:D10)</f>
        <v>3800</v>
      </c>
      <c r="E11" s="831">
        <f>SUM(E5:E10)</f>
        <v>3797</v>
      </c>
      <c r="F11" s="827">
        <f>D11-E11</f>
        <v>3</v>
      </c>
      <c r="G11" s="816"/>
      <c r="K11" s="816"/>
      <c r="L11" s="830"/>
    </row>
    <row r="12" spans="1:16" s="816" customFormat="1" ht="20.100000000000001" customHeight="1" thickTop="1" x14ac:dyDescent="0.25">
      <c r="A12" s="832"/>
      <c r="B12" s="833"/>
      <c r="C12" s="834"/>
      <c r="D12" s="835"/>
      <c r="E12" s="836"/>
      <c r="G12" s="216"/>
      <c r="K12" s="216"/>
      <c r="L12" s="830"/>
      <c r="M12" s="216"/>
      <c r="N12" s="216"/>
    </row>
    <row r="13" spans="1:16" s="816" customFormat="1" ht="20.100000000000001" customHeight="1" thickBot="1" x14ac:dyDescent="0.3">
      <c r="A13" s="832"/>
      <c r="B13" s="833"/>
      <c r="C13" s="834"/>
      <c r="D13" s="835"/>
      <c r="E13" s="836"/>
      <c r="G13" s="216"/>
      <c r="K13" s="216"/>
      <c r="L13" s="830"/>
      <c r="M13" s="216"/>
      <c r="N13" s="216"/>
    </row>
    <row r="14" spans="1:16" s="81" customFormat="1" ht="39.950000000000003" customHeight="1" thickBot="1" x14ac:dyDescent="0.45">
      <c r="A14" s="817">
        <v>2</v>
      </c>
      <c r="B14" s="1056" t="s">
        <v>1071</v>
      </c>
      <c r="C14" s="1057"/>
      <c r="D14" s="1057"/>
      <c r="E14" s="1057"/>
      <c r="F14" s="1058"/>
      <c r="L14" s="830"/>
      <c r="M14" s="216"/>
      <c r="N14" s="216"/>
    </row>
    <row r="15" spans="1:16" s="821" customFormat="1" ht="25.5" customHeight="1" thickTop="1" thickBot="1" x14ac:dyDescent="0.3">
      <c r="A15" s="818"/>
      <c r="B15" s="819" t="s">
        <v>51</v>
      </c>
      <c r="C15" s="820" t="s">
        <v>1152</v>
      </c>
      <c r="D15" s="820" t="s">
        <v>53</v>
      </c>
      <c r="E15" s="820" t="s">
        <v>54</v>
      </c>
      <c r="F15" s="820" t="s">
        <v>55</v>
      </c>
      <c r="L15" s="216"/>
      <c r="M15" s="216"/>
      <c r="N15" s="216"/>
    </row>
    <row r="16" spans="1:16" ht="24" customHeight="1" thickTop="1" thickBot="1" x14ac:dyDescent="0.35">
      <c r="B16" s="823">
        <f>B10</f>
        <v>45158</v>
      </c>
      <c r="C16" s="824" t="s">
        <v>1066</v>
      </c>
      <c r="D16" s="825">
        <f>F10</f>
        <v>3</v>
      </c>
      <c r="E16" s="826"/>
      <c r="F16" s="827">
        <f>D16</f>
        <v>3</v>
      </c>
    </row>
    <row r="17" spans="1:14" ht="24" customHeight="1" thickTop="1" thickBot="1" x14ac:dyDescent="0.4">
      <c r="B17" s="823">
        <v>45268</v>
      </c>
      <c r="C17" s="828" t="s">
        <v>1061</v>
      </c>
      <c r="D17" s="825">
        <f>'SPECIAL LEVY'!F29</f>
        <v>1700</v>
      </c>
      <c r="E17" s="829"/>
      <c r="F17" s="827">
        <f>F16+D17-E17</f>
        <v>1703</v>
      </c>
      <c r="L17" s="81"/>
      <c r="M17" s="81"/>
      <c r="N17" s="81"/>
    </row>
    <row r="18" spans="1:14" ht="24" customHeight="1" thickTop="1" thickBot="1" x14ac:dyDescent="0.35">
      <c r="B18" s="823">
        <v>45269</v>
      </c>
      <c r="C18" s="828" t="s">
        <v>726</v>
      </c>
      <c r="D18" s="825"/>
      <c r="E18" s="829">
        <v>1015</v>
      </c>
      <c r="F18" s="827">
        <f t="shared" ref="F18:F21" si="1">F17+D18-E18</f>
        <v>688</v>
      </c>
      <c r="L18" s="822"/>
      <c r="M18" s="821"/>
      <c r="N18" s="821"/>
    </row>
    <row r="19" spans="1:14" ht="24" customHeight="1" thickTop="1" thickBot="1" x14ac:dyDescent="0.35">
      <c r="B19" s="823">
        <v>45269</v>
      </c>
      <c r="C19" s="828" t="s">
        <v>1068</v>
      </c>
      <c r="D19" s="825"/>
      <c r="E19" s="829">
        <v>400</v>
      </c>
      <c r="F19" s="827">
        <f t="shared" si="1"/>
        <v>288</v>
      </c>
    </row>
    <row r="20" spans="1:14" ht="24" customHeight="1" thickTop="1" thickBot="1" x14ac:dyDescent="0.35">
      <c r="B20" s="823">
        <v>45269</v>
      </c>
      <c r="C20" s="828" t="s">
        <v>1008</v>
      </c>
      <c r="D20" s="825"/>
      <c r="E20" s="829">
        <f>1400*1.5%</f>
        <v>21</v>
      </c>
      <c r="F20" s="827">
        <f t="shared" si="1"/>
        <v>267</v>
      </c>
      <c r="L20" s="830"/>
    </row>
    <row r="21" spans="1:14" ht="24" customHeight="1" thickTop="1" thickBot="1" x14ac:dyDescent="0.35">
      <c r="B21" s="823">
        <v>45269</v>
      </c>
      <c r="C21" s="828" t="s">
        <v>1064</v>
      </c>
      <c r="D21" s="825"/>
      <c r="E21" s="829"/>
      <c r="F21" s="827">
        <f t="shared" si="1"/>
        <v>267</v>
      </c>
      <c r="G21" s="816"/>
      <c r="H21" s="816"/>
      <c r="I21" s="816"/>
      <c r="J21" s="816"/>
      <c r="K21" s="816"/>
      <c r="L21" s="830"/>
    </row>
    <row r="22" spans="1:14" ht="24.75" customHeight="1" thickTop="1" thickBot="1" x14ac:dyDescent="0.35">
      <c r="B22" s="1061" t="s">
        <v>1062</v>
      </c>
      <c r="C22" s="1061"/>
      <c r="D22" s="831">
        <f>SUM(D16:D21)</f>
        <v>1703</v>
      </c>
      <c r="E22" s="831">
        <f>SUM(E16:E21)</f>
        <v>1436</v>
      </c>
      <c r="F22" s="827">
        <f>D22-E22</f>
        <v>267</v>
      </c>
      <c r="G22" s="816"/>
      <c r="H22" s="816"/>
      <c r="I22" s="816"/>
      <c r="J22" s="816"/>
      <c r="K22" s="816"/>
      <c r="L22" s="830"/>
    </row>
    <row r="23" spans="1:14" s="816" customFormat="1" ht="20.100000000000001" customHeight="1" thickTop="1" x14ac:dyDescent="0.25">
      <c r="A23" s="832"/>
      <c r="B23" s="833"/>
      <c r="C23" s="838"/>
      <c r="D23" s="839"/>
      <c r="E23" s="839"/>
      <c r="F23" s="839"/>
      <c r="G23" s="216"/>
      <c r="H23" s="216"/>
      <c r="I23" s="216"/>
      <c r="J23" s="216"/>
      <c r="K23" s="216"/>
      <c r="L23" s="830"/>
      <c r="M23" s="216"/>
      <c r="N23" s="216"/>
    </row>
    <row r="24" spans="1:14" ht="20.100000000000001" customHeight="1" thickBot="1" x14ac:dyDescent="0.3">
      <c r="L24" s="830"/>
    </row>
    <row r="25" spans="1:14" s="81" customFormat="1" ht="39.950000000000003" customHeight="1" thickBot="1" x14ac:dyDescent="0.45">
      <c r="A25" s="817">
        <v>3</v>
      </c>
      <c r="B25" s="1056" t="s">
        <v>1072</v>
      </c>
      <c r="C25" s="1057"/>
      <c r="D25" s="1057"/>
      <c r="E25" s="1057"/>
      <c r="F25" s="1058"/>
      <c r="L25" s="830"/>
      <c r="M25" s="216"/>
      <c r="N25" s="216"/>
    </row>
    <row r="26" spans="1:14" s="821" customFormat="1" ht="25.5" customHeight="1" thickTop="1" thickBot="1" x14ac:dyDescent="0.3">
      <c r="A26" s="818"/>
      <c r="B26" s="819" t="s">
        <v>51</v>
      </c>
      <c r="C26" s="820" t="s">
        <v>1153</v>
      </c>
      <c r="D26" s="820" t="s">
        <v>53</v>
      </c>
      <c r="E26" s="820" t="s">
        <v>54</v>
      </c>
      <c r="F26" s="820" t="s">
        <v>55</v>
      </c>
      <c r="L26" s="216"/>
      <c r="M26" s="216"/>
      <c r="N26" s="216"/>
    </row>
    <row r="27" spans="1:14" ht="24" customHeight="1" thickTop="1" thickBot="1" x14ac:dyDescent="0.35">
      <c r="B27" s="823">
        <f>B21</f>
        <v>45269</v>
      </c>
      <c r="C27" s="824" t="s">
        <v>1066</v>
      </c>
      <c r="D27" s="825">
        <f>F21</f>
        <v>267</v>
      </c>
      <c r="E27" s="826"/>
      <c r="F27" s="827">
        <f>D27</f>
        <v>267</v>
      </c>
    </row>
    <row r="28" spans="1:14" ht="24" customHeight="1" thickTop="1" thickBot="1" x14ac:dyDescent="0.4">
      <c r="B28" s="823">
        <v>45594</v>
      </c>
      <c r="C28" s="828" t="s">
        <v>1061</v>
      </c>
      <c r="D28" s="825">
        <f>'SPECIAL LEVY'!G29</f>
        <v>3600</v>
      </c>
      <c r="E28" s="829"/>
      <c r="F28" s="827">
        <f>F27+D28-E28</f>
        <v>3867</v>
      </c>
      <c r="L28" s="81"/>
      <c r="M28" s="81"/>
      <c r="N28" s="81"/>
    </row>
    <row r="29" spans="1:14" ht="24" customHeight="1" thickTop="1" thickBot="1" x14ac:dyDescent="0.35">
      <c r="B29" s="823">
        <v>45595</v>
      </c>
      <c r="C29" s="828" t="s">
        <v>1077</v>
      </c>
      <c r="D29" s="825"/>
      <c r="E29" s="829">
        <v>3040</v>
      </c>
      <c r="F29" s="827">
        <f t="shared" ref="F29:F32" si="2">F28+D29-E29</f>
        <v>827</v>
      </c>
      <c r="L29" s="822"/>
      <c r="M29" s="821"/>
      <c r="N29" s="821"/>
    </row>
    <row r="30" spans="1:14" ht="24" customHeight="1" thickTop="1" thickBot="1" x14ac:dyDescent="0.35">
      <c r="B30" s="823">
        <v>45595</v>
      </c>
      <c r="C30" s="828" t="s">
        <v>1076</v>
      </c>
      <c r="D30" s="825"/>
      <c r="E30" s="829">
        <v>600</v>
      </c>
      <c r="F30" s="827">
        <f t="shared" si="2"/>
        <v>227</v>
      </c>
    </row>
    <row r="31" spans="1:14" ht="24" customHeight="1" thickTop="1" thickBot="1" x14ac:dyDescent="0.35">
      <c r="B31" s="823">
        <v>45595</v>
      </c>
      <c r="C31" s="828" t="s">
        <v>1008</v>
      </c>
      <c r="D31" s="825"/>
      <c r="E31" s="829">
        <f>3600*1.5%</f>
        <v>54</v>
      </c>
      <c r="F31" s="827">
        <f t="shared" si="2"/>
        <v>173</v>
      </c>
      <c r="L31" s="830"/>
    </row>
    <row r="32" spans="1:14" ht="24" customHeight="1" thickTop="1" thickBot="1" x14ac:dyDescent="0.35">
      <c r="B32" s="823">
        <v>45595</v>
      </c>
      <c r="C32" s="828" t="s">
        <v>1064</v>
      </c>
      <c r="D32" s="825"/>
      <c r="E32" s="829"/>
      <c r="F32" s="827">
        <f t="shared" si="2"/>
        <v>173</v>
      </c>
      <c r="G32" s="816"/>
      <c r="H32" s="816"/>
      <c r="I32" s="816"/>
      <c r="J32" s="816"/>
      <c r="K32" s="816"/>
      <c r="L32" s="830"/>
    </row>
    <row r="33" spans="1:14" ht="24.75" customHeight="1" thickTop="1" thickBot="1" x14ac:dyDescent="0.35">
      <c r="B33" s="1061" t="s">
        <v>1062</v>
      </c>
      <c r="C33" s="1061"/>
      <c r="D33" s="831">
        <f>SUM(D27:D32)</f>
        <v>3867</v>
      </c>
      <c r="E33" s="831">
        <f>SUM(E27:E32)</f>
        <v>3694</v>
      </c>
      <c r="F33" s="827">
        <f>D33-E33</f>
        <v>173</v>
      </c>
      <c r="G33" s="816"/>
      <c r="H33" s="816"/>
      <c r="I33" s="816"/>
      <c r="J33" s="816"/>
      <c r="K33" s="816"/>
      <c r="L33" s="830"/>
    </row>
    <row r="34" spans="1:14" ht="20.100000000000001" customHeight="1" thickTop="1" x14ac:dyDescent="0.25">
      <c r="L34" s="830"/>
    </row>
    <row r="35" spans="1:14" ht="20.100000000000001" customHeight="1" thickBot="1" x14ac:dyDescent="0.3">
      <c r="L35" s="830"/>
    </row>
    <row r="36" spans="1:14" s="81" customFormat="1" ht="39.950000000000003" customHeight="1" thickBot="1" x14ac:dyDescent="0.45">
      <c r="A36" s="817">
        <v>4</v>
      </c>
      <c r="B36" s="1056" t="s">
        <v>1073</v>
      </c>
      <c r="C36" s="1057"/>
      <c r="D36" s="1057"/>
      <c r="E36" s="1057"/>
      <c r="F36" s="1058"/>
      <c r="L36" s="830"/>
      <c r="M36" s="216"/>
      <c r="N36" s="216"/>
    </row>
    <row r="37" spans="1:14" s="821" customFormat="1" ht="25.5" customHeight="1" thickTop="1" thickBot="1" x14ac:dyDescent="0.3">
      <c r="A37" s="818"/>
      <c r="B37" s="819" t="s">
        <v>51</v>
      </c>
      <c r="C37" s="820" t="s">
        <v>1154</v>
      </c>
      <c r="D37" s="820" t="s">
        <v>53</v>
      </c>
      <c r="E37" s="820" t="s">
        <v>54</v>
      </c>
      <c r="F37" s="820" t="s">
        <v>55</v>
      </c>
      <c r="L37" s="216"/>
      <c r="M37" s="216"/>
      <c r="N37" s="216"/>
    </row>
    <row r="38" spans="1:14" ht="24" customHeight="1" thickTop="1" thickBot="1" x14ac:dyDescent="0.35">
      <c r="B38" s="823">
        <f>B32</f>
        <v>45595</v>
      </c>
      <c r="C38" s="824" t="s">
        <v>1066</v>
      </c>
      <c r="D38" s="825">
        <f>F32</f>
        <v>173</v>
      </c>
      <c r="E38" s="826"/>
      <c r="F38" s="827">
        <f>D38</f>
        <v>173</v>
      </c>
    </row>
    <row r="39" spans="1:14" ht="24" customHeight="1" thickTop="1" thickBot="1" x14ac:dyDescent="0.4">
      <c r="B39" s="823">
        <v>45615</v>
      </c>
      <c r="C39" s="828" t="s">
        <v>1061</v>
      </c>
      <c r="D39" s="825">
        <f>'SPECIAL LEVY'!H29</f>
        <v>3600</v>
      </c>
      <c r="E39" s="829"/>
      <c r="F39" s="827">
        <f>F38+D39-E39</f>
        <v>3773</v>
      </c>
      <c r="L39" s="81"/>
      <c r="M39" s="81"/>
      <c r="N39" s="81"/>
    </row>
    <row r="40" spans="1:14" ht="24" customHeight="1" thickTop="1" thickBot="1" x14ac:dyDescent="0.35">
      <c r="B40" s="823">
        <v>45616</v>
      </c>
      <c r="C40" s="828" t="s">
        <v>1077</v>
      </c>
      <c r="D40" s="825"/>
      <c r="E40" s="829">
        <v>3040</v>
      </c>
      <c r="F40" s="827">
        <f t="shared" ref="F40:F43" si="3">F39+D40-E40</f>
        <v>733</v>
      </c>
      <c r="L40" s="822"/>
      <c r="M40" s="821"/>
      <c r="N40" s="821"/>
    </row>
    <row r="41" spans="1:14" ht="24" customHeight="1" thickTop="1" thickBot="1" x14ac:dyDescent="0.35">
      <c r="B41" s="823">
        <v>45616</v>
      </c>
      <c r="C41" s="828" t="s">
        <v>1078</v>
      </c>
      <c r="D41" s="825"/>
      <c r="E41" s="829">
        <v>600</v>
      </c>
      <c r="F41" s="827">
        <f t="shared" si="3"/>
        <v>133</v>
      </c>
    </row>
    <row r="42" spans="1:14" ht="24" customHeight="1" thickTop="1" thickBot="1" x14ac:dyDescent="0.35">
      <c r="B42" s="823">
        <v>45616</v>
      </c>
      <c r="C42" s="828" t="s">
        <v>1008</v>
      </c>
      <c r="D42" s="825"/>
      <c r="E42" s="829">
        <f>3600*1.5%</f>
        <v>54</v>
      </c>
      <c r="F42" s="827">
        <f t="shared" si="3"/>
        <v>79</v>
      </c>
      <c r="L42" s="830"/>
    </row>
    <row r="43" spans="1:14" ht="24" customHeight="1" thickTop="1" thickBot="1" x14ac:dyDescent="0.35">
      <c r="B43" s="823">
        <v>45616</v>
      </c>
      <c r="C43" s="828" t="s">
        <v>1064</v>
      </c>
      <c r="D43" s="825"/>
      <c r="E43" s="829"/>
      <c r="F43" s="827">
        <f t="shared" si="3"/>
        <v>79</v>
      </c>
      <c r="G43" s="816"/>
      <c r="H43" s="816"/>
      <c r="I43" s="816"/>
      <c r="J43" s="816"/>
      <c r="K43" s="816"/>
      <c r="L43" s="830"/>
    </row>
    <row r="44" spans="1:14" ht="24" customHeight="1" thickTop="1" thickBot="1" x14ac:dyDescent="0.35">
      <c r="B44" s="1059" t="s">
        <v>1062</v>
      </c>
      <c r="C44" s="1060"/>
      <c r="D44" s="840">
        <f>SUM(D38:D43)</f>
        <v>3773</v>
      </c>
      <c r="E44" s="840">
        <f>SUM(E38:E43)</f>
        <v>3694</v>
      </c>
      <c r="F44" s="841">
        <f>D44-E44</f>
        <v>79</v>
      </c>
      <c r="G44" s="816"/>
      <c r="H44" s="816"/>
      <c r="I44" s="816"/>
      <c r="J44" s="816"/>
      <c r="K44" s="816"/>
      <c r="L44" s="830"/>
    </row>
    <row r="45" spans="1:14" ht="20.100000000000001" customHeight="1" x14ac:dyDescent="0.25">
      <c r="L45" s="830"/>
    </row>
    <row r="46" spans="1:14" ht="20.100000000000001" customHeight="1" thickBot="1" x14ac:dyDescent="0.3">
      <c r="L46" s="830"/>
    </row>
    <row r="47" spans="1:14" s="81" customFormat="1" ht="39.950000000000003" customHeight="1" thickBot="1" x14ac:dyDescent="0.45">
      <c r="A47" s="817">
        <v>5</v>
      </c>
      <c r="B47" s="1056" t="s">
        <v>1074</v>
      </c>
      <c r="C47" s="1057"/>
      <c r="D47" s="1057"/>
      <c r="E47" s="1057"/>
      <c r="F47" s="1058"/>
      <c r="L47" s="830"/>
      <c r="M47" s="216"/>
      <c r="N47" s="216"/>
    </row>
    <row r="48" spans="1:14" s="821" customFormat="1" ht="25.5" customHeight="1" thickTop="1" thickBot="1" x14ac:dyDescent="0.3">
      <c r="A48" s="818"/>
      <c r="B48" s="819" t="s">
        <v>51</v>
      </c>
      <c r="C48" s="820" t="s">
        <v>1155</v>
      </c>
      <c r="D48" s="820" t="s">
        <v>53</v>
      </c>
      <c r="E48" s="820" t="s">
        <v>54</v>
      </c>
      <c r="F48" s="820" t="s">
        <v>55</v>
      </c>
      <c r="L48" s="216"/>
      <c r="M48" s="216"/>
      <c r="N48" s="216"/>
    </row>
    <row r="49" spans="1:14" ht="24" customHeight="1" thickTop="1" thickBot="1" x14ac:dyDescent="0.35">
      <c r="B49" s="823">
        <f>B43</f>
        <v>45616</v>
      </c>
      <c r="C49" s="824" t="s">
        <v>1066</v>
      </c>
      <c r="D49" s="825">
        <f>F44</f>
        <v>79</v>
      </c>
      <c r="E49" s="826"/>
      <c r="F49" s="827">
        <f>D49</f>
        <v>79</v>
      </c>
    </row>
    <row r="50" spans="1:14" ht="24" customHeight="1" thickTop="1" thickBot="1" x14ac:dyDescent="0.4">
      <c r="B50" s="823">
        <v>45647</v>
      </c>
      <c r="C50" s="828" t="s">
        <v>1061</v>
      </c>
      <c r="D50" s="825">
        <f>'SPECIAL LEVY'!I29</f>
        <v>3600</v>
      </c>
      <c r="E50" s="829"/>
      <c r="F50" s="827">
        <f>F49+D50-E50</f>
        <v>3679</v>
      </c>
      <c r="L50" s="81"/>
      <c r="M50" s="81"/>
      <c r="N50" s="81"/>
    </row>
    <row r="51" spans="1:14" ht="24" customHeight="1" thickTop="1" thickBot="1" x14ac:dyDescent="0.35">
      <c r="B51" s="823">
        <v>45648</v>
      </c>
      <c r="C51" s="828" t="s">
        <v>1077</v>
      </c>
      <c r="D51" s="825"/>
      <c r="E51" s="829">
        <v>3040</v>
      </c>
      <c r="F51" s="827">
        <f t="shared" ref="F51:F53" si="4">F50+D51-E51</f>
        <v>639</v>
      </c>
      <c r="L51" s="822"/>
      <c r="M51" s="821"/>
      <c r="N51" s="821"/>
    </row>
    <row r="52" spans="1:14" ht="24" customHeight="1" thickTop="1" thickBot="1" x14ac:dyDescent="0.35">
      <c r="B52" s="823">
        <v>45648</v>
      </c>
      <c r="C52" s="828" t="s">
        <v>1008</v>
      </c>
      <c r="D52" s="825"/>
      <c r="E52" s="829">
        <f>3400*1.5%</f>
        <v>51</v>
      </c>
      <c r="F52" s="827">
        <f t="shared" si="4"/>
        <v>588</v>
      </c>
      <c r="L52" s="830"/>
    </row>
    <row r="53" spans="1:14" ht="24" customHeight="1" thickTop="1" thickBot="1" x14ac:dyDescent="0.35">
      <c r="B53" s="823">
        <v>45648</v>
      </c>
      <c r="C53" s="828" t="s">
        <v>1064</v>
      </c>
      <c r="D53" s="825"/>
      <c r="E53" s="829"/>
      <c r="F53" s="827">
        <f t="shared" si="4"/>
        <v>588</v>
      </c>
      <c r="G53" s="816"/>
      <c r="H53" s="816"/>
      <c r="I53" s="816"/>
      <c r="J53" s="816"/>
      <c r="K53" s="816"/>
      <c r="L53" s="830"/>
    </row>
    <row r="54" spans="1:14" ht="24" customHeight="1" thickTop="1" thickBot="1" x14ac:dyDescent="0.35">
      <c r="B54" s="1059" t="s">
        <v>1062</v>
      </c>
      <c r="C54" s="1060"/>
      <c r="D54" s="840">
        <f>SUM(D49:D53)</f>
        <v>3679</v>
      </c>
      <c r="E54" s="840">
        <f>SUM(E49:E53)</f>
        <v>3091</v>
      </c>
      <c r="F54" s="841">
        <f>D54-E54</f>
        <v>588</v>
      </c>
      <c r="G54" s="816"/>
      <c r="H54" s="816"/>
      <c r="I54" s="816"/>
      <c r="J54" s="816"/>
      <c r="K54" s="816"/>
      <c r="L54" s="830"/>
    </row>
    <row r="55" spans="1:14" ht="20.100000000000001" customHeight="1" x14ac:dyDescent="0.25">
      <c r="L55" s="830"/>
    </row>
    <row r="56" spans="1:14" ht="20.100000000000001" customHeight="1" thickBot="1" x14ac:dyDescent="0.3">
      <c r="L56" s="830"/>
    </row>
    <row r="57" spans="1:14" s="81" customFormat="1" ht="39.950000000000003" customHeight="1" thickBot="1" x14ac:dyDescent="0.45">
      <c r="A57" s="817">
        <v>6</v>
      </c>
      <c r="B57" s="1056" t="s">
        <v>1075</v>
      </c>
      <c r="C57" s="1057"/>
      <c r="D57" s="1057"/>
      <c r="E57" s="1057"/>
      <c r="F57" s="1058"/>
      <c r="L57" s="830"/>
      <c r="M57" s="216"/>
      <c r="N57" s="216"/>
    </row>
    <row r="58" spans="1:14" s="821" customFormat="1" ht="25.5" customHeight="1" thickTop="1" thickBot="1" x14ac:dyDescent="0.3">
      <c r="A58" s="818"/>
      <c r="B58" s="819" t="s">
        <v>51</v>
      </c>
      <c r="C58" s="820" t="s">
        <v>1156</v>
      </c>
      <c r="D58" s="820" t="s">
        <v>53</v>
      </c>
      <c r="E58" s="820" t="s">
        <v>54</v>
      </c>
      <c r="F58" s="820" t="s">
        <v>55</v>
      </c>
      <c r="L58" s="216"/>
      <c r="M58" s="216"/>
      <c r="N58" s="216"/>
    </row>
    <row r="59" spans="1:14" ht="24" customHeight="1" thickTop="1" thickBot="1" x14ac:dyDescent="0.35">
      <c r="B59" s="823">
        <f>B53</f>
        <v>45648</v>
      </c>
      <c r="C59" s="824" t="s">
        <v>1066</v>
      </c>
      <c r="D59" s="825">
        <f>F54</f>
        <v>588</v>
      </c>
      <c r="E59" s="826"/>
      <c r="F59" s="827">
        <f>D59</f>
        <v>588</v>
      </c>
    </row>
    <row r="60" spans="1:14" ht="24" customHeight="1" thickTop="1" thickBot="1" x14ac:dyDescent="0.4">
      <c r="B60" s="823">
        <v>45806</v>
      </c>
      <c r="C60" s="828" t="s">
        <v>1061</v>
      </c>
      <c r="D60" s="825">
        <f>'SPECIAL LEVY'!J29</f>
        <v>2200</v>
      </c>
      <c r="E60" s="829"/>
      <c r="F60" s="827">
        <f>F59+D60-E60</f>
        <v>2788</v>
      </c>
      <c r="L60" s="81"/>
      <c r="M60" s="81"/>
      <c r="N60" s="81"/>
    </row>
    <row r="61" spans="1:14" ht="24" customHeight="1" thickTop="1" thickBot="1" x14ac:dyDescent="0.35">
      <c r="B61" s="823">
        <v>45807</v>
      </c>
      <c r="C61" s="828" t="s">
        <v>726</v>
      </c>
      <c r="D61" s="825"/>
      <c r="E61" s="829">
        <v>1015</v>
      </c>
      <c r="F61" s="827">
        <f t="shared" ref="F61:F64" si="5">F60+D61-E61</f>
        <v>1773</v>
      </c>
      <c r="L61" s="822"/>
      <c r="M61" s="821"/>
      <c r="N61" s="821"/>
    </row>
    <row r="62" spans="1:14" ht="24" customHeight="1" thickTop="1" thickBot="1" x14ac:dyDescent="0.35">
      <c r="B62" s="823">
        <v>45807</v>
      </c>
      <c r="C62" s="828" t="s">
        <v>1068</v>
      </c>
      <c r="D62" s="825"/>
      <c r="E62" s="829">
        <v>500</v>
      </c>
      <c r="F62" s="827">
        <f t="shared" si="5"/>
        <v>1273</v>
      </c>
    </row>
    <row r="63" spans="1:14" ht="24" customHeight="1" thickTop="1" thickBot="1" x14ac:dyDescent="0.35">
      <c r="B63" s="823">
        <v>45807</v>
      </c>
      <c r="C63" s="828" t="s">
        <v>1008</v>
      </c>
      <c r="D63" s="825"/>
      <c r="E63" s="829">
        <f>1500*1.5%</f>
        <v>22.5</v>
      </c>
      <c r="F63" s="827">
        <f t="shared" si="5"/>
        <v>1250.5</v>
      </c>
      <c r="L63" s="830"/>
    </row>
    <row r="64" spans="1:14" ht="24" customHeight="1" thickTop="1" thickBot="1" x14ac:dyDescent="0.35">
      <c r="B64" s="823">
        <v>45807</v>
      </c>
      <c r="C64" s="828" t="s">
        <v>1064</v>
      </c>
      <c r="D64" s="825"/>
      <c r="E64" s="829"/>
      <c r="F64" s="827">
        <f t="shared" si="5"/>
        <v>1250.5</v>
      </c>
      <c r="G64" s="816"/>
      <c r="H64" s="816"/>
      <c r="I64" s="816"/>
      <c r="J64" s="816"/>
      <c r="K64" s="816"/>
      <c r="L64" s="830"/>
    </row>
    <row r="65" spans="1:14" ht="24" customHeight="1" thickTop="1" thickBot="1" x14ac:dyDescent="0.35">
      <c r="B65" s="1059" t="s">
        <v>1062</v>
      </c>
      <c r="C65" s="1060"/>
      <c r="D65" s="840">
        <f>SUM(D59:D64)</f>
        <v>2788</v>
      </c>
      <c r="E65" s="840">
        <f>SUM(E59:E64)</f>
        <v>1537.5</v>
      </c>
      <c r="F65" s="841">
        <f>D65-E65</f>
        <v>1250.5</v>
      </c>
      <c r="G65" s="816"/>
      <c r="H65" s="816"/>
      <c r="I65" s="816"/>
      <c r="J65" s="816"/>
      <c r="K65" s="816"/>
      <c r="L65" s="830"/>
    </row>
    <row r="66" spans="1:14" ht="20.100000000000001" customHeight="1" x14ac:dyDescent="0.25">
      <c r="L66" s="830"/>
    </row>
    <row r="67" spans="1:14" ht="20.100000000000001" customHeight="1" thickBot="1" x14ac:dyDescent="0.3">
      <c r="L67" s="830"/>
    </row>
    <row r="68" spans="1:14" s="81" customFormat="1" ht="39.950000000000003" customHeight="1" thickBot="1" x14ac:dyDescent="0.45">
      <c r="A68" s="817">
        <v>7</v>
      </c>
      <c r="B68" s="1056" t="e">
        <f>#REF!</f>
        <v>#REF!</v>
      </c>
      <c r="C68" s="1057"/>
      <c r="D68" s="1057"/>
      <c r="E68" s="1057"/>
      <c r="F68" s="1058"/>
      <c r="L68" s="830"/>
      <c r="M68" s="216"/>
      <c r="N68" s="216"/>
    </row>
    <row r="69" spans="1:14" s="821" customFormat="1" ht="25.5" customHeight="1" thickTop="1" thickBot="1" x14ac:dyDescent="0.3">
      <c r="A69" s="818"/>
      <c r="B69" s="819" t="s">
        <v>51</v>
      </c>
      <c r="C69" s="820" t="s">
        <v>1157</v>
      </c>
      <c r="D69" s="820" t="s">
        <v>53</v>
      </c>
      <c r="E69" s="820" t="s">
        <v>54</v>
      </c>
      <c r="F69" s="820" t="s">
        <v>55</v>
      </c>
      <c r="L69" s="216"/>
      <c r="M69" s="216"/>
      <c r="N69" s="216"/>
    </row>
    <row r="70" spans="1:14" ht="24" customHeight="1" thickTop="1" thickBot="1" x14ac:dyDescent="0.35">
      <c r="B70" s="823">
        <f>B64</f>
        <v>45807</v>
      </c>
      <c r="C70" s="824" t="s">
        <v>1066</v>
      </c>
      <c r="D70" s="825">
        <f>F65</f>
        <v>1250.5</v>
      </c>
      <c r="E70" s="826"/>
      <c r="F70" s="827">
        <f>D70</f>
        <v>1250.5</v>
      </c>
    </row>
    <row r="71" spans="1:14" ht="24" customHeight="1" thickTop="1" thickBot="1" x14ac:dyDescent="0.4">
      <c r="B71" s="823"/>
      <c r="C71" s="828" t="s">
        <v>1061</v>
      </c>
      <c r="D71" s="825">
        <f>'SPECIAL LEVY'!K29</f>
        <v>0</v>
      </c>
      <c r="E71" s="829"/>
      <c r="F71" s="827">
        <f>F70+D71-E71</f>
        <v>1250.5</v>
      </c>
      <c r="L71" s="81"/>
      <c r="M71" s="81"/>
      <c r="N71" s="81"/>
    </row>
    <row r="72" spans="1:14" ht="24" customHeight="1" thickTop="1" thickBot="1" x14ac:dyDescent="0.35">
      <c r="B72" s="823"/>
      <c r="C72" s="828"/>
      <c r="D72" s="825"/>
      <c r="E72" s="829"/>
      <c r="F72" s="827">
        <f t="shared" ref="F72:F75" si="6">F71+D72-E72</f>
        <v>1250.5</v>
      </c>
      <c r="L72" s="822"/>
      <c r="M72" s="821"/>
      <c r="N72" s="821"/>
    </row>
    <row r="73" spans="1:14" ht="24" customHeight="1" thickTop="1" thickBot="1" x14ac:dyDescent="0.35">
      <c r="B73" s="823"/>
      <c r="C73" s="828" t="s">
        <v>1068</v>
      </c>
      <c r="D73" s="825"/>
      <c r="E73" s="829"/>
      <c r="F73" s="827">
        <f t="shared" si="6"/>
        <v>1250.5</v>
      </c>
    </row>
    <row r="74" spans="1:14" ht="24" customHeight="1" thickTop="1" thickBot="1" x14ac:dyDescent="0.35">
      <c r="B74" s="823"/>
      <c r="C74" s="828" t="s">
        <v>1008</v>
      </c>
      <c r="D74" s="825"/>
      <c r="E74" s="829"/>
      <c r="F74" s="827">
        <f t="shared" si="6"/>
        <v>1250.5</v>
      </c>
      <c r="L74" s="830"/>
    </row>
    <row r="75" spans="1:14" ht="24" customHeight="1" thickTop="1" thickBot="1" x14ac:dyDescent="0.35">
      <c r="B75" s="823"/>
      <c r="C75" s="828" t="s">
        <v>1064</v>
      </c>
      <c r="D75" s="825"/>
      <c r="E75" s="829"/>
      <c r="F75" s="827">
        <f t="shared" si="6"/>
        <v>1250.5</v>
      </c>
      <c r="G75" s="816"/>
      <c r="H75" s="816"/>
      <c r="I75" s="816"/>
      <c r="J75" s="816"/>
      <c r="K75" s="816"/>
      <c r="L75" s="830"/>
    </row>
    <row r="76" spans="1:14" ht="24" customHeight="1" thickTop="1" thickBot="1" x14ac:dyDescent="0.35">
      <c r="B76" s="1059" t="s">
        <v>1062</v>
      </c>
      <c r="C76" s="1060"/>
      <c r="D76" s="840">
        <f>SUM(D70:D75)</f>
        <v>1250.5</v>
      </c>
      <c r="E76" s="840">
        <f>SUM(E70:E75)</f>
        <v>0</v>
      </c>
      <c r="F76" s="841">
        <f>D76-E76</f>
        <v>1250.5</v>
      </c>
      <c r="G76" s="816"/>
      <c r="H76" s="816"/>
      <c r="I76" s="816"/>
      <c r="J76" s="816"/>
      <c r="K76" s="816"/>
      <c r="L76" s="830"/>
    </row>
    <row r="77" spans="1:14" ht="20.100000000000001" customHeight="1" x14ac:dyDescent="0.25">
      <c r="L77" s="830"/>
    </row>
    <row r="78" spans="1:14" ht="20.100000000000001" customHeight="1" thickBot="1" x14ac:dyDescent="0.3">
      <c r="L78" s="830"/>
    </row>
    <row r="79" spans="1:14" s="81" customFormat="1" ht="39.950000000000003" customHeight="1" thickBot="1" x14ac:dyDescent="0.45">
      <c r="A79" s="817">
        <v>8</v>
      </c>
      <c r="B79" s="1056" t="e">
        <f>#REF!</f>
        <v>#REF!</v>
      </c>
      <c r="C79" s="1057"/>
      <c r="D79" s="1057"/>
      <c r="E79" s="1057"/>
      <c r="F79" s="1058"/>
      <c r="L79" s="830"/>
      <c r="M79" s="216"/>
      <c r="N79" s="216"/>
    </row>
    <row r="80" spans="1:14" s="821" customFormat="1" ht="25.5" customHeight="1" thickTop="1" thickBot="1" x14ac:dyDescent="0.3">
      <c r="A80" s="818"/>
      <c r="B80" s="819" t="s">
        <v>51</v>
      </c>
      <c r="C80" s="820" t="s">
        <v>1158</v>
      </c>
      <c r="D80" s="820" t="s">
        <v>53</v>
      </c>
      <c r="E80" s="820" t="s">
        <v>54</v>
      </c>
      <c r="F80" s="820" t="s">
        <v>55</v>
      </c>
      <c r="L80" s="216"/>
      <c r="M80" s="216"/>
      <c r="N80" s="216"/>
    </row>
    <row r="81" spans="1:14" ht="24" customHeight="1" thickTop="1" thickBot="1" x14ac:dyDescent="0.35">
      <c r="B81" s="823"/>
      <c r="C81" s="824" t="s">
        <v>1066</v>
      </c>
      <c r="D81" s="825"/>
      <c r="E81" s="826"/>
      <c r="F81" s="827">
        <f>D81</f>
        <v>0</v>
      </c>
    </row>
    <row r="82" spans="1:14" ht="24" customHeight="1" thickTop="1" thickBot="1" x14ac:dyDescent="0.4">
      <c r="B82" s="823"/>
      <c r="C82" s="828" t="s">
        <v>1061</v>
      </c>
      <c r="D82" s="825"/>
      <c r="E82" s="829"/>
      <c r="F82" s="827">
        <f>F81+D82-E82</f>
        <v>0</v>
      </c>
      <c r="L82" s="81"/>
      <c r="M82" s="81"/>
      <c r="N82" s="81"/>
    </row>
    <row r="83" spans="1:14" ht="24" customHeight="1" thickTop="1" thickBot="1" x14ac:dyDescent="0.35">
      <c r="B83" s="823"/>
      <c r="C83" s="828"/>
      <c r="D83" s="825"/>
      <c r="E83" s="829"/>
      <c r="F83" s="827">
        <f t="shared" ref="F83:F86" si="7">F82+D83-E83</f>
        <v>0</v>
      </c>
      <c r="L83" s="822"/>
      <c r="M83" s="821"/>
      <c r="N83" s="821"/>
    </row>
    <row r="84" spans="1:14" ht="24" customHeight="1" thickTop="1" thickBot="1" x14ac:dyDescent="0.35">
      <c r="B84" s="823"/>
      <c r="C84" s="828" t="s">
        <v>1068</v>
      </c>
      <c r="D84" s="825"/>
      <c r="E84" s="829"/>
      <c r="F84" s="827">
        <f t="shared" si="7"/>
        <v>0</v>
      </c>
    </row>
    <row r="85" spans="1:14" ht="24" customHeight="1" thickTop="1" thickBot="1" x14ac:dyDescent="0.35">
      <c r="B85" s="823"/>
      <c r="C85" s="828" t="s">
        <v>1008</v>
      </c>
      <c r="D85" s="825"/>
      <c r="E85" s="829"/>
      <c r="F85" s="827">
        <f t="shared" si="7"/>
        <v>0</v>
      </c>
      <c r="L85" s="830"/>
    </row>
    <row r="86" spans="1:14" ht="24" customHeight="1" thickTop="1" thickBot="1" x14ac:dyDescent="0.35">
      <c r="B86" s="823"/>
      <c r="C86" s="828" t="s">
        <v>1064</v>
      </c>
      <c r="D86" s="825"/>
      <c r="E86" s="829"/>
      <c r="F86" s="827">
        <f t="shared" si="7"/>
        <v>0</v>
      </c>
      <c r="G86" s="816"/>
      <c r="H86" s="816"/>
      <c r="I86" s="816"/>
      <c r="J86" s="816"/>
      <c r="K86" s="816"/>
      <c r="L86" s="830"/>
    </row>
    <row r="87" spans="1:14" ht="24" customHeight="1" thickTop="1" thickBot="1" x14ac:dyDescent="0.35">
      <c r="B87" s="1059" t="s">
        <v>1062</v>
      </c>
      <c r="C87" s="1060"/>
      <c r="D87" s="840">
        <f>SUM(D81:D86)</f>
        <v>0</v>
      </c>
      <c r="E87" s="840">
        <f>SUM(E81:E86)</f>
        <v>0</v>
      </c>
      <c r="F87" s="841">
        <f>D87-E87</f>
        <v>0</v>
      </c>
      <c r="G87" s="816"/>
      <c r="H87" s="816"/>
      <c r="I87" s="816"/>
      <c r="J87" s="816"/>
      <c r="K87" s="816"/>
      <c r="L87" s="830"/>
    </row>
    <row r="88" spans="1:14" ht="20.100000000000001" customHeight="1" x14ac:dyDescent="0.25">
      <c r="L88" s="830"/>
    </row>
    <row r="89" spans="1:14" ht="20.100000000000001" customHeight="1" thickBot="1" x14ac:dyDescent="0.3">
      <c r="L89" s="830"/>
    </row>
    <row r="90" spans="1:14" s="81" customFormat="1" ht="39.950000000000003" customHeight="1" thickBot="1" x14ac:dyDescent="0.45">
      <c r="A90" s="817">
        <v>9</v>
      </c>
      <c r="B90" s="1056" t="e">
        <f>#REF!</f>
        <v>#REF!</v>
      </c>
      <c r="C90" s="1057"/>
      <c r="D90" s="1057"/>
      <c r="E90" s="1057"/>
      <c r="F90" s="1058"/>
      <c r="L90" s="830"/>
      <c r="M90" s="216"/>
      <c r="N90" s="216"/>
    </row>
    <row r="91" spans="1:14" s="821" customFormat="1" ht="25.5" customHeight="1" thickTop="1" thickBot="1" x14ac:dyDescent="0.3">
      <c r="A91" s="818"/>
      <c r="B91" s="819" t="s">
        <v>51</v>
      </c>
      <c r="C91" s="820" t="s">
        <v>1159</v>
      </c>
      <c r="D91" s="820" t="s">
        <v>53</v>
      </c>
      <c r="E91" s="820" t="s">
        <v>54</v>
      </c>
      <c r="F91" s="820" t="s">
        <v>55</v>
      </c>
      <c r="L91" s="216"/>
      <c r="M91" s="216"/>
      <c r="N91" s="216"/>
    </row>
    <row r="92" spans="1:14" ht="24" customHeight="1" thickTop="1" thickBot="1" x14ac:dyDescent="0.35">
      <c r="B92" s="823"/>
      <c r="C92" s="824" t="s">
        <v>1066</v>
      </c>
      <c r="D92" s="825"/>
      <c r="E92" s="826"/>
      <c r="F92" s="827">
        <f>D92</f>
        <v>0</v>
      </c>
    </row>
    <row r="93" spans="1:14" ht="24" customHeight="1" thickTop="1" thickBot="1" x14ac:dyDescent="0.35">
      <c r="B93" s="823"/>
      <c r="C93" s="828" t="s">
        <v>1061</v>
      </c>
      <c r="D93" s="825"/>
      <c r="E93" s="829"/>
      <c r="F93" s="827">
        <f>F92+D93-E93</f>
        <v>0</v>
      </c>
    </row>
    <row r="94" spans="1:14" ht="24" customHeight="1" thickTop="1" thickBot="1" x14ac:dyDescent="0.35">
      <c r="B94" s="823"/>
      <c r="C94" s="828"/>
      <c r="D94" s="825"/>
      <c r="E94" s="829"/>
      <c r="F94" s="827">
        <f t="shared" ref="F94:F97" si="8">F93+D94-E94</f>
        <v>0</v>
      </c>
    </row>
    <row r="95" spans="1:14" ht="24" customHeight="1" thickTop="1" thickBot="1" x14ac:dyDescent="0.35">
      <c r="B95" s="823"/>
      <c r="C95" s="828" t="s">
        <v>1068</v>
      </c>
      <c r="D95" s="825"/>
      <c r="E95" s="829"/>
      <c r="F95" s="827">
        <f t="shared" si="8"/>
        <v>0</v>
      </c>
    </row>
    <row r="96" spans="1:14" ht="24" customHeight="1" thickTop="1" thickBot="1" x14ac:dyDescent="0.35">
      <c r="B96" s="823"/>
      <c r="C96" s="828" t="s">
        <v>1008</v>
      </c>
      <c r="D96" s="825"/>
      <c r="E96" s="829"/>
      <c r="F96" s="827">
        <f t="shared" si="8"/>
        <v>0</v>
      </c>
    </row>
    <row r="97" spans="1:14" ht="24" customHeight="1" thickTop="1" thickBot="1" x14ac:dyDescent="0.35">
      <c r="B97" s="823"/>
      <c r="C97" s="828" t="s">
        <v>1064</v>
      </c>
      <c r="D97" s="825"/>
      <c r="E97" s="829"/>
      <c r="F97" s="827">
        <f t="shared" si="8"/>
        <v>0</v>
      </c>
      <c r="G97" s="816"/>
      <c r="H97" s="816"/>
      <c r="I97" s="816"/>
      <c r="J97" s="816"/>
      <c r="K97" s="816"/>
    </row>
    <row r="98" spans="1:14" ht="24" customHeight="1" thickTop="1" thickBot="1" x14ac:dyDescent="0.35">
      <c r="B98" s="1059" t="s">
        <v>1062</v>
      </c>
      <c r="C98" s="1060"/>
      <c r="D98" s="840">
        <f>SUM(D92:D97)</f>
        <v>0</v>
      </c>
      <c r="E98" s="840">
        <f>SUM(E92:E97)</f>
        <v>0</v>
      </c>
      <c r="F98" s="841">
        <f>D98-E98</f>
        <v>0</v>
      </c>
      <c r="G98" s="816"/>
      <c r="H98" s="816"/>
      <c r="I98" s="816"/>
      <c r="J98" s="816"/>
      <c r="K98" s="816"/>
    </row>
    <row r="100" spans="1:14" ht="20.100000000000001" customHeight="1" thickBot="1" x14ac:dyDescent="0.3"/>
    <row r="101" spans="1:14" s="81" customFormat="1" ht="39.950000000000003" customHeight="1" thickBot="1" x14ac:dyDescent="0.45">
      <c r="A101" s="817">
        <v>10</v>
      </c>
      <c r="B101" s="1056" t="e">
        <f>#REF!</f>
        <v>#REF!</v>
      </c>
      <c r="C101" s="1057"/>
      <c r="D101" s="1057"/>
      <c r="E101" s="1057"/>
      <c r="F101" s="1058"/>
      <c r="L101" s="216"/>
      <c r="M101" s="216"/>
      <c r="N101" s="216"/>
    </row>
    <row r="102" spans="1:14" s="821" customFormat="1" ht="25.5" customHeight="1" thickTop="1" thickBot="1" x14ac:dyDescent="0.3">
      <c r="A102" s="818"/>
      <c r="B102" s="819" t="s">
        <v>51</v>
      </c>
      <c r="C102" s="820" t="s">
        <v>1160</v>
      </c>
      <c r="D102" s="820" t="s">
        <v>53</v>
      </c>
      <c r="E102" s="820" t="s">
        <v>54</v>
      </c>
      <c r="F102" s="820" t="s">
        <v>55</v>
      </c>
      <c r="L102" s="216"/>
      <c r="M102" s="216"/>
      <c r="N102" s="216"/>
    </row>
    <row r="103" spans="1:14" ht="24" customHeight="1" thickTop="1" thickBot="1" x14ac:dyDescent="0.35">
      <c r="B103" s="823"/>
      <c r="C103" s="824" t="s">
        <v>1066</v>
      </c>
      <c r="D103" s="825"/>
      <c r="E103" s="826"/>
      <c r="F103" s="827">
        <f>D103</f>
        <v>0</v>
      </c>
    </row>
    <row r="104" spans="1:14" ht="24" customHeight="1" thickTop="1" thickBot="1" x14ac:dyDescent="0.35">
      <c r="B104" s="823"/>
      <c r="C104" s="828" t="s">
        <v>1061</v>
      </c>
      <c r="D104" s="825"/>
      <c r="E104" s="829"/>
      <c r="F104" s="827">
        <f>F103+D104-E104</f>
        <v>0</v>
      </c>
    </row>
    <row r="105" spans="1:14" ht="24" customHeight="1" thickTop="1" thickBot="1" x14ac:dyDescent="0.35">
      <c r="B105" s="823"/>
      <c r="C105" s="828"/>
      <c r="D105" s="825"/>
      <c r="E105" s="829"/>
      <c r="F105" s="827">
        <f t="shared" ref="F105:F108" si="9">F104+D105-E105</f>
        <v>0</v>
      </c>
    </row>
    <row r="106" spans="1:14" ht="24" customHeight="1" thickTop="1" thickBot="1" x14ac:dyDescent="0.35">
      <c r="B106" s="823"/>
      <c r="C106" s="828" t="s">
        <v>1068</v>
      </c>
      <c r="D106" s="825"/>
      <c r="E106" s="829"/>
      <c r="F106" s="827">
        <f t="shared" si="9"/>
        <v>0</v>
      </c>
    </row>
    <row r="107" spans="1:14" ht="24" customHeight="1" thickTop="1" thickBot="1" x14ac:dyDescent="0.35">
      <c r="B107" s="823"/>
      <c r="C107" s="828" t="s">
        <v>1008</v>
      </c>
      <c r="D107" s="825"/>
      <c r="E107" s="829"/>
      <c r="F107" s="827">
        <f t="shared" si="9"/>
        <v>0</v>
      </c>
    </row>
    <row r="108" spans="1:14" ht="24" customHeight="1" thickTop="1" thickBot="1" x14ac:dyDescent="0.35">
      <c r="B108" s="823"/>
      <c r="C108" s="828" t="s">
        <v>1064</v>
      </c>
      <c r="D108" s="825"/>
      <c r="E108" s="829"/>
      <c r="F108" s="827">
        <f t="shared" si="9"/>
        <v>0</v>
      </c>
      <c r="G108" s="816"/>
      <c r="H108" s="816"/>
      <c r="I108" s="816"/>
      <c r="J108" s="816"/>
      <c r="K108" s="816"/>
    </row>
    <row r="109" spans="1:14" ht="24" customHeight="1" thickTop="1" thickBot="1" x14ac:dyDescent="0.35">
      <c r="B109" s="1059" t="s">
        <v>1062</v>
      </c>
      <c r="C109" s="1060"/>
      <c r="D109" s="840">
        <f>SUM(D103:D108)</f>
        <v>0</v>
      </c>
      <c r="E109" s="840">
        <f>SUM(E103:E108)</f>
        <v>0</v>
      </c>
      <c r="F109" s="841">
        <f>D109-E109</f>
        <v>0</v>
      </c>
      <c r="G109" s="816"/>
      <c r="H109" s="816"/>
      <c r="I109" s="816"/>
      <c r="J109" s="816"/>
      <c r="K109" s="816"/>
    </row>
  </sheetData>
  <mergeCells count="22">
    <mergeCell ref="B101:F101"/>
    <mergeCell ref="B109:C109"/>
    <mergeCell ref="B47:F47"/>
    <mergeCell ref="B54:C54"/>
    <mergeCell ref="B57:F57"/>
    <mergeCell ref="B65:C65"/>
    <mergeCell ref="B68:F68"/>
    <mergeCell ref="B76:C76"/>
    <mergeCell ref="N2:P2"/>
    <mergeCell ref="B79:F79"/>
    <mergeCell ref="B87:C87"/>
    <mergeCell ref="B90:F90"/>
    <mergeCell ref="B98:C98"/>
    <mergeCell ref="B14:F14"/>
    <mergeCell ref="B22:C22"/>
    <mergeCell ref="B25:F25"/>
    <mergeCell ref="B33:C33"/>
    <mergeCell ref="B36:F36"/>
    <mergeCell ref="B44:C44"/>
    <mergeCell ref="B3:F3"/>
    <mergeCell ref="B11:C11"/>
    <mergeCell ref="B2:E2"/>
  </mergeCells>
  <phoneticPr fontId="27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2C5D-9776-4E1C-B9CA-582FC568AC9B}">
  <sheetPr>
    <tabColor rgb="FF7030A0"/>
  </sheetPr>
  <dimension ref="A1:K25"/>
  <sheetViews>
    <sheetView topLeftCell="A4" workbookViewId="0">
      <selection activeCell="J8" sqref="J8"/>
    </sheetView>
  </sheetViews>
  <sheetFormatPr defaultColWidth="9.140625" defaultRowHeight="20.100000000000001" customHeight="1" x14ac:dyDescent="0.25"/>
  <cols>
    <col min="1" max="1" width="5.85546875" style="19" bestFit="1" customWidth="1"/>
    <col min="2" max="2" width="18" style="813" bestFit="1" customWidth="1"/>
    <col min="3" max="3" width="72.28515625" style="216" bestFit="1" customWidth="1"/>
    <col min="4" max="4" width="19.140625" style="216" bestFit="1" customWidth="1"/>
    <col min="5" max="5" width="19.5703125" style="216" bestFit="1" customWidth="1"/>
    <col min="6" max="7" width="19.140625" style="216" bestFit="1" customWidth="1"/>
    <col min="8" max="10" width="17.5703125" style="216" customWidth="1"/>
    <col min="11" max="11" width="16.7109375" style="216" customWidth="1"/>
    <col min="12" max="12" width="23.140625" style="216" bestFit="1" customWidth="1"/>
    <col min="13" max="16384" width="9.140625" style="216"/>
  </cols>
  <sheetData>
    <row r="1" spans="1:11" s="77" customFormat="1" ht="24.75" customHeight="1" x14ac:dyDescent="0.25">
      <c r="A1" s="89"/>
      <c r="B1" s="76"/>
    </row>
    <row r="2" spans="1:11" ht="48.6" customHeight="1" thickBot="1" x14ac:dyDescent="0.8">
      <c r="A2" s="216"/>
      <c r="B2" s="1062" t="s">
        <v>1059</v>
      </c>
      <c r="C2" s="1062"/>
      <c r="D2" s="1062"/>
      <c r="F2" s="814"/>
      <c r="G2" s="814"/>
      <c r="H2" s="814"/>
      <c r="I2" s="814"/>
      <c r="J2" s="814"/>
    </row>
    <row r="3" spans="1:11" s="848" customFormat="1" ht="51" thickTop="1" thickBot="1" x14ac:dyDescent="0.3">
      <c r="B3" s="907" t="s">
        <v>51</v>
      </c>
      <c r="C3" s="877" t="s">
        <v>52</v>
      </c>
      <c r="D3" s="849" t="s">
        <v>53</v>
      </c>
      <c r="E3" s="849" t="s">
        <v>54</v>
      </c>
      <c r="F3" s="849" t="s">
        <v>55</v>
      </c>
      <c r="G3" s="849" t="s">
        <v>1079</v>
      </c>
      <c r="H3" s="850" t="s">
        <v>1080</v>
      </c>
      <c r="I3" s="849" t="s">
        <v>1081</v>
      </c>
      <c r="J3" s="850" t="s">
        <v>1082</v>
      </c>
      <c r="K3" s="849"/>
    </row>
    <row r="4" spans="1:11" ht="24" customHeight="1" thickBot="1" x14ac:dyDescent="0.35">
      <c r="A4" s="216"/>
      <c r="B4" s="904">
        <f>'LEVY DISBURSMENT'!B6</f>
        <v>45158</v>
      </c>
      <c r="C4" s="875" t="s">
        <v>1070</v>
      </c>
      <c r="D4" s="860">
        <f>'LEVY DISBURSMENT'!F6</f>
        <v>3800</v>
      </c>
      <c r="E4" s="861">
        <f>SUM(G4:K4)</f>
        <v>3797</v>
      </c>
      <c r="F4" s="862">
        <f>D4-E4</f>
        <v>3</v>
      </c>
      <c r="G4" s="854">
        <f>'LEVY DISBURSMENT'!E7</f>
        <v>3140</v>
      </c>
      <c r="H4" s="855"/>
      <c r="I4" s="855">
        <f>'LEVY DISBURSMENT'!E8</f>
        <v>600</v>
      </c>
      <c r="J4" s="855">
        <f>'LEVY DISBURSMENT'!E9</f>
        <v>57</v>
      </c>
      <c r="K4" s="868"/>
    </row>
    <row r="5" spans="1:11" ht="24" customHeight="1" thickTop="1" thickBot="1" x14ac:dyDescent="0.35">
      <c r="A5" s="216"/>
      <c r="B5" s="905">
        <f>'LEVY DISBURSMENT'!B18</f>
        <v>45269</v>
      </c>
      <c r="C5" s="876" t="s">
        <v>1071</v>
      </c>
      <c r="D5" s="863">
        <f>'LEVY DISBURSMENT'!D17</f>
        <v>1700</v>
      </c>
      <c r="E5" s="851">
        <f t="shared" ref="E5:E23" si="0">SUM(G5:K5)</f>
        <v>1436</v>
      </c>
      <c r="F5" s="864">
        <f>F4+D5-E5</f>
        <v>267</v>
      </c>
      <c r="G5" s="856"/>
      <c r="H5" s="857">
        <f>'LEVY DISBURSMENT'!E18</f>
        <v>1015</v>
      </c>
      <c r="I5" s="857">
        <f>'LEVY DISBURSMENT'!E19</f>
        <v>400</v>
      </c>
      <c r="J5" s="857">
        <f>'LEVY DISBURSMENT'!E20</f>
        <v>21</v>
      </c>
      <c r="K5" s="869"/>
    </row>
    <row r="6" spans="1:11" ht="24" customHeight="1" thickTop="1" thickBot="1" x14ac:dyDescent="0.35">
      <c r="A6" s="216"/>
      <c r="B6" s="905">
        <f>'LEVY DISBURSMENT'!B29</f>
        <v>45595</v>
      </c>
      <c r="C6" s="876" t="s">
        <v>1072</v>
      </c>
      <c r="D6" s="863">
        <f>'LEVY DISBURSMENT'!D28</f>
        <v>3600</v>
      </c>
      <c r="E6" s="851">
        <f t="shared" si="0"/>
        <v>3694</v>
      </c>
      <c r="F6" s="864">
        <f t="shared" ref="F6:F23" si="1">F5+D6-E6</f>
        <v>173</v>
      </c>
      <c r="G6" s="856">
        <f>'LEVY DISBURSMENT'!E29</f>
        <v>3040</v>
      </c>
      <c r="H6" s="857"/>
      <c r="I6" s="857">
        <f>'LEVY DISBURSMENT'!E30</f>
        <v>600</v>
      </c>
      <c r="J6" s="857">
        <f>'LEVY DISBURSMENT'!E31</f>
        <v>54</v>
      </c>
      <c r="K6" s="869"/>
    </row>
    <row r="7" spans="1:11" ht="24" customHeight="1" thickTop="1" thickBot="1" x14ac:dyDescent="0.35">
      <c r="A7" s="216"/>
      <c r="B7" s="905">
        <f>'LEVY DISBURSMENT'!B40</f>
        <v>45616</v>
      </c>
      <c r="C7" s="876" t="s">
        <v>1073</v>
      </c>
      <c r="D7" s="863">
        <f>'LEVY DISBURSMENT'!D39</f>
        <v>3600</v>
      </c>
      <c r="E7" s="851">
        <f t="shared" si="0"/>
        <v>3694</v>
      </c>
      <c r="F7" s="864">
        <f t="shared" si="1"/>
        <v>79</v>
      </c>
      <c r="G7" s="856">
        <f>'LEVY DISBURSMENT'!E40</f>
        <v>3040</v>
      </c>
      <c r="H7" s="857"/>
      <c r="I7" s="857">
        <f>'LEVY DISBURSMENT'!E41</f>
        <v>600</v>
      </c>
      <c r="J7" s="857">
        <f>'LEVY DISBURSMENT'!E42</f>
        <v>54</v>
      </c>
      <c r="K7" s="869"/>
    </row>
    <row r="8" spans="1:11" ht="24" customHeight="1" thickTop="1" thickBot="1" x14ac:dyDescent="0.35">
      <c r="A8" s="216"/>
      <c r="B8" s="905">
        <f>'LEVY DISBURSMENT'!B51</f>
        <v>45648</v>
      </c>
      <c r="C8" s="876" t="s">
        <v>1074</v>
      </c>
      <c r="D8" s="863">
        <f>'LEVY DISBURSMENT'!D50</f>
        <v>3600</v>
      </c>
      <c r="E8" s="851">
        <f t="shared" si="0"/>
        <v>3091</v>
      </c>
      <c r="F8" s="864">
        <f t="shared" si="1"/>
        <v>588</v>
      </c>
      <c r="G8" s="856">
        <f>'LEVY DISBURSMENT'!E51</f>
        <v>3040</v>
      </c>
      <c r="H8" s="857"/>
      <c r="I8" s="857"/>
      <c r="J8" s="857">
        <f>'LEVY DISBURSMENT'!E52</f>
        <v>51</v>
      </c>
      <c r="K8" s="869"/>
    </row>
    <row r="9" spans="1:11" ht="24" customHeight="1" thickTop="1" thickBot="1" x14ac:dyDescent="0.35">
      <c r="A9" s="216"/>
      <c r="B9" s="905">
        <f>'LEVY DISBURSMENT'!B61</f>
        <v>45807</v>
      </c>
      <c r="C9" s="876" t="s">
        <v>1075</v>
      </c>
      <c r="D9" s="863">
        <f>'LEVY DISBURSMENT'!D60</f>
        <v>2200</v>
      </c>
      <c r="E9" s="851">
        <f t="shared" si="0"/>
        <v>1537.5</v>
      </c>
      <c r="F9" s="864">
        <f t="shared" si="1"/>
        <v>1250.5</v>
      </c>
      <c r="G9" s="856"/>
      <c r="H9" s="857">
        <f>'LEVY DISBURSMENT'!E61</f>
        <v>1015</v>
      </c>
      <c r="I9" s="857">
        <f>'LEVY DISBURSMENT'!E62</f>
        <v>500</v>
      </c>
      <c r="J9" s="857">
        <f>'LEVY DISBURSMENT'!E63</f>
        <v>22.5</v>
      </c>
      <c r="K9" s="869"/>
    </row>
    <row r="10" spans="1:11" ht="24" customHeight="1" thickTop="1" thickBot="1" x14ac:dyDescent="0.35">
      <c r="A10" s="216"/>
      <c r="B10" s="905"/>
      <c r="C10" s="876"/>
      <c r="D10" s="863"/>
      <c r="E10" s="851">
        <f t="shared" si="0"/>
        <v>0</v>
      </c>
      <c r="F10" s="864">
        <f t="shared" si="1"/>
        <v>1250.5</v>
      </c>
      <c r="G10" s="856"/>
      <c r="H10" s="857"/>
      <c r="I10" s="857"/>
      <c r="J10" s="857"/>
      <c r="K10" s="869"/>
    </row>
    <row r="11" spans="1:11" ht="24" customHeight="1" thickTop="1" thickBot="1" x14ac:dyDescent="0.35">
      <c r="A11" s="216"/>
      <c r="B11" s="905"/>
      <c r="C11" s="876"/>
      <c r="D11" s="863"/>
      <c r="E11" s="851">
        <f t="shared" si="0"/>
        <v>0</v>
      </c>
      <c r="F11" s="864">
        <f t="shared" si="1"/>
        <v>1250.5</v>
      </c>
      <c r="G11" s="856"/>
      <c r="H11" s="857"/>
      <c r="I11" s="857"/>
      <c r="J11" s="857"/>
      <c r="K11" s="869"/>
    </row>
    <row r="12" spans="1:11" ht="24" customHeight="1" thickTop="1" thickBot="1" x14ac:dyDescent="0.35">
      <c r="A12" s="216"/>
      <c r="B12" s="905"/>
      <c r="C12" s="876"/>
      <c r="D12" s="863"/>
      <c r="E12" s="851">
        <f t="shared" si="0"/>
        <v>0</v>
      </c>
      <c r="F12" s="864">
        <f t="shared" si="1"/>
        <v>1250.5</v>
      </c>
      <c r="G12" s="856"/>
      <c r="H12" s="857"/>
      <c r="I12" s="857"/>
      <c r="J12" s="857"/>
      <c r="K12" s="869"/>
    </row>
    <row r="13" spans="1:11" ht="24" customHeight="1" thickTop="1" thickBot="1" x14ac:dyDescent="0.35">
      <c r="A13" s="216"/>
      <c r="B13" s="905"/>
      <c r="C13" s="876"/>
      <c r="D13" s="863"/>
      <c r="E13" s="851">
        <f t="shared" si="0"/>
        <v>0</v>
      </c>
      <c r="F13" s="864">
        <f t="shared" si="1"/>
        <v>1250.5</v>
      </c>
      <c r="G13" s="856"/>
      <c r="H13" s="857"/>
      <c r="I13" s="857"/>
      <c r="J13" s="857"/>
      <c r="K13" s="869"/>
    </row>
    <row r="14" spans="1:11" ht="24" customHeight="1" thickTop="1" thickBot="1" x14ac:dyDescent="0.35">
      <c r="A14" s="216"/>
      <c r="B14" s="905"/>
      <c r="C14" s="852"/>
      <c r="D14" s="863"/>
      <c r="E14" s="851">
        <f t="shared" si="0"/>
        <v>0</v>
      </c>
      <c r="F14" s="864">
        <f t="shared" si="1"/>
        <v>1250.5</v>
      </c>
      <c r="G14" s="856"/>
      <c r="H14" s="857"/>
      <c r="I14" s="857"/>
      <c r="J14" s="857"/>
      <c r="K14" s="869"/>
    </row>
    <row r="15" spans="1:11" ht="24" customHeight="1" thickTop="1" thickBot="1" x14ac:dyDescent="0.35">
      <c r="A15" s="216"/>
      <c r="B15" s="905"/>
      <c r="C15" s="852"/>
      <c r="D15" s="863"/>
      <c r="E15" s="851">
        <f t="shared" si="0"/>
        <v>0</v>
      </c>
      <c r="F15" s="864">
        <f t="shared" si="1"/>
        <v>1250.5</v>
      </c>
      <c r="G15" s="856"/>
      <c r="H15" s="857"/>
      <c r="I15" s="857"/>
      <c r="J15" s="857"/>
      <c r="K15" s="869"/>
    </row>
    <row r="16" spans="1:11" ht="24" customHeight="1" thickTop="1" thickBot="1" x14ac:dyDescent="0.35">
      <c r="A16" s="216"/>
      <c r="B16" s="905"/>
      <c r="C16" s="852"/>
      <c r="D16" s="863"/>
      <c r="E16" s="851">
        <f t="shared" si="0"/>
        <v>0</v>
      </c>
      <c r="F16" s="864">
        <f t="shared" si="1"/>
        <v>1250.5</v>
      </c>
      <c r="G16" s="856"/>
      <c r="H16" s="857"/>
      <c r="I16" s="857"/>
      <c r="J16" s="857"/>
      <c r="K16" s="869"/>
    </row>
    <row r="17" spans="1:11" ht="24" customHeight="1" thickTop="1" thickBot="1" x14ac:dyDescent="0.35">
      <c r="A17" s="216"/>
      <c r="B17" s="905"/>
      <c r="C17" s="852"/>
      <c r="D17" s="863"/>
      <c r="E17" s="851">
        <f t="shared" si="0"/>
        <v>0</v>
      </c>
      <c r="F17" s="864">
        <f t="shared" si="1"/>
        <v>1250.5</v>
      </c>
      <c r="G17" s="856"/>
      <c r="H17" s="857"/>
      <c r="I17" s="857"/>
      <c r="J17" s="857"/>
      <c r="K17" s="869"/>
    </row>
    <row r="18" spans="1:11" ht="24" customHeight="1" thickTop="1" thickBot="1" x14ac:dyDescent="0.35">
      <c r="A18" s="216"/>
      <c r="B18" s="905"/>
      <c r="C18" s="852"/>
      <c r="D18" s="863"/>
      <c r="E18" s="851">
        <f t="shared" si="0"/>
        <v>0</v>
      </c>
      <c r="F18" s="864">
        <f t="shared" si="1"/>
        <v>1250.5</v>
      </c>
      <c r="G18" s="856"/>
      <c r="H18" s="857"/>
      <c r="I18" s="857"/>
      <c r="J18" s="857"/>
      <c r="K18" s="869"/>
    </row>
    <row r="19" spans="1:11" ht="24" customHeight="1" thickTop="1" thickBot="1" x14ac:dyDescent="0.35">
      <c r="A19" s="216"/>
      <c r="B19" s="905"/>
      <c r="C19" s="852"/>
      <c r="D19" s="863"/>
      <c r="E19" s="851">
        <f t="shared" si="0"/>
        <v>0</v>
      </c>
      <c r="F19" s="864">
        <f t="shared" si="1"/>
        <v>1250.5</v>
      </c>
      <c r="G19" s="856"/>
      <c r="H19" s="857"/>
      <c r="I19" s="857"/>
      <c r="J19" s="857"/>
      <c r="K19" s="869"/>
    </row>
    <row r="20" spans="1:11" ht="24" customHeight="1" thickTop="1" thickBot="1" x14ac:dyDescent="0.35">
      <c r="A20" s="216"/>
      <c r="B20" s="905"/>
      <c r="C20" s="852"/>
      <c r="D20" s="863"/>
      <c r="E20" s="851">
        <f t="shared" si="0"/>
        <v>0</v>
      </c>
      <c r="F20" s="864">
        <f t="shared" si="1"/>
        <v>1250.5</v>
      </c>
      <c r="G20" s="856"/>
      <c r="H20" s="857"/>
      <c r="I20" s="857"/>
      <c r="J20" s="857"/>
      <c r="K20" s="869"/>
    </row>
    <row r="21" spans="1:11" ht="24" customHeight="1" thickTop="1" thickBot="1" x14ac:dyDescent="0.35">
      <c r="A21" s="216"/>
      <c r="B21" s="905"/>
      <c r="C21" s="852"/>
      <c r="D21" s="863"/>
      <c r="E21" s="851">
        <f t="shared" si="0"/>
        <v>0</v>
      </c>
      <c r="F21" s="864">
        <f t="shared" si="1"/>
        <v>1250.5</v>
      </c>
      <c r="G21" s="856"/>
      <c r="H21" s="857"/>
      <c r="I21" s="857"/>
      <c r="J21" s="857"/>
      <c r="K21" s="869"/>
    </row>
    <row r="22" spans="1:11" ht="24" customHeight="1" thickTop="1" thickBot="1" x14ac:dyDescent="0.35">
      <c r="A22" s="216"/>
      <c r="B22" s="905"/>
      <c r="C22" s="852"/>
      <c r="D22" s="863"/>
      <c r="E22" s="851">
        <f t="shared" si="0"/>
        <v>0</v>
      </c>
      <c r="F22" s="864">
        <f t="shared" si="1"/>
        <v>1250.5</v>
      </c>
      <c r="G22" s="856"/>
      <c r="H22" s="857"/>
      <c r="I22" s="857"/>
      <c r="J22" s="857"/>
      <c r="K22" s="869"/>
    </row>
    <row r="23" spans="1:11" ht="24" customHeight="1" thickTop="1" thickBot="1" x14ac:dyDescent="0.35">
      <c r="A23" s="216"/>
      <c r="B23" s="906"/>
      <c r="C23" s="853"/>
      <c r="D23" s="865"/>
      <c r="E23" s="866">
        <f t="shared" si="0"/>
        <v>0</v>
      </c>
      <c r="F23" s="867">
        <f t="shared" si="1"/>
        <v>1250.5</v>
      </c>
      <c r="G23" s="858"/>
      <c r="H23" s="859"/>
      <c r="I23" s="859"/>
      <c r="J23" s="859"/>
      <c r="K23" s="870"/>
    </row>
    <row r="24" spans="1:11" ht="30" customHeight="1" thickBot="1" x14ac:dyDescent="0.45">
      <c r="A24" s="216"/>
      <c r="B24" s="1063" t="s">
        <v>1</v>
      </c>
      <c r="C24" s="1064"/>
      <c r="D24" s="871">
        <f>SUM(D4:D23)</f>
        <v>18500</v>
      </c>
      <c r="E24" s="871">
        <f t="shared" ref="E24:K24" si="2">SUM(E4:E23)</f>
        <v>17249.5</v>
      </c>
      <c r="F24" s="871">
        <f>D24-E24</f>
        <v>1250.5</v>
      </c>
      <c r="G24" s="871">
        <f t="shared" si="2"/>
        <v>12260</v>
      </c>
      <c r="H24" s="871">
        <f t="shared" si="2"/>
        <v>2030</v>
      </c>
      <c r="I24" s="871">
        <f t="shared" si="2"/>
        <v>2700</v>
      </c>
      <c r="J24" s="871">
        <f t="shared" si="2"/>
        <v>259.5</v>
      </c>
      <c r="K24" s="871">
        <f t="shared" si="2"/>
        <v>0</v>
      </c>
    </row>
    <row r="25" spans="1:11" ht="20.100000000000001" customHeight="1" x14ac:dyDescent="0.25">
      <c r="F25" s="816"/>
      <c r="G25" s="816"/>
      <c r="H25" s="816"/>
      <c r="I25" s="816"/>
      <c r="J25" s="816"/>
      <c r="K25" s="830"/>
    </row>
  </sheetData>
  <mergeCells count="2">
    <mergeCell ref="B24:C24"/>
    <mergeCell ref="B2:D2"/>
  </mergeCells>
  <conditionalFormatting sqref="D4:F23">
    <cfRule type="cellIs" dxfId="80" priority="1" operator="equal">
      <formula>0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0955-9B2C-4692-AF18-DA574C3C0EE5}">
  <sheetPr>
    <tabColor rgb="FF7030A0"/>
  </sheetPr>
  <dimension ref="A1:E135"/>
  <sheetViews>
    <sheetView workbookViewId="0">
      <selection activeCell="F19" sqref="F19"/>
    </sheetView>
  </sheetViews>
  <sheetFormatPr defaultColWidth="9.140625" defaultRowHeight="20.100000000000001" customHeight="1" x14ac:dyDescent="0.25"/>
  <cols>
    <col min="1" max="1" width="9.85546875" style="813" customWidth="1"/>
    <col min="2" max="2" width="60.42578125" style="216" bestFit="1" customWidth="1"/>
    <col min="3" max="4" width="23.140625" style="216" bestFit="1" customWidth="1"/>
    <col min="5" max="5" width="19.5703125" style="216" bestFit="1" customWidth="1"/>
    <col min="6" max="7" width="19.140625" style="216" bestFit="1" customWidth="1"/>
    <col min="8" max="10" width="17.5703125" style="216" customWidth="1"/>
    <col min="11" max="11" width="16.7109375" style="216" customWidth="1"/>
    <col min="12" max="12" width="10" style="216" customWidth="1"/>
    <col min="13" max="13" width="37.28515625" style="216" customWidth="1"/>
    <col min="14" max="14" width="18.140625" style="216" customWidth="1"/>
    <col min="15" max="15" width="19.7109375" style="216" bestFit="1" customWidth="1"/>
    <col min="16" max="16" width="9.140625" style="216"/>
    <col min="17" max="17" width="41.140625" style="216" bestFit="1" customWidth="1"/>
    <col min="18" max="18" width="23.140625" style="216" bestFit="1" customWidth="1"/>
    <col min="19" max="16384" width="9.140625" style="216"/>
  </cols>
  <sheetData>
    <row r="1" spans="1:5" ht="24.75" customHeight="1" x14ac:dyDescent="0.25"/>
    <row r="2" spans="1:5" ht="48.6" customHeight="1" thickBot="1" x14ac:dyDescent="0.85">
      <c r="A2" s="216"/>
      <c r="B2" s="1055" t="s">
        <v>539</v>
      </c>
      <c r="C2" s="1055"/>
      <c r="D2" s="1055"/>
    </row>
    <row r="3" spans="1:5" s="848" customFormat="1" ht="26.25" thickTop="1" thickBot="1" x14ac:dyDescent="0.3">
      <c r="B3" s="872" t="s">
        <v>52</v>
      </c>
      <c r="C3" s="873" t="s">
        <v>53</v>
      </c>
      <c r="D3" s="874" t="s">
        <v>1083</v>
      </c>
      <c r="E3" s="847"/>
    </row>
    <row r="4" spans="1:5" ht="24" customHeight="1" thickTop="1" thickBot="1" x14ac:dyDescent="0.45">
      <c r="A4" s="216"/>
      <c r="B4" s="504"/>
      <c r="C4" s="504" t="s">
        <v>56</v>
      </c>
      <c r="D4" s="647" t="s">
        <v>56</v>
      </c>
      <c r="E4" s="815"/>
    </row>
    <row r="5" spans="1:5" ht="24.95" customHeight="1" thickTop="1" thickBot="1" x14ac:dyDescent="0.3">
      <c r="A5" s="216"/>
      <c r="B5" s="878" t="s">
        <v>1085</v>
      </c>
      <c r="C5" s="882">
        <f>'LEVY ACCOUNT'!D4</f>
        <v>3800</v>
      </c>
      <c r="D5" s="883"/>
      <c r="E5" s="815"/>
    </row>
    <row r="6" spans="1:5" ht="24.95" customHeight="1" thickTop="1" thickBot="1" x14ac:dyDescent="0.3">
      <c r="A6" s="216"/>
      <c r="B6" s="878" t="s">
        <v>1086</v>
      </c>
      <c r="C6" s="884">
        <f>'LEVY ACCOUNT'!D5</f>
        <v>1700</v>
      </c>
      <c r="D6" s="883"/>
      <c r="E6" s="815"/>
    </row>
    <row r="7" spans="1:5" ht="24.95" customHeight="1" thickTop="1" thickBot="1" x14ac:dyDescent="0.3">
      <c r="A7" s="216"/>
      <c r="B7" s="878" t="s">
        <v>1087</v>
      </c>
      <c r="C7" s="884">
        <f>'LEVY ACCOUNT'!D6</f>
        <v>3600</v>
      </c>
      <c r="D7" s="883"/>
      <c r="E7" s="815"/>
    </row>
    <row r="8" spans="1:5" ht="24.95" customHeight="1" thickTop="1" thickBot="1" x14ac:dyDescent="0.3">
      <c r="A8" s="216"/>
      <c r="B8" s="878" t="s">
        <v>1088</v>
      </c>
      <c r="C8" s="884">
        <f>'LEVY ACCOUNT'!D7</f>
        <v>3600</v>
      </c>
      <c r="D8" s="883"/>
      <c r="E8" s="815"/>
    </row>
    <row r="9" spans="1:5" ht="24.95" customHeight="1" thickTop="1" thickBot="1" x14ac:dyDescent="0.3">
      <c r="A9" s="216"/>
      <c r="B9" s="878" t="s">
        <v>1089</v>
      </c>
      <c r="C9" s="884">
        <f>'LEVY ACCOUNT'!D8</f>
        <v>3600</v>
      </c>
      <c r="D9" s="883"/>
      <c r="E9" s="815"/>
    </row>
    <row r="10" spans="1:5" ht="24.95" customHeight="1" thickTop="1" thickBot="1" x14ac:dyDescent="0.3">
      <c r="A10" s="216"/>
      <c r="B10" s="878" t="s">
        <v>1090</v>
      </c>
      <c r="C10" s="884">
        <f>'LEVY ACCOUNT'!D9</f>
        <v>2200</v>
      </c>
      <c r="D10" s="883"/>
      <c r="E10" s="815"/>
    </row>
    <row r="11" spans="1:5" ht="24.95" customHeight="1" thickTop="1" thickBot="1" x14ac:dyDescent="0.3">
      <c r="A11" s="216"/>
      <c r="B11" s="878" t="s">
        <v>1091</v>
      </c>
      <c r="C11" s="884"/>
      <c r="D11" s="883">
        <f>'LEVY ACCOUNT'!G24</f>
        <v>12260</v>
      </c>
      <c r="E11" s="815"/>
    </row>
    <row r="12" spans="1:5" ht="24.95" customHeight="1" thickTop="1" thickBot="1" x14ac:dyDescent="0.3">
      <c r="A12" s="216"/>
      <c r="B12" s="879" t="s">
        <v>1092</v>
      </c>
      <c r="C12" s="884"/>
      <c r="D12" s="883">
        <f>'LEVY ACCOUNT'!H24</f>
        <v>2030</v>
      </c>
      <c r="E12" s="815"/>
    </row>
    <row r="13" spans="1:5" ht="24.95" customHeight="1" thickTop="1" thickBot="1" x14ac:dyDescent="0.3">
      <c r="A13" s="216"/>
      <c r="B13" s="879" t="s">
        <v>1093</v>
      </c>
      <c r="C13" s="884"/>
      <c r="D13" s="883">
        <f>'LEVY ACCOUNT'!I24</f>
        <v>2700</v>
      </c>
      <c r="E13" s="815"/>
    </row>
    <row r="14" spans="1:5" ht="24.95" customHeight="1" thickTop="1" thickBot="1" x14ac:dyDescent="0.3">
      <c r="A14" s="216"/>
      <c r="B14" s="879" t="s">
        <v>1094</v>
      </c>
      <c r="C14" s="884"/>
      <c r="D14" s="883">
        <f>'LEVY ACCOUNT'!J24</f>
        <v>259.5</v>
      </c>
      <c r="E14" s="815"/>
    </row>
    <row r="15" spans="1:5" ht="24.95" customHeight="1" thickTop="1" thickBot="1" x14ac:dyDescent="0.3">
      <c r="A15" s="216"/>
      <c r="B15" s="880" t="s">
        <v>1095</v>
      </c>
      <c r="C15" s="884"/>
      <c r="D15" s="883">
        <f>'LEVY ACCOUNT'!F24</f>
        <v>1250.5</v>
      </c>
      <c r="E15" s="815"/>
    </row>
    <row r="16" spans="1:5" ht="24.95" customHeight="1" thickTop="1" thickBot="1" x14ac:dyDescent="0.3">
      <c r="A16" s="216"/>
      <c r="B16" s="879"/>
      <c r="C16" s="884"/>
      <c r="D16" s="885"/>
      <c r="E16" s="815"/>
    </row>
    <row r="17" spans="1:5" ht="24.95" customHeight="1" thickTop="1" thickBot="1" x14ac:dyDescent="0.3">
      <c r="A17" s="216"/>
      <c r="B17" s="881"/>
      <c r="C17" s="886"/>
      <c r="D17" s="887"/>
      <c r="E17" s="815"/>
    </row>
    <row r="18" spans="1:5" ht="24" customHeight="1" thickBot="1" x14ac:dyDescent="0.45">
      <c r="A18" s="216"/>
      <c r="B18" s="614" t="s">
        <v>1</v>
      </c>
      <c r="C18" s="888">
        <f>SUM(C5:C17)</f>
        <v>18500</v>
      </c>
      <c r="D18" s="888">
        <f>SUM(D5:D16)</f>
        <v>18500</v>
      </c>
      <c r="E18" s="815"/>
    </row>
    <row r="19" spans="1:5" ht="24" customHeight="1" thickTop="1" x14ac:dyDescent="0.35">
      <c r="A19" s="81"/>
      <c r="B19" s="81"/>
      <c r="C19" s="815"/>
      <c r="D19" s="815"/>
      <c r="E19" s="815"/>
    </row>
    <row r="20" spans="1:5" ht="24" customHeight="1" x14ac:dyDescent="0.25">
      <c r="A20" s="821"/>
      <c r="B20" s="821"/>
      <c r="C20" s="815"/>
      <c r="D20" s="815"/>
      <c r="E20" s="815"/>
    </row>
    <row r="21" spans="1:5" ht="24" customHeight="1" x14ac:dyDescent="0.25">
      <c r="A21" s="216"/>
      <c r="C21" s="815"/>
      <c r="D21" s="815"/>
      <c r="E21" s="815"/>
    </row>
    <row r="22" spans="1:5" ht="24" customHeight="1" x14ac:dyDescent="0.25">
      <c r="A22" s="216"/>
      <c r="C22" s="815"/>
      <c r="D22" s="815"/>
      <c r="E22" s="815"/>
    </row>
    <row r="23" spans="1:5" ht="24" customHeight="1" x14ac:dyDescent="0.25">
      <c r="A23" s="216"/>
      <c r="C23" s="815"/>
      <c r="D23" s="815"/>
      <c r="E23" s="815"/>
    </row>
    <row r="24" spans="1:5" ht="30" customHeight="1" x14ac:dyDescent="0.25">
      <c r="A24" s="216"/>
      <c r="C24" s="815"/>
      <c r="D24" s="815"/>
      <c r="E24" s="815"/>
    </row>
    <row r="25" spans="1:5" ht="20.100000000000001" customHeight="1" x14ac:dyDescent="0.25">
      <c r="A25" s="216"/>
    </row>
    <row r="26" spans="1:5" ht="20.100000000000001" customHeight="1" x14ac:dyDescent="0.25">
      <c r="A26" s="216"/>
    </row>
    <row r="27" spans="1:5" s="81" customFormat="1" ht="39.950000000000003" customHeight="1" x14ac:dyDescent="0.35">
      <c r="A27" s="216"/>
      <c r="B27" s="216"/>
    </row>
    <row r="28" spans="1:5" s="821" customFormat="1" ht="27" customHeight="1" x14ac:dyDescent="0.25">
      <c r="A28" s="216"/>
      <c r="B28" s="216"/>
    </row>
    <row r="29" spans="1:5" ht="24" customHeight="1" x14ac:dyDescent="0.25">
      <c r="A29" s="816"/>
      <c r="B29" s="816"/>
    </row>
    <row r="30" spans="1:5" ht="24" customHeight="1" x14ac:dyDescent="0.25">
      <c r="A30" s="216"/>
    </row>
    <row r="31" spans="1:5" ht="24" customHeight="1" x14ac:dyDescent="0.35">
      <c r="A31" s="81"/>
      <c r="B31" s="81"/>
    </row>
    <row r="32" spans="1:5" ht="24" customHeight="1" x14ac:dyDescent="0.25">
      <c r="A32" s="216"/>
    </row>
    <row r="33" spans="1:2" ht="24" customHeight="1" x14ac:dyDescent="0.25">
      <c r="A33" s="216"/>
    </row>
    <row r="34" spans="1:2" ht="24" customHeight="1" x14ac:dyDescent="0.25">
      <c r="A34" s="216"/>
    </row>
    <row r="35" spans="1:2" ht="24.75" customHeight="1" x14ac:dyDescent="0.25">
      <c r="A35" s="216"/>
    </row>
    <row r="36" spans="1:2" s="816" customFormat="1" ht="20.100000000000001" customHeight="1" x14ac:dyDescent="0.25">
      <c r="A36" s="216"/>
      <c r="B36" s="216"/>
    </row>
    <row r="37" spans="1:2" s="816" customFormat="1" ht="20.100000000000001" customHeight="1" x14ac:dyDescent="0.25">
      <c r="A37" s="216"/>
      <c r="B37" s="216"/>
    </row>
    <row r="38" spans="1:2" s="81" customFormat="1" ht="39.950000000000003" customHeight="1" x14ac:dyDescent="0.35">
      <c r="A38" s="216"/>
      <c r="B38" s="216"/>
    </row>
    <row r="39" spans="1:2" s="821" customFormat="1" ht="25.5" customHeight="1" x14ac:dyDescent="0.25">
      <c r="A39" s="216"/>
      <c r="B39" s="216"/>
    </row>
    <row r="40" spans="1:2" ht="24" customHeight="1" x14ac:dyDescent="0.25">
      <c r="A40" s="216"/>
    </row>
    <row r="41" spans="1:2" ht="24" customHeight="1" x14ac:dyDescent="0.35">
      <c r="A41" s="81"/>
      <c r="B41" s="81"/>
    </row>
    <row r="42" spans="1:2" ht="24" customHeight="1" x14ac:dyDescent="0.25">
      <c r="A42" s="821"/>
      <c r="B42" s="821"/>
    </row>
    <row r="43" spans="1:2" ht="24" customHeight="1" x14ac:dyDescent="0.25">
      <c r="A43" s="216"/>
    </row>
    <row r="44" spans="1:2" ht="24" customHeight="1" x14ac:dyDescent="0.25">
      <c r="A44" s="216"/>
    </row>
    <row r="45" spans="1:2" ht="24" customHeight="1" x14ac:dyDescent="0.25">
      <c r="A45" s="216"/>
    </row>
    <row r="46" spans="1:2" ht="24.75" customHeight="1" x14ac:dyDescent="0.25">
      <c r="A46" s="216"/>
    </row>
    <row r="47" spans="1:2" s="816" customFormat="1" ht="20.100000000000001" customHeight="1" x14ac:dyDescent="0.25">
      <c r="A47" s="216"/>
      <c r="B47" s="216"/>
    </row>
    <row r="48" spans="1:2" ht="20.100000000000001" customHeight="1" x14ac:dyDescent="0.25">
      <c r="A48" s="216"/>
    </row>
    <row r="49" spans="1:2" s="81" customFormat="1" ht="39.950000000000003" customHeight="1" x14ac:dyDescent="0.35">
      <c r="A49" s="216"/>
      <c r="B49" s="216"/>
    </row>
    <row r="50" spans="1:2" s="821" customFormat="1" ht="25.5" customHeight="1" x14ac:dyDescent="0.25">
      <c r="A50" s="216"/>
      <c r="B50" s="216"/>
    </row>
    <row r="51" spans="1:2" ht="24" customHeight="1" x14ac:dyDescent="0.25">
      <c r="A51" s="216"/>
    </row>
    <row r="52" spans="1:2" ht="24" customHeight="1" x14ac:dyDescent="0.35">
      <c r="A52" s="81"/>
      <c r="B52" s="81"/>
    </row>
    <row r="53" spans="1:2" ht="24" customHeight="1" x14ac:dyDescent="0.25">
      <c r="A53" s="821"/>
      <c r="B53" s="821"/>
    </row>
    <row r="54" spans="1:2" ht="24" customHeight="1" x14ac:dyDescent="0.25">
      <c r="A54" s="216"/>
    </row>
    <row r="55" spans="1:2" ht="24" customHeight="1" x14ac:dyDescent="0.25">
      <c r="A55" s="216"/>
    </row>
    <row r="56" spans="1:2" ht="24" customHeight="1" x14ac:dyDescent="0.25">
      <c r="A56" s="216"/>
    </row>
    <row r="57" spans="1:2" ht="24.75" customHeight="1" x14ac:dyDescent="0.25">
      <c r="A57" s="216"/>
    </row>
    <row r="58" spans="1:2" ht="20.100000000000001" customHeight="1" x14ac:dyDescent="0.25">
      <c r="A58" s="216"/>
    </row>
    <row r="59" spans="1:2" ht="20.100000000000001" customHeight="1" x14ac:dyDescent="0.25">
      <c r="A59" s="216"/>
    </row>
    <row r="60" spans="1:2" s="81" customFormat="1" ht="39.950000000000003" customHeight="1" x14ac:dyDescent="0.35">
      <c r="A60" s="216"/>
      <c r="B60" s="216"/>
    </row>
    <row r="61" spans="1:2" s="821" customFormat="1" ht="25.5" customHeight="1" x14ac:dyDescent="0.25">
      <c r="A61" s="216"/>
      <c r="B61" s="216"/>
    </row>
    <row r="62" spans="1:2" ht="24" customHeight="1" x14ac:dyDescent="0.25">
      <c r="A62" s="216"/>
    </row>
    <row r="63" spans="1:2" ht="24" customHeight="1" x14ac:dyDescent="0.35">
      <c r="A63" s="81"/>
      <c r="B63" s="81"/>
    </row>
    <row r="64" spans="1:2" ht="24" customHeight="1" x14ac:dyDescent="0.25">
      <c r="A64" s="821"/>
      <c r="B64" s="821"/>
    </row>
    <row r="65" spans="1:2" ht="24" customHeight="1" x14ac:dyDescent="0.25">
      <c r="A65" s="216"/>
    </row>
    <row r="66" spans="1:2" ht="24" customHeight="1" x14ac:dyDescent="0.25">
      <c r="A66" s="216"/>
    </row>
    <row r="67" spans="1:2" ht="24" customHeight="1" x14ac:dyDescent="0.25">
      <c r="A67" s="216"/>
    </row>
    <row r="68" spans="1:2" ht="24" customHeight="1" x14ac:dyDescent="0.25">
      <c r="A68" s="216"/>
    </row>
    <row r="69" spans="1:2" ht="20.100000000000001" customHeight="1" x14ac:dyDescent="0.25">
      <c r="A69" s="216"/>
    </row>
    <row r="70" spans="1:2" ht="20.100000000000001" customHeight="1" x14ac:dyDescent="0.25">
      <c r="A70" s="216"/>
    </row>
    <row r="71" spans="1:2" s="81" customFormat="1" ht="39.950000000000003" customHeight="1" x14ac:dyDescent="0.35">
      <c r="A71" s="216"/>
      <c r="B71" s="216"/>
    </row>
    <row r="72" spans="1:2" s="821" customFormat="1" ht="25.5" customHeight="1" x14ac:dyDescent="0.25">
      <c r="A72" s="216"/>
      <c r="B72" s="216"/>
    </row>
    <row r="73" spans="1:2" ht="24" customHeight="1" x14ac:dyDescent="0.25">
      <c r="A73" s="216"/>
    </row>
    <row r="74" spans="1:2" ht="24" customHeight="1" x14ac:dyDescent="0.35">
      <c r="A74" s="81"/>
      <c r="B74" s="81"/>
    </row>
    <row r="75" spans="1:2" ht="24" customHeight="1" x14ac:dyDescent="0.25">
      <c r="A75" s="821"/>
      <c r="B75" s="821"/>
    </row>
    <row r="76" spans="1:2" ht="24" customHeight="1" x14ac:dyDescent="0.25">
      <c r="A76" s="216"/>
    </row>
    <row r="77" spans="1:2" ht="24" customHeight="1" x14ac:dyDescent="0.25">
      <c r="A77" s="216"/>
    </row>
    <row r="78" spans="1:2" ht="24" customHeight="1" x14ac:dyDescent="0.25">
      <c r="A78" s="216"/>
    </row>
    <row r="79" spans="1:2" ht="24" customHeight="1" x14ac:dyDescent="0.25">
      <c r="A79" s="216"/>
    </row>
    <row r="80" spans="1:2" ht="20.100000000000001" customHeight="1" x14ac:dyDescent="0.25">
      <c r="A80" s="216"/>
    </row>
    <row r="81" spans="1:2" ht="20.100000000000001" customHeight="1" x14ac:dyDescent="0.25">
      <c r="A81" s="216"/>
    </row>
    <row r="82" spans="1:2" s="81" customFormat="1" ht="39.950000000000003" customHeight="1" x14ac:dyDescent="0.35">
      <c r="A82" s="216"/>
      <c r="B82" s="216"/>
    </row>
    <row r="83" spans="1:2" s="821" customFormat="1" ht="25.5" customHeight="1" x14ac:dyDescent="0.25">
      <c r="A83" s="216"/>
      <c r="B83" s="216"/>
    </row>
    <row r="84" spans="1:2" ht="24" customHeight="1" x14ac:dyDescent="0.25">
      <c r="A84" s="216"/>
    </row>
    <row r="85" spans="1:2" ht="24" customHeight="1" x14ac:dyDescent="0.35">
      <c r="A85" s="81"/>
      <c r="B85" s="81"/>
    </row>
    <row r="86" spans="1:2" ht="24" customHeight="1" x14ac:dyDescent="0.25">
      <c r="A86" s="821"/>
      <c r="B86" s="821"/>
    </row>
    <row r="87" spans="1:2" ht="24" customHeight="1" x14ac:dyDescent="0.25">
      <c r="A87" s="216"/>
    </row>
    <row r="88" spans="1:2" ht="24" customHeight="1" x14ac:dyDescent="0.25">
      <c r="A88" s="216"/>
    </row>
    <row r="89" spans="1:2" ht="24" customHeight="1" x14ac:dyDescent="0.25">
      <c r="A89" s="216"/>
    </row>
    <row r="90" spans="1:2" ht="24" customHeight="1" x14ac:dyDescent="0.25">
      <c r="A90" s="216"/>
    </row>
    <row r="91" spans="1:2" ht="20.100000000000001" customHeight="1" x14ac:dyDescent="0.25">
      <c r="A91" s="216"/>
    </row>
    <row r="92" spans="1:2" ht="20.100000000000001" customHeight="1" x14ac:dyDescent="0.25">
      <c r="A92" s="216"/>
    </row>
    <row r="93" spans="1:2" s="81" customFormat="1" ht="39.950000000000003" customHeight="1" x14ac:dyDescent="0.35">
      <c r="A93" s="216"/>
      <c r="B93" s="216"/>
    </row>
    <row r="94" spans="1:2" s="821" customFormat="1" ht="25.5" customHeight="1" x14ac:dyDescent="0.25">
      <c r="A94" s="216"/>
      <c r="B94" s="216"/>
    </row>
    <row r="95" spans="1:2" ht="24" customHeight="1" x14ac:dyDescent="0.25">
      <c r="A95" s="216"/>
    </row>
    <row r="96" spans="1:2" ht="24" customHeight="1" x14ac:dyDescent="0.35">
      <c r="A96" s="81"/>
      <c r="B96" s="81"/>
    </row>
    <row r="97" spans="1:2" ht="24" customHeight="1" x14ac:dyDescent="0.25">
      <c r="A97" s="821"/>
      <c r="B97" s="821"/>
    </row>
    <row r="98" spans="1:2" ht="24" customHeight="1" x14ac:dyDescent="0.25">
      <c r="A98" s="216"/>
    </row>
    <row r="99" spans="1:2" ht="24" customHeight="1" x14ac:dyDescent="0.25">
      <c r="A99" s="216"/>
    </row>
    <row r="100" spans="1:2" ht="24" customHeight="1" x14ac:dyDescent="0.25">
      <c r="A100" s="216"/>
    </row>
    <row r="101" spans="1:2" ht="24" customHeight="1" x14ac:dyDescent="0.25">
      <c r="A101" s="216"/>
    </row>
    <row r="102" spans="1:2" ht="20.100000000000001" customHeight="1" x14ac:dyDescent="0.25">
      <c r="A102" s="216"/>
    </row>
    <row r="103" spans="1:2" ht="20.100000000000001" customHeight="1" x14ac:dyDescent="0.25">
      <c r="A103" s="216"/>
    </row>
    <row r="104" spans="1:2" s="81" customFormat="1" ht="39.950000000000003" customHeight="1" x14ac:dyDescent="0.35">
      <c r="A104" s="216"/>
      <c r="B104" s="216"/>
    </row>
    <row r="105" spans="1:2" s="821" customFormat="1" ht="25.5" customHeight="1" x14ac:dyDescent="0.25">
      <c r="A105" s="216"/>
      <c r="B105" s="216"/>
    </row>
    <row r="106" spans="1:2" ht="24" customHeight="1" x14ac:dyDescent="0.25">
      <c r="A106" s="216"/>
    </row>
    <row r="107" spans="1:2" ht="24" customHeight="1" x14ac:dyDescent="0.35">
      <c r="A107" s="81"/>
      <c r="B107" s="81"/>
    </row>
    <row r="108" spans="1:2" ht="24" customHeight="1" x14ac:dyDescent="0.25">
      <c r="A108" s="821"/>
      <c r="B108" s="821"/>
    </row>
    <row r="109" spans="1:2" ht="24" customHeight="1" x14ac:dyDescent="0.25">
      <c r="A109" s="216"/>
    </row>
    <row r="110" spans="1:2" ht="24" customHeight="1" x14ac:dyDescent="0.25">
      <c r="A110" s="216"/>
    </row>
    <row r="111" spans="1:2" ht="24" customHeight="1" x14ac:dyDescent="0.25">
      <c r="A111" s="216"/>
    </row>
    <row r="112" spans="1:2" ht="24" customHeight="1" x14ac:dyDescent="0.25">
      <c r="A112" s="216"/>
    </row>
    <row r="113" spans="1:2" ht="20.100000000000001" customHeight="1" x14ac:dyDescent="0.25">
      <c r="A113" s="216"/>
    </row>
    <row r="114" spans="1:2" ht="20.100000000000001" customHeight="1" x14ac:dyDescent="0.25">
      <c r="A114" s="216"/>
    </row>
    <row r="115" spans="1:2" s="81" customFormat="1" ht="39.950000000000003" customHeight="1" x14ac:dyDescent="0.35">
      <c r="A115" s="216"/>
      <c r="B115" s="216"/>
    </row>
    <row r="116" spans="1:2" s="821" customFormat="1" ht="25.5" customHeight="1" x14ac:dyDescent="0.25">
      <c r="A116" s="216"/>
      <c r="B116" s="216"/>
    </row>
    <row r="117" spans="1:2" ht="24" customHeight="1" x14ac:dyDescent="0.25">
      <c r="A117" s="216"/>
    </row>
    <row r="118" spans="1:2" ht="24" customHeight="1" x14ac:dyDescent="0.25">
      <c r="A118" s="216"/>
    </row>
    <row r="119" spans="1:2" ht="24" customHeight="1" x14ac:dyDescent="0.25">
      <c r="A119" s="216"/>
    </row>
    <row r="120" spans="1:2" ht="24" customHeight="1" x14ac:dyDescent="0.25">
      <c r="A120" s="216"/>
    </row>
    <row r="121" spans="1:2" ht="24" customHeight="1" x14ac:dyDescent="0.25">
      <c r="A121" s="216"/>
    </row>
    <row r="122" spans="1:2" ht="24" customHeight="1" x14ac:dyDescent="0.25">
      <c r="A122" s="216"/>
    </row>
    <row r="123" spans="1:2" ht="24" customHeight="1" x14ac:dyDescent="0.25">
      <c r="A123" s="216"/>
    </row>
    <row r="124" spans="1:2" ht="20.100000000000001" customHeight="1" x14ac:dyDescent="0.25">
      <c r="A124" s="216"/>
    </row>
    <row r="125" spans="1:2" ht="20.100000000000001" customHeight="1" x14ac:dyDescent="0.25">
      <c r="A125" s="216"/>
    </row>
    <row r="126" spans="1:2" s="81" customFormat="1" ht="39.950000000000003" customHeight="1" x14ac:dyDescent="0.35">
      <c r="A126" s="216"/>
      <c r="B126" s="216"/>
    </row>
    <row r="127" spans="1:2" s="821" customFormat="1" ht="25.5" customHeight="1" x14ac:dyDescent="0.25">
      <c r="A127" s="216"/>
      <c r="B127" s="216"/>
    </row>
    <row r="128" spans="1:2" ht="24" customHeight="1" x14ac:dyDescent="0.25">
      <c r="A128" s="216"/>
    </row>
    <row r="129" spans="1:1" ht="24" customHeight="1" x14ac:dyDescent="0.25">
      <c r="A129" s="216"/>
    </row>
    <row r="130" spans="1:1" ht="24" customHeight="1" x14ac:dyDescent="0.25">
      <c r="A130" s="216"/>
    </row>
    <row r="131" spans="1:1" ht="24" customHeight="1" x14ac:dyDescent="0.25">
      <c r="A131" s="216"/>
    </row>
    <row r="132" spans="1:1" ht="24" customHeight="1" x14ac:dyDescent="0.25">
      <c r="A132" s="216"/>
    </row>
    <row r="133" spans="1:1" ht="24" customHeight="1" x14ac:dyDescent="0.25">
      <c r="A133" s="216"/>
    </row>
    <row r="134" spans="1:1" ht="24" customHeight="1" x14ac:dyDescent="0.25">
      <c r="A134" s="216"/>
    </row>
    <row r="135" spans="1:1" ht="20.100000000000001" customHeight="1" x14ac:dyDescent="0.25">
      <c r="A135" s="216"/>
    </row>
  </sheetData>
  <mergeCells count="1">
    <mergeCell ref="B2:D2"/>
  </mergeCells>
  <phoneticPr fontId="27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</sheetPr>
  <dimension ref="A1:Y256"/>
  <sheetViews>
    <sheetView zoomScaleNormal="100" workbookViewId="0">
      <pane xSplit="6" ySplit="5" topLeftCell="V57" activePane="bottomRight" state="frozen"/>
      <selection activeCell="D7" sqref="D7"/>
      <selection pane="topRight" activeCell="D7" sqref="D7"/>
      <selection pane="bottomLeft" activeCell="D7" sqref="D7"/>
      <selection pane="bottomRight"/>
    </sheetView>
  </sheetViews>
  <sheetFormatPr defaultColWidth="9.140625" defaultRowHeight="20.100000000000001" customHeight="1" x14ac:dyDescent="0.35"/>
  <cols>
    <col min="1" max="1" width="1.7109375" style="9" customWidth="1"/>
    <col min="2" max="2" width="18.28515625" style="36" bestFit="1" customWidth="1"/>
    <col min="3" max="3" width="79" style="9" bestFit="1" customWidth="1"/>
    <col min="4" max="4" width="24" style="10" bestFit="1" customWidth="1"/>
    <col min="5" max="5" width="24" style="9" bestFit="1" customWidth="1"/>
    <col min="6" max="6" width="22.7109375" style="9" customWidth="1"/>
    <col min="7" max="7" width="20.42578125" style="9" customWidth="1"/>
    <col min="8" max="12" width="22.7109375" style="9" customWidth="1"/>
    <col min="13" max="15" width="19.28515625" style="9" customWidth="1"/>
    <col min="16" max="18" width="19.7109375" style="9" customWidth="1"/>
    <col min="19" max="19" width="22.7109375" style="9" customWidth="1"/>
    <col min="20" max="20" width="22.85546875" style="9" customWidth="1"/>
    <col min="21" max="21" width="22.7109375" style="9" customWidth="1"/>
    <col min="22" max="22" width="24" style="9" customWidth="1"/>
    <col min="23" max="25" width="22.7109375" style="9" customWidth="1"/>
    <col min="26" max="26" width="9.140625" style="9"/>
    <col min="27" max="27" width="12.140625" style="9" bestFit="1" customWidth="1"/>
    <col min="28" max="16384" width="9.140625" style="9"/>
  </cols>
  <sheetData>
    <row r="1" spans="2:25" s="216" customFormat="1" ht="25.5" customHeight="1" x14ac:dyDescent="0.35">
      <c r="B1" s="36"/>
    </row>
    <row r="2" spans="2:25" s="70" customFormat="1" ht="51.75" thickBot="1" x14ac:dyDescent="0.85">
      <c r="B2" s="1065" t="s">
        <v>680</v>
      </c>
      <c r="C2" s="1065"/>
      <c r="D2" s="94"/>
      <c r="E2" s="93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</row>
    <row r="3" spans="2:25" s="64" customFormat="1" ht="48" thickTop="1" thickBot="1" x14ac:dyDescent="0.4">
      <c r="B3" s="217" t="s">
        <v>51</v>
      </c>
      <c r="C3" s="217" t="s">
        <v>52</v>
      </c>
      <c r="D3" s="234" t="s">
        <v>53</v>
      </c>
      <c r="E3" s="217" t="s">
        <v>54</v>
      </c>
      <c r="F3" s="217" t="s">
        <v>55</v>
      </c>
      <c r="G3" s="217" t="s">
        <v>674</v>
      </c>
      <c r="H3" s="217" t="s">
        <v>647</v>
      </c>
      <c r="I3" s="217" t="s">
        <v>648</v>
      </c>
      <c r="J3" s="217" t="s">
        <v>649</v>
      </c>
      <c r="K3" s="217" t="s">
        <v>670</v>
      </c>
      <c r="L3" s="217" t="s">
        <v>1035</v>
      </c>
      <c r="M3" s="217" t="s">
        <v>675</v>
      </c>
      <c r="N3" s="217" t="s">
        <v>676</v>
      </c>
      <c r="O3" s="217" t="s">
        <v>677</v>
      </c>
      <c r="P3" s="217" t="s">
        <v>678</v>
      </c>
      <c r="Q3" s="217" t="s">
        <v>679</v>
      </c>
      <c r="R3" s="217" t="s">
        <v>702</v>
      </c>
      <c r="S3" s="217" t="s">
        <v>1123</v>
      </c>
      <c r="T3" s="106" t="s">
        <v>1122</v>
      </c>
      <c r="U3" s="217" t="s">
        <v>1120</v>
      </c>
      <c r="V3" s="106" t="s">
        <v>1277</v>
      </c>
      <c r="W3" s="217" t="s">
        <v>1019</v>
      </c>
      <c r="X3" s="217" t="s">
        <v>673</v>
      </c>
      <c r="Y3" s="217"/>
    </row>
    <row r="4" spans="2:25" s="81" customFormat="1" ht="30.75" customHeight="1" thickTop="1" thickBot="1" x14ac:dyDescent="0.45">
      <c r="B4" s="760">
        <v>1044</v>
      </c>
      <c r="C4" s="761" t="s">
        <v>1020</v>
      </c>
      <c r="D4" s="762" t="s">
        <v>56</v>
      </c>
      <c r="E4" s="763" t="s">
        <v>56</v>
      </c>
      <c r="F4" s="763" t="s">
        <v>56</v>
      </c>
      <c r="G4" s="763" t="s">
        <v>56</v>
      </c>
      <c r="H4" s="763" t="s">
        <v>56</v>
      </c>
      <c r="I4" s="763" t="s">
        <v>56</v>
      </c>
      <c r="J4" s="763" t="s">
        <v>56</v>
      </c>
      <c r="K4" s="763" t="s">
        <v>56</v>
      </c>
      <c r="L4" s="763"/>
      <c r="M4" s="763" t="s">
        <v>56</v>
      </c>
      <c r="N4" s="763" t="s">
        <v>56</v>
      </c>
      <c r="O4" s="763" t="s">
        <v>56</v>
      </c>
      <c r="P4" s="763" t="s">
        <v>56</v>
      </c>
      <c r="Q4" s="763" t="s">
        <v>56</v>
      </c>
      <c r="R4" s="763" t="s">
        <v>56</v>
      </c>
      <c r="S4" s="763" t="s">
        <v>56</v>
      </c>
      <c r="T4" s="763"/>
      <c r="U4" s="763"/>
      <c r="V4" s="763"/>
      <c r="W4" s="763" t="s">
        <v>56</v>
      </c>
      <c r="X4" s="763" t="s">
        <v>56</v>
      </c>
      <c r="Y4" s="763" t="s">
        <v>56</v>
      </c>
    </row>
    <row r="5" spans="2:25" ht="27" customHeight="1" thickTop="1" thickBot="1" x14ac:dyDescent="0.4">
      <c r="B5" s="747">
        <v>1</v>
      </c>
      <c r="C5" s="748" t="s">
        <v>620</v>
      </c>
      <c r="D5" s="749">
        <f t="shared" ref="D5:D30" si="0">SUM(G5:V5)</f>
        <v>3900</v>
      </c>
      <c r="E5" s="892"/>
      <c r="F5" s="750">
        <f>D5</f>
        <v>3900</v>
      </c>
      <c r="G5" s="751">
        <f>IFERROR(VLOOKUP($C5,'MEMBERS LIST'!$D$5:$AT$28,32,0),0)</f>
        <v>200</v>
      </c>
      <c r="H5" s="752">
        <f>IFERROR(VLOOKUP($C5,'MONTHLY DUES 2023'!$C$5:$D$23,2,0),0)</f>
        <v>0</v>
      </c>
      <c r="I5" s="753">
        <f>IFERROR(VLOOKUP($C5,'MONTHLY DUES 2024'!$C$5:$D$25,2,0),0)</f>
        <v>900</v>
      </c>
      <c r="J5" s="754">
        <f>IFERROR(VLOOKUP($C5,'MONTHLY DUES 2025'!$C$5:$D$26,2,0),0)</f>
        <v>1200</v>
      </c>
      <c r="K5" s="752">
        <f>IFERROR(VLOOKUP($C5,'MONTHLY DUES 2026'!$C$5:$D$23,2,0),0)</f>
        <v>900</v>
      </c>
      <c r="L5" s="752"/>
      <c r="M5" s="755">
        <f>IFERROR(VLOOKUP($C5,'SPECIAL LEVY'!$C$4:$N$27,3,0),0)</f>
        <v>0</v>
      </c>
      <c r="N5" s="751">
        <f>IFERROR(VLOOKUP($C5,'SPECIAL LEVY'!$C$4:$N$27,4,0),0)</f>
        <v>0</v>
      </c>
      <c r="O5" s="751">
        <f>IFERROR(VLOOKUP($C5,'SPECIAL LEVY'!$C$4:$N$27,5,0),0)</f>
        <v>200</v>
      </c>
      <c r="P5" s="751">
        <f>IFERROR(VLOOKUP($C5,'SPECIAL LEVY'!$C$4:$N$27,6,0),0)</f>
        <v>200</v>
      </c>
      <c r="Q5" s="751">
        <f>IFERROR(VLOOKUP($C5,'SPECIAL LEVY'!$C$4:$N$27,7,0),0)</f>
        <v>200</v>
      </c>
      <c r="R5" s="751">
        <f>IFERROR(VLOOKUP($C5,'SPECIAL LEVY'!$C$4:$J$27,8,0),0)</f>
        <v>100</v>
      </c>
      <c r="S5" s="751"/>
      <c r="T5" s="756"/>
      <c r="U5" s="756"/>
      <c r="V5" s="756"/>
      <c r="W5" s="757"/>
      <c r="X5" s="758"/>
      <c r="Y5" s="759"/>
    </row>
    <row r="6" spans="2:25" ht="27" customHeight="1" thickTop="1" thickBot="1" x14ac:dyDescent="0.4">
      <c r="B6" s="709">
        <v>2</v>
      </c>
      <c r="C6" s="710" t="s">
        <v>687</v>
      </c>
      <c r="D6" s="707">
        <f t="shared" si="0"/>
        <v>1800</v>
      </c>
      <c r="E6" s="110">
        <f t="shared" ref="E6:E28" si="1">SUM(W6:Y6)</f>
        <v>0</v>
      </c>
      <c r="F6" s="109">
        <f>F5+D6-E6</f>
        <v>5700</v>
      </c>
      <c r="G6" s="751">
        <f>IFERROR(VLOOKUP($C6,'MEMBERS LIST'!$D$5:$AT$28,32,0),0)</f>
        <v>200</v>
      </c>
      <c r="H6" s="703">
        <f>IFERROR(VLOOKUP($C6,'MONTHLY DUES 2023'!$C$5:$D$23,2,0),0)</f>
        <v>0</v>
      </c>
      <c r="I6" s="715">
        <f>IFERROR(VLOOKUP($C6,'MONTHLY DUES 2024'!$C$5:$D$25,2,0),0)</f>
        <v>0</v>
      </c>
      <c r="J6" s="719">
        <f>IFERROR(VLOOKUP($C6,'MONTHLY DUES 2025'!$C$5:$D$26,2,0),0)</f>
        <v>1200</v>
      </c>
      <c r="K6" s="703">
        <f>IFERROR(VLOOKUP($C6,'MONTHLY DUES 2026'!$C$5:$D$23,2,0),0)</f>
        <v>300</v>
      </c>
      <c r="L6" s="720"/>
      <c r="M6" s="717">
        <f>IFERROR(VLOOKUP($C6,'SPECIAL LEVY'!$C$4:$N$27,3,0),0)</f>
        <v>0</v>
      </c>
      <c r="N6" s="218">
        <f>IFERROR(VLOOKUP($C6,'SPECIAL LEVY'!$C$4:$N$27,4,0),0)</f>
        <v>0</v>
      </c>
      <c r="O6" s="218">
        <f>IFERROR(VLOOKUP($C6,'SPECIAL LEVY'!$C$4:$N$27,5,0),0)</f>
        <v>0</v>
      </c>
      <c r="P6" s="218">
        <f>IFERROR(VLOOKUP($C6,'SPECIAL LEVY'!$C$4:$N$27,6,0),0)</f>
        <v>0</v>
      </c>
      <c r="Q6" s="218">
        <f>IFERROR(VLOOKUP($C6,'SPECIAL LEVY'!$C$4:$N$27,7,0),0)</f>
        <v>0</v>
      </c>
      <c r="R6" s="218">
        <f>IFERROR(VLOOKUP($C6,'SPECIAL LEVY'!$C$4:$J$27,8,0),0)</f>
        <v>100</v>
      </c>
      <c r="S6" s="218"/>
      <c r="T6" s="723"/>
      <c r="U6" s="723"/>
      <c r="V6" s="723"/>
      <c r="W6" s="725"/>
      <c r="X6" s="705"/>
      <c r="Y6" s="726"/>
    </row>
    <row r="7" spans="2:25" ht="27" customHeight="1" thickTop="1" thickBot="1" x14ac:dyDescent="0.4">
      <c r="B7" s="709">
        <v>3</v>
      </c>
      <c r="C7" s="710" t="s">
        <v>458</v>
      </c>
      <c r="D7" s="707">
        <f t="shared" si="0"/>
        <v>4600</v>
      </c>
      <c r="E7" s="110">
        <f t="shared" si="1"/>
        <v>0</v>
      </c>
      <c r="F7" s="109">
        <f t="shared" ref="F7:F64" si="2">F6+D7-E7</f>
        <v>10300</v>
      </c>
      <c r="G7" s="751">
        <f>IFERROR(VLOOKUP($C7,'MEMBERS LIST'!$D$5:$AT$28,32,0),0)</f>
        <v>200</v>
      </c>
      <c r="H7" s="703">
        <f>IFERROR(VLOOKUP($C7,'MONTHLY DUES 2023'!$C$5:$D$23,2,0),0)</f>
        <v>600</v>
      </c>
      <c r="I7" s="715">
        <f>IFERROR(VLOOKUP($C7,'MONTHLY DUES 2024'!$C$5:$D$25,2,0),0)</f>
        <v>900</v>
      </c>
      <c r="J7" s="719">
        <f>IFERROR(VLOOKUP($C7,'MONTHLY DUES 2025'!$C$5:$D$26,2,0),0)</f>
        <v>1200</v>
      </c>
      <c r="K7" s="703">
        <f>IFERROR(VLOOKUP($C7,'MONTHLY DUES 2026'!$C$5:$D$23,2,0),0)</f>
        <v>700</v>
      </c>
      <c r="L7" s="720"/>
      <c r="M7" s="717">
        <f>IFERROR(VLOOKUP($C7,'SPECIAL LEVY'!$C$4:$N$27,3,0),0)</f>
        <v>200</v>
      </c>
      <c r="N7" s="218">
        <f>IFERROR(VLOOKUP($C7,'SPECIAL LEVY'!$C$4:$N$27,4,0),0)</f>
        <v>100</v>
      </c>
      <c r="O7" s="218">
        <f>IFERROR(VLOOKUP($C7,'SPECIAL LEVY'!$C$4:$N$27,5,0),0)</f>
        <v>200</v>
      </c>
      <c r="P7" s="218">
        <f>IFERROR(VLOOKUP($C7,'SPECIAL LEVY'!$C$4:$N$27,6,0),0)</f>
        <v>200</v>
      </c>
      <c r="Q7" s="218">
        <f>IFERROR(VLOOKUP($C7,'SPECIAL LEVY'!$C$4:$N$27,7,0),0)</f>
        <v>200</v>
      </c>
      <c r="R7" s="218">
        <f>IFERROR(VLOOKUP($C7,'SPECIAL LEVY'!$C$4:$J$27,8,0),0)</f>
        <v>100</v>
      </c>
      <c r="S7" s="218"/>
      <c r="T7" s="723"/>
      <c r="U7" s="723"/>
      <c r="V7" s="723"/>
      <c r="W7" s="725"/>
      <c r="X7" s="705"/>
      <c r="Y7" s="726"/>
    </row>
    <row r="8" spans="2:25" ht="27" customHeight="1" thickTop="1" thickBot="1" x14ac:dyDescent="0.4">
      <c r="B8" s="709">
        <v>4</v>
      </c>
      <c r="C8" s="710" t="s">
        <v>211</v>
      </c>
      <c r="D8" s="707">
        <f t="shared" si="0"/>
        <v>4600</v>
      </c>
      <c r="E8" s="110">
        <f t="shared" si="1"/>
        <v>0</v>
      </c>
      <c r="F8" s="109">
        <f t="shared" si="2"/>
        <v>14900</v>
      </c>
      <c r="G8" s="751">
        <f>IFERROR(VLOOKUP($C8,'MEMBERS LIST'!$D$5:$AT$28,32,0),0)</f>
        <v>200</v>
      </c>
      <c r="H8" s="703">
        <f>IFERROR(VLOOKUP($C8,'MONTHLY DUES 2023'!$C$5:$D$23,2,0),0)</f>
        <v>600</v>
      </c>
      <c r="I8" s="715">
        <f>IFERROR(VLOOKUP($C8,'MONTHLY DUES 2024'!$C$5:$D$25,2,0),0)</f>
        <v>900</v>
      </c>
      <c r="J8" s="719">
        <f>IFERROR(VLOOKUP($C8,'MONTHLY DUES 2025'!$C$5:$D$26,2,0),0)</f>
        <v>1200</v>
      </c>
      <c r="K8" s="703">
        <f>IFERROR(VLOOKUP($C8,'MONTHLY DUES 2026'!$C$5:$D$23,2,0),0)</f>
        <v>700</v>
      </c>
      <c r="L8" s="720"/>
      <c r="M8" s="717">
        <f>IFERROR(VLOOKUP($C8,'SPECIAL LEVY'!$C$4:$N$27,3,0),0)</f>
        <v>200</v>
      </c>
      <c r="N8" s="218">
        <f>IFERROR(VLOOKUP($C8,'SPECIAL LEVY'!$C$4:$N$27,4,0),0)</f>
        <v>100</v>
      </c>
      <c r="O8" s="218">
        <f>IFERROR(VLOOKUP($C8,'SPECIAL LEVY'!$C$4:$N$27,5,0),0)</f>
        <v>200</v>
      </c>
      <c r="P8" s="218">
        <f>IFERROR(VLOOKUP($C8,'SPECIAL LEVY'!$C$4:$N$27,6,0),0)</f>
        <v>200</v>
      </c>
      <c r="Q8" s="218">
        <f>IFERROR(VLOOKUP($C8,'SPECIAL LEVY'!$C$4:$N$27,7,0),0)</f>
        <v>200</v>
      </c>
      <c r="R8" s="218">
        <f>IFERROR(VLOOKUP($C8,'SPECIAL LEVY'!$C$4:$J$27,8,0),0)</f>
        <v>100</v>
      </c>
      <c r="S8" s="218"/>
      <c r="T8" s="723"/>
      <c r="U8" s="723"/>
      <c r="V8" s="723"/>
      <c r="W8" s="725"/>
      <c r="X8" s="705"/>
      <c r="Y8" s="726"/>
    </row>
    <row r="9" spans="2:25" ht="27" customHeight="1" thickTop="1" thickBot="1" x14ac:dyDescent="0.4">
      <c r="B9" s="709">
        <v>5</v>
      </c>
      <c r="C9" s="710" t="s">
        <v>273</v>
      </c>
      <c r="D9" s="707">
        <f t="shared" si="0"/>
        <v>500</v>
      </c>
      <c r="E9" s="110">
        <f t="shared" si="1"/>
        <v>0</v>
      </c>
      <c r="F9" s="109">
        <f t="shared" si="2"/>
        <v>15400</v>
      </c>
      <c r="G9" s="751">
        <f>IFERROR(VLOOKUP($C9,'MEMBERS LIST'!$D$5:$AT$28,32,0),0)</f>
        <v>200</v>
      </c>
      <c r="H9" s="703">
        <f>IFERROR(VLOOKUP($C9,'MONTHLY DUES 2023'!$C$5:$D$23,2,0),0)</f>
        <v>0</v>
      </c>
      <c r="I9" s="715">
        <f>IFERROR(VLOOKUP($C9,'MONTHLY DUES 2024'!$C$5:$D$25,2,0),0)</f>
        <v>0</v>
      </c>
      <c r="J9" s="719">
        <f>IFERROR(VLOOKUP($C9,'MONTHLY DUES 2025'!$C$5:$D$26,2,0),0)</f>
        <v>200</v>
      </c>
      <c r="K9" s="703">
        <f>IFERROR(VLOOKUP($C9,'MONTHLY DUES 2026'!$C$5:$D$23,2,0),0)</f>
        <v>0</v>
      </c>
      <c r="L9" s="720"/>
      <c r="M9" s="717">
        <f>IFERROR(VLOOKUP($C9,'SPECIAL LEVY'!$C$4:$N$27,3,0),0)</f>
        <v>0</v>
      </c>
      <c r="N9" s="218">
        <f>IFERROR(VLOOKUP($C9,'SPECIAL LEVY'!$C$4:$N$27,4,0),0)</f>
        <v>0</v>
      </c>
      <c r="O9" s="218">
        <f>IFERROR(VLOOKUP($C9,'SPECIAL LEVY'!$C$4:$N$27,5,0),0)</f>
        <v>0</v>
      </c>
      <c r="P9" s="218">
        <f>IFERROR(VLOOKUP($C9,'SPECIAL LEVY'!$C$4:$N$27,6,0),0)</f>
        <v>0</v>
      </c>
      <c r="Q9" s="218">
        <f>IFERROR(VLOOKUP($C9,'SPECIAL LEVY'!$C$4:$N$27,7,0),0)</f>
        <v>0</v>
      </c>
      <c r="R9" s="218">
        <f>IFERROR(VLOOKUP($C9,'SPECIAL LEVY'!$C$4:$J$27,8,0),0)</f>
        <v>100</v>
      </c>
      <c r="S9" s="218"/>
      <c r="T9" s="723"/>
      <c r="U9" s="723"/>
      <c r="V9" s="723"/>
      <c r="W9" s="725"/>
      <c r="X9" s="705"/>
      <c r="Y9" s="726"/>
    </row>
    <row r="10" spans="2:25" ht="27" customHeight="1" thickTop="1" thickBot="1" x14ac:dyDescent="0.4">
      <c r="B10" s="709">
        <v>6</v>
      </c>
      <c r="C10" s="710" t="s">
        <v>186</v>
      </c>
      <c r="D10" s="707">
        <f t="shared" si="0"/>
        <v>4900</v>
      </c>
      <c r="E10" s="110">
        <f t="shared" si="1"/>
        <v>0</v>
      </c>
      <c r="F10" s="109">
        <f t="shared" si="2"/>
        <v>20300</v>
      </c>
      <c r="G10" s="751">
        <f>IFERROR(VLOOKUP($C10,'MEMBERS LIST'!$D$5:$AT$28,32,0),0)</f>
        <v>200</v>
      </c>
      <c r="H10" s="703">
        <f>IFERROR(VLOOKUP($C10,'MONTHLY DUES 2023'!$C$5:$D$23,2,0),0)</f>
        <v>600</v>
      </c>
      <c r="I10" s="715">
        <f>IFERROR(VLOOKUP($C10,'MONTHLY DUES 2024'!$C$5:$D$25,2,0),0)</f>
        <v>900</v>
      </c>
      <c r="J10" s="719">
        <f>IFERROR(VLOOKUP($C10,'MONTHLY DUES 2025'!$C$5:$D$26,2,0),0)</f>
        <v>1200</v>
      </c>
      <c r="K10" s="703">
        <f>IFERROR(VLOOKUP($C10,'MONTHLY DUES 2026'!$C$5:$D$23,2,0),0)</f>
        <v>1200</v>
      </c>
      <c r="L10" s="720"/>
      <c r="M10" s="717">
        <f>IFERROR(VLOOKUP($C10,'SPECIAL LEVY'!$C$4:$N$27,3,0),0)</f>
        <v>0</v>
      </c>
      <c r="N10" s="218">
        <f>IFERROR(VLOOKUP($C10,'SPECIAL LEVY'!$C$4:$N$27,4,0),0)</f>
        <v>100</v>
      </c>
      <c r="O10" s="218">
        <f>IFERROR(VLOOKUP($C10,'SPECIAL LEVY'!$C$4:$N$27,5,0),0)</f>
        <v>200</v>
      </c>
      <c r="P10" s="218">
        <f>IFERROR(VLOOKUP($C10,'SPECIAL LEVY'!$C$4:$N$27,6,0),0)</f>
        <v>200</v>
      </c>
      <c r="Q10" s="218">
        <f>IFERROR(VLOOKUP($C10,'SPECIAL LEVY'!$C$4:$N$27,7,0),0)</f>
        <v>200</v>
      </c>
      <c r="R10" s="218">
        <f>IFERROR(VLOOKUP($C10,'SPECIAL LEVY'!$C$4:$J$27,8,0),0)</f>
        <v>100</v>
      </c>
      <c r="S10" s="218"/>
      <c r="T10" s="723"/>
      <c r="U10" s="723"/>
      <c r="V10" s="723"/>
      <c r="W10" s="725"/>
      <c r="X10" s="705"/>
      <c r="Y10" s="726"/>
    </row>
    <row r="11" spans="2:25" ht="27" customHeight="1" thickTop="1" thickBot="1" x14ac:dyDescent="0.4">
      <c r="B11" s="709">
        <v>7</v>
      </c>
      <c r="C11" s="710" t="s">
        <v>351</v>
      </c>
      <c r="D11" s="707">
        <f t="shared" si="0"/>
        <v>3600</v>
      </c>
      <c r="E11" s="110">
        <f t="shared" si="1"/>
        <v>0</v>
      </c>
      <c r="F11" s="109">
        <f t="shared" si="2"/>
        <v>23900</v>
      </c>
      <c r="G11" s="751">
        <f>IFERROR(VLOOKUP($C11,'MEMBERS LIST'!$D$5:$AT$28,32,0),0)</f>
        <v>200</v>
      </c>
      <c r="H11" s="703">
        <f>IFERROR(VLOOKUP($C11,'MONTHLY DUES 2023'!$C$5:$D$23,2,0),0)</f>
        <v>0</v>
      </c>
      <c r="I11" s="715">
        <f>IFERROR(VLOOKUP($C11,'MONTHLY DUES 2024'!$C$5:$D$25,2,0),0)</f>
        <v>900</v>
      </c>
      <c r="J11" s="719">
        <f>IFERROR(VLOOKUP($C11,'MONTHLY DUES 2025'!$C$5:$D$26,2,0),0)</f>
        <v>1200</v>
      </c>
      <c r="K11" s="703">
        <f>IFERROR(VLOOKUP($C11,'MONTHLY DUES 2026'!$C$5:$D$23,2,0),0)</f>
        <v>1200</v>
      </c>
      <c r="L11" s="720"/>
      <c r="M11" s="717">
        <f>IFERROR(VLOOKUP($C11,'SPECIAL LEVY'!$C$4:$N$27,3,0),0)</f>
        <v>0</v>
      </c>
      <c r="N11" s="218">
        <f>IFERROR(VLOOKUP($C11,'SPECIAL LEVY'!$C$4:$N$27,4,0),0)</f>
        <v>0</v>
      </c>
      <c r="O11" s="218">
        <f>IFERROR(VLOOKUP($C11,'SPECIAL LEVY'!$C$4:$N$27,5,0),0)</f>
        <v>0</v>
      </c>
      <c r="P11" s="218">
        <f>IFERROR(VLOOKUP($C11,'SPECIAL LEVY'!$C$4:$N$27,6,0),0)</f>
        <v>0</v>
      </c>
      <c r="Q11" s="218">
        <f>IFERROR(VLOOKUP($C11,'SPECIAL LEVY'!$C$4:$N$27,7,0),0)</f>
        <v>0</v>
      </c>
      <c r="R11" s="218">
        <f>IFERROR(VLOOKUP($C11,'SPECIAL LEVY'!$C$4:$J$27,8,0),0)</f>
        <v>100</v>
      </c>
      <c r="S11" s="218"/>
      <c r="T11" s="723"/>
      <c r="U11" s="723"/>
      <c r="V11" s="723"/>
      <c r="W11" s="725"/>
      <c r="X11" s="705"/>
      <c r="Y11" s="726"/>
    </row>
    <row r="12" spans="2:25" ht="27" customHeight="1" thickTop="1" thickBot="1" x14ac:dyDescent="0.4">
      <c r="B12" s="709">
        <v>8</v>
      </c>
      <c r="C12" s="710" t="s">
        <v>1136</v>
      </c>
      <c r="D12" s="707">
        <f t="shared" si="0"/>
        <v>1100</v>
      </c>
      <c r="E12" s="110">
        <f t="shared" ref="E12:E13" si="3">SUM(W12:Y12)</f>
        <v>0</v>
      </c>
      <c r="F12" s="109">
        <f t="shared" si="2"/>
        <v>25000</v>
      </c>
      <c r="G12" s="751">
        <f>IFERROR(VLOOKUP($C12,'MEMBERS LIST'!$D$5:$AT$28,32,0),0)</f>
        <v>200</v>
      </c>
      <c r="H12" s="703">
        <f>IFERROR(VLOOKUP($C12,'MONTHLY DUES 2023'!$C$5:$D$23,2,0),0)</f>
        <v>0</v>
      </c>
      <c r="I12" s="715">
        <f>IFERROR(VLOOKUP($C12,'MONTHLY DUES 2024'!$C$5:$D$25,2,0),0)</f>
        <v>0</v>
      </c>
      <c r="J12" s="719">
        <f>IFERROR(VLOOKUP($C12,'MONTHLY DUES 2025'!$C$5:$D$26,2,0),0)</f>
        <v>0</v>
      </c>
      <c r="K12" s="703">
        <f>IFERROR(VLOOKUP($C12,'MONTHLY DUES 2026'!$C$5:$D$23,2,0),0)</f>
        <v>900</v>
      </c>
      <c r="L12" s="720"/>
      <c r="M12" s="717">
        <f>IFERROR(VLOOKUP($C12,'SPECIAL LEVY'!$C$4:$N$27,3,0),0)</f>
        <v>0</v>
      </c>
      <c r="N12" s="218">
        <f>IFERROR(VLOOKUP($C12,'SPECIAL LEVY'!$C$4:$N$27,4,0),0)</f>
        <v>0</v>
      </c>
      <c r="O12" s="218">
        <f>IFERROR(VLOOKUP($C12,'SPECIAL LEVY'!$C$4:$N$27,5,0),0)</f>
        <v>0</v>
      </c>
      <c r="P12" s="218">
        <f>IFERROR(VLOOKUP($C12,'SPECIAL LEVY'!$C$4:$N$27,6,0),0)</f>
        <v>0</v>
      </c>
      <c r="Q12" s="218">
        <f>IFERROR(VLOOKUP($C12,'SPECIAL LEVY'!$C$4:$N$27,7,0),0)</f>
        <v>0</v>
      </c>
      <c r="R12" s="218">
        <f>IFERROR(VLOOKUP($C12,'SPECIAL LEVY'!$C$4:$J$27,8,0),0)</f>
        <v>0</v>
      </c>
      <c r="S12" s="218"/>
      <c r="T12" s="723"/>
      <c r="U12" s="723"/>
      <c r="V12" s="723"/>
      <c r="W12" s="725"/>
      <c r="X12" s="705"/>
      <c r="Y12" s="726"/>
    </row>
    <row r="13" spans="2:25" ht="27" customHeight="1" thickTop="1" thickBot="1" x14ac:dyDescent="0.4">
      <c r="B13" s="709">
        <v>9</v>
      </c>
      <c r="C13" s="710" t="s">
        <v>776</v>
      </c>
      <c r="D13" s="707">
        <f t="shared" si="0"/>
        <v>650</v>
      </c>
      <c r="E13" s="110">
        <f t="shared" si="3"/>
        <v>0</v>
      </c>
      <c r="F13" s="109">
        <f t="shared" si="2"/>
        <v>25650</v>
      </c>
      <c r="G13" s="751">
        <f>IFERROR(VLOOKUP($C13,'MEMBERS LIST'!$D$5:$AT$28,32,0),0)</f>
        <v>200</v>
      </c>
      <c r="H13" s="703">
        <f>IFERROR(VLOOKUP($C13,'MONTHLY DUES 2023'!$C$5:$D$23,2,0),0)</f>
        <v>0</v>
      </c>
      <c r="I13" s="715">
        <f>IFERROR(VLOOKUP($C13,'MONTHLY DUES 2024'!$C$5:$D$25,2,0),0)</f>
        <v>0</v>
      </c>
      <c r="J13" s="719">
        <f>IFERROR(VLOOKUP($C13,'MONTHLY DUES 2025'!$C$5:$D$26,2,0),0)</f>
        <v>350</v>
      </c>
      <c r="K13" s="703">
        <f>IFERROR(VLOOKUP($C13,'MONTHLY DUES 2026'!$C$5:$D$23,2,0),0)</f>
        <v>0</v>
      </c>
      <c r="L13" s="720"/>
      <c r="M13" s="717">
        <f>IFERROR(VLOOKUP($C13,'SPECIAL LEVY'!$C$4:$N$27,3,0),0)</f>
        <v>0</v>
      </c>
      <c r="N13" s="218">
        <f>IFERROR(VLOOKUP($C13,'SPECIAL LEVY'!$C$4:$N$27,4,0),0)</f>
        <v>0</v>
      </c>
      <c r="O13" s="218">
        <f>IFERROR(VLOOKUP($C13,'SPECIAL LEVY'!$C$4:$N$27,5,0),0)</f>
        <v>0</v>
      </c>
      <c r="P13" s="218">
        <f>IFERROR(VLOOKUP($C13,'SPECIAL LEVY'!$C$4:$N$27,6,0),0)</f>
        <v>0</v>
      </c>
      <c r="Q13" s="218">
        <f>IFERROR(VLOOKUP($C13,'SPECIAL LEVY'!$C$4:$N$27,7,0),0)</f>
        <v>0</v>
      </c>
      <c r="R13" s="218">
        <f>IFERROR(VLOOKUP($C13,'SPECIAL LEVY'!$C$4:$J$27,8,0),0)</f>
        <v>100</v>
      </c>
      <c r="S13" s="218"/>
      <c r="T13" s="723"/>
      <c r="U13" s="723"/>
      <c r="V13" s="723"/>
      <c r="W13" s="725"/>
      <c r="X13" s="705"/>
      <c r="Y13" s="726"/>
    </row>
    <row r="14" spans="2:25" ht="27" customHeight="1" thickTop="1" thickBot="1" x14ac:dyDescent="0.4">
      <c r="B14" s="709">
        <v>10</v>
      </c>
      <c r="C14" s="710" t="s">
        <v>232</v>
      </c>
      <c r="D14" s="707">
        <f t="shared" si="0"/>
        <v>4400</v>
      </c>
      <c r="E14" s="110">
        <f t="shared" ref="E14" si="4">SUM(W14:Y14)</f>
        <v>0</v>
      </c>
      <c r="F14" s="109">
        <f t="shared" si="2"/>
        <v>30050</v>
      </c>
      <c r="G14" s="751">
        <f>IFERROR(VLOOKUP($C14,'MEMBERS LIST'!$D$5:$AT$28,32,0),0)</f>
        <v>200</v>
      </c>
      <c r="H14" s="703">
        <f>IFERROR(VLOOKUP($C14,'MONTHLY DUES 2023'!$C$5:$D$23,2,0),0)</f>
        <v>600</v>
      </c>
      <c r="I14" s="715">
        <f>IFERROR(VLOOKUP($C14,'MONTHLY DUES 2024'!$C$5:$D$25,2,0),0)</f>
        <v>900</v>
      </c>
      <c r="J14" s="719">
        <f>IFERROR(VLOOKUP($C14,'MONTHLY DUES 2025'!$C$5:$D$26,2,0),0)</f>
        <v>1200</v>
      </c>
      <c r="K14" s="703">
        <f>IFERROR(VLOOKUP($C14,'MONTHLY DUES 2026'!$C$5:$D$23,2,0),0)</f>
        <v>700</v>
      </c>
      <c r="L14" s="720"/>
      <c r="M14" s="717">
        <f>IFERROR(VLOOKUP($C14,'SPECIAL LEVY'!$C$4:$N$27,3,0),0)</f>
        <v>200</v>
      </c>
      <c r="N14" s="218">
        <f>IFERROR(VLOOKUP($C14,'SPECIAL LEVY'!$C$4:$N$27,4,0),0)</f>
        <v>100</v>
      </c>
      <c r="O14" s="218">
        <f>IFERROR(VLOOKUP($C14,'SPECIAL LEVY'!$C$4:$N$27,5,0),0)</f>
        <v>200</v>
      </c>
      <c r="P14" s="218">
        <f>IFERROR(VLOOKUP($C14,'SPECIAL LEVY'!$C$4:$N$27,6,0),0)</f>
        <v>0</v>
      </c>
      <c r="Q14" s="218">
        <f>IFERROR(VLOOKUP($C14,'SPECIAL LEVY'!$C$4:$N$27,7,0),0)</f>
        <v>200</v>
      </c>
      <c r="R14" s="218">
        <f>IFERROR(VLOOKUP($C14,'SPECIAL LEVY'!$C$4:$J$27,8,0),0)</f>
        <v>100</v>
      </c>
      <c r="S14" s="218"/>
      <c r="T14" s="723"/>
      <c r="U14" s="723"/>
      <c r="V14" s="723"/>
      <c r="W14" s="725"/>
      <c r="X14" s="705"/>
      <c r="Y14" s="726"/>
    </row>
    <row r="15" spans="2:25" ht="27" customHeight="1" thickTop="1" thickBot="1" x14ac:dyDescent="0.4">
      <c r="B15" s="709">
        <v>11</v>
      </c>
      <c r="C15" s="710" t="s">
        <v>410</v>
      </c>
      <c r="D15" s="707">
        <f t="shared" si="0"/>
        <v>4700</v>
      </c>
      <c r="E15" s="110">
        <f t="shared" si="1"/>
        <v>0</v>
      </c>
      <c r="F15" s="109">
        <f t="shared" si="2"/>
        <v>34750</v>
      </c>
      <c r="G15" s="751">
        <f>IFERROR(VLOOKUP($C15,'MEMBERS LIST'!$D$5:$AT$28,32,0),0)</f>
        <v>200</v>
      </c>
      <c r="H15" s="703">
        <f>IFERROR(VLOOKUP($C15,'MONTHLY DUES 2023'!$C$5:$D$23,2,0),0)</f>
        <v>600</v>
      </c>
      <c r="I15" s="715">
        <f>IFERROR(VLOOKUP($C15,'MONTHLY DUES 2024'!$C$5:$D$25,2,0),0)</f>
        <v>900</v>
      </c>
      <c r="J15" s="719">
        <f>IFERROR(VLOOKUP($C15,'MONTHLY DUES 2025'!$C$5:$D$26,2,0),0)</f>
        <v>1200</v>
      </c>
      <c r="K15" s="703">
        <f>IFERROR(VLOOKUP($C15,'MONTHLY DUES 2026'!$C$5:$D$23,2,0),0)</f>
        <v>800</v>
      </c>
      <c r="L15" s="720"/>
      <c r="M15" s="717">
        <f>IFERROR(VLOOKUP($C15,'SPECIAL LEVY'!$C$4:$N$27,3,0),0)</f>
        <v>200</v>
      </c>
      <c r="N15" s="218">
        <f>IFERROR(VLOOKUP($C15,'SPECIAL LEVY'!$C$4:$N$27,4,0),0)</f>
        <v>100</v>
      </c>
      <c r="O15" s="218">
        <f>IFERROR(VLOOKUP($C15,'SPECIAL LEVY'!$C$4:$N$27,5,0),0)</f>
        <v>200</v>
      </c>
      <c r="P15" s="218">
        <f>IFERROR(VLOOKUP($C15,'SPECIAL LEVY'!$C$4:$N$27,6,0),0)</f>
        <v>200</v>
      </c>
      <c r="Q15" s="218">
        <f>IFERROR(VLOOKUP($C15,'SPECIAL LEVY'!$C$4:$N$27,7,0),0)</f>
        <v>200</v>
      </c>
      <c r="R15" s="218">
        <f>IFERROR(VLOOKUP($C15,'SPECIAL LEVY'!$C$4:$J$27,8,0),0)</f>
        <v>100</v>
      </c>
      <c r="S15" s="218"/>
      <c r="T15" s="723"/>
      <c r="U15" s="723"/>
      <c r="V15" s="723"/>
      <c r="W15" s="725"/>
      <c r="X15" s="705"/>
      <c r="Y15" s="726"/>
    </row>
    <row r="16" spans="2:25" ht="27" customHeight="1" thickTop="1" thickBot="1" x14ac:dyDescent="0.4">
      <c r="B16" s="709">
        <v>12</v>
      </c>
      <c r="C16" s="710" t="s">
        <v>346</v>
      </c>
      <c r="D16" s="707">
        <f t="shared" si="0"/>
        <v>4800</v>
      </c>
      <c r="E16" s="110">
        <f t="shared" si="1"/>
        <v>0</v>
      </c>
      <c r="F16" s="109">
        <f t="shared" si="2"/>
        <v>39550</v>
      </c>
      <c r="G16" s="751">
        <f>IFERROR(VLOOKUP($C16,'MEMBERS LIST'!$D$5:$AT$28,32,0),0)</f>
        <v>200</v>
      </c>
      <c r="H16" s="703">
        <f>IFERROR(VLOOKUP($C16,'MONTHLY DUES 2023'!$C$5:$D$23,2,0),0)</f>
        <v>600</v>
      </c>
      <c r="I16" s="715">
        <f>IFERROR(VLOOKUP($C16,'MONTHLY DUES 2024'!$C$5:$D$25,2,0),0)</f>
        <v>900</v>
      </c>
      <c r="J16" s="719">
        <f>IFERROR(VLOOKUP($C16,'MONTHLY DUES 2025'!$C$5:$D$26,2,0),0)</f>
        <v>1200</v>
      </c>
      <c r="K16" s="703">
        <f>IFERROR(VLOOKUP($C16,'MONTHLY DUES 2026'!$C$5:$D$23,2,0),0)</f>
        <v>900</v>
      </c>
      <c r="L16" s="720"/>
      <c r="M16" s="717">
        <f>IFERROR(VLOOKUP($C16,'SPECIAL LEVY'!$C$4:$N$27,3,0),0)</f>
        <v>200</v>
      </c>
      <c r="N16" s="218">
        <f>IFERROR(VLOOKUP($C16,'SPECIAL LEVY'!$C$4:$N$27,4,0),0)</f>
        <v>100</v>
      </c>
      <c r="O16" s="218">
        <f>IFERROR(VLOOKUP($C16,'SPECIAL LEVY'!$C$4:$N$27,5,0),0)</f>
        <v>200</v>
      </c>
      <c r="P16" s="218">
        <f>IFERROR(VLOOKUP($C16,'SPECIAL LEVY'!$C$4:$N$27,6,0),0)</f>
        <v>200</v>
      </c>
      <c r="Q16" s="218">
        <f>IFERROR(VLOOKUP($C16,'SPECIAL LEVY'!$C$4:$N$27,7,0),0)</f>
        <v>200</v>
      </c>
      <c r="R16" s="218">
        <f>IFERROR(VLOOKUP($C16,'SPECIAL LEVY'!$C$4:$J$27,8,0),0)</f>
        <v>100</v>
      </c>
      <c r="S16" s="218"/>
      <c r="T16" s="723"/>
      <c r="U16" s="723"/>
      <c r="V16" s="723"/>
      <c r="W16" s="725"/>
      <c r="X16" s="705"/>
      <c r="Y16" s="726"/>
    </row>
    <row r="17" spans="2:25" ht="27" customHeight="1" thickTop="1" thickBot="1" x14ac:dyDescent="0.4">
      <c r="B17" s="709">
        <v>13</v>
      </c>
      <c r="C17" s="711" t="s">
        <v>62</v>
      </c>
      <c r="D17" s="707">
        <f t="shared" si="0"/>
        <v>6900</v>
      </c>
      <c r="E17" s="110">
        <f t="shared" si="1"/>
        <v>0</v>
      </c>
      <c r="F17" s="109">
        <f t="shared" si="2"/>
        <v>46450</v>
      </c>
      <c r="G17" s="751">
        <f>IFERROR(VLOOKUP($C17,'MEMBERS LIST'!$D$5:$AT$28,32,0),0)</f>
        <v>200</v>
      </c>
      <c r="H17" s="703">
        <f>IFERROR(VLOOKUP($C17,'MONTHLY DUES 2023'!$C$5:$D$23,2,0),0)</f>
        <v>600</v>
      </c>
      <c r="I17" s="715">
        <f>IFERROR(VLOOKUP($C17,'MONTHLY DUES 2024'!$C$5:$D$25,2,0),0)</f>
        <v>900</v>
      </c>
      <c r="J17" s="719">
        <f>IFERROR(VLOOKUP($C17,'MONTHLY DUES 2025'!$C$5:$D$26,2,0),0)</f>
        <v>1200</v>
      </c>
      <c r="K17" s="703">
        <f>IFERROR(VLOOKUP($C17,'MONTHLY DUES 2026'!$C$5:$D$23,2,0),0)</f>
        <v>1200</v>
      </c>
      <c r="L17" s="720"/>
      <c r="M17" s="717">
        <f>IFERROR(VLOOKUP($C17,'SPECIAL LEVY'!$C$4:$N$27,3,0),0)</f>
        <v>200</v>
      </c>
      <c r="N17" s="218">
        <f>IFERROR(VLOOKUP($C17,'SPECIAL LEVY'!$C$4:$N$27,4,0),0)</f>
        <v>100</v>
      </c>
      <c r="O17" s="218">
        <f>IFERROR(VLOOKUP($C17,'SPECIAL LEVY'!$C$4:$N$27,5,0),0)</f>
        <v>200</v>
      </c>
      <c r="P17" s="218">
        <f>IFERROR(VLOOKUP($C17,'SPECIAL LEVY'!$C$4:$N$27,6,0),0)</f>
        <v>200</v>
      </c>
      <c r="Q17" s="218">
        <f>IFERROR(VLOOKUP($C17,'SPECIAL LEVY'!$C$4:$N$27,7,0),0)</f>
        <v>0</v>
      </c>
      <c r="R17" s="218">
        <f>IFERROR(VLOOKUP($C17,'SPECIAL LEVY'!$C$4:$J$27,8,0),0)</f>
        <v>100</v>
      </c>
      <c r="S17" s="218"/>
      <c r="T17" s="723"/>
      <c r="U17" s="723"/>
      <c r="V17" s="723">
        <v>2000</v>
      </c>
      <c r="W17" s="725"/>
      <c r="X17" s="705"/>
      <c r="Y17" s="726"/>
    </row>
    <row r="18" spans="2:25" ht="27" customHeight="1" thickTop="1" thickBot="1" x14ac:dyDescent="0.4">
      <c r="B18" s="709">
        <v>14</v>
      </c>
      <c r="C18" s="711" t="s">
        <v>68</v>
      </c>
      <c r="D18" s="707">
        <f t="shared" si="0"/>
        <v>2200</v>
      </c>
      <c r="E18" s="110">
        <f t="shared" si="1"/>
        <v>0</v>
      </c>
      <c r="F18" s="109">
        <f t="shared" si="2"/>
        <v>48650</v>
      </c>
      <c r="G18" s="751">
        <f>IFERROR(VLOOKUP($C18,'MEMBERS LIST'!$D$5:$AT$28,32,0),0)</f>
        <v>200</v>
      </c>
      <c r="H18" s="703">
        <f>IFERROR(VLOOKUP($C18,'MONTHLY DUES 2023'!$C$5:$D$23,2,0),0)</f>
        <v>600</v>
      </c>
      <c r="I18" s="715">
        <f>IFERROR(VLOOKUP($C18,'MONTHLY DUES 2024'!$C$5:$D$25,2,0),0)</f>
        <v>400</v>
      </c>
      <c r="J18" s="719">
        <f>IFERROR(VLOOKUP($C18,'MONTHLY DUES 2025'!$C$5:$D$26,2,0),0)</f>
        <v>0</v>
      </c>
      <c r="K18" s="703">
        <f>IFERROR(VLOOKUP($C18,'MONTHLY DUES 2026'!$C$5:$D$23,2,0),0)</f>
        <v>0</v>
      </c>
      <c r="L18" s="720"/>
      <c r="M18" s="717">
        <f>IFERROR(VLOOKUP($C18,'SPECIAL LEVY'!$C$4:$N$27,3,0),0)</f>
        <v>200</v>
      </c>
      <c r="N18" s="218">
        <f>IFERROR(VLOOKUP($C18,'SPECIAL LEVY'!$C$4:$N$27,4,0),0)</f>
        <v>100</v>
      </c>
      <c r="O18" s="218">
        <f>IFERROR(VLOOKUP($C18,'SPECIAL LEVY'!$C$4:$N$27,5,0),0)</f>
        <v>200</v>
      </c>
      <c r="P18" s="218">
        <f>IFERROR(VLOOKUP($C18,'SPECIAL LEVY'!$C$4:$N$27,6,0),0)</f>
        <v>200</v>
      </c>
      <c r="Q18" s="218">
        <f>IFERROR(VLOOKUP($C18,'SPECIAL LEVY'!$C$4:$N$27,7,0),0)</f>
        <v>200</v>
      </c>
      <c r="R18" s="218">
        <f>IFERROR(VLOOKUP($C18,'SPECIAL LEVY'!$C$4:$J$27,8,0),0)</f>
        <v>100</v>
      </c>
      <c r="S18" s="218"/>
      <c r="T18" s="723"/>
      <c r="U18" s="723"/>
      <c r="V18" s="723"/>
      <c r="W18" s="725"/>
      <c r="X18" s="705"/>
      <c r="Y18" s="726"/>
    </row>
    <row r="19" spans="2:25" ht="27" customHeight="1" thickTop="1" thickBot="1" x14ac:dyDescent="0.4">
      <c r="B19" s="709">
        <v>15</v>
      </c>
      <c r="C19" s="711" t="s">
        <v>158</v>
      </c>
      <c r="D19" s="707">
        <f t="shared" si="0"/>
        <v>4200</v>
      </c>
      <c r="E19" s="110">
        <f t="shared" si="1"/>
        <v>0</v>
      </c>
      <c r="F19" s="109">
        <f t="shared" si="2"/>
        <v>52850</v>
      </c>
      <c r="G19" s="751">
        <f>IFERROR(VLOOKUP($C19,'MEMBERS LIST'!$D$5:$AT$28,32,0),0)</f>
        <v>200</v>
      </c>
      <c r="H19" s="703">
        <f>IFERROR(VLOOKUP($C19,'MONTHLY DUES 2023'!$C$5:$D$23,2,0),0)</f>
        <v>600</v>
      </c>
      <c r="I19" s="715">
        <f>IFERROR(VLOOKUP($C19,'MONTHLY DUES 2024'!$C$5:$D$25,2,0),0)</f>
        <v>900</v>
      </c>
      <c r="J19" s="719">
        <f>IFERROR(VLOOKUP($C19,'MONTHLY DUES 2025'!$C$5:$D$26,2,0),0)</f>
        <v>1200</v>
      </c>
      <c r="K19" s="703">
        <f>IFERROR(VLOOKUP($C19,'MONTHLY DUES 2026'!$C$5:$D$23,2,0),0)</f>
        <v>300</v>
      </c>
      <c r="L19" s="720"/>
      <c r="M19" s="717">
        <f>IFERROR(VLOOKUP($C19,'SPECIAL LEVY'!$C$4:$N$27,3,0),0)</f>
        <v>200</v>
      </c>
      <c r="N19" s="218">
        <f>IFERROR(VLOOKUP($C19,'SPECIAL LEVY'!$C$4:$N$27,4,0),0)</f>
        <v>100</v>
      </c>
      <c r="O19" s="218">
        <f>IFERROR(VLOOKUP($C19,'SPECIAL LEVY'!$C$4:$N$27,5,0),0)</f>
        <v>200</v>
      </c>
      <c r="P19" s="218">
        <f>IFERROR(VLOOKUP($C19,'SPECIAL LEVY'!$C$4:$N$27,6,0),0)</f>
        <v>200</v>
      </c>
      <c r="Q19" s="218">
        <f>IFERROR(VLOOKUP($C19,'SPECIAL LEVY'!$C$4:$N$27,7,0),0)</f>
        <v>200</v>
      </c>
      <c r="R19" s="218">
        <f>IFERROR(VLOOKUP($C19,'SPECIAL LEVY'!$C$4:$J$27,8,0),0)</f>
        <v>100</v>
      </c>
      <c r="S19" s="218"/>
      <c r="T19" s="723"/>
      <c r="U19" s="723"/>
      <c r="V19" s="723"/>
      <c r="W19" s="725"/>
      <c r="X19" s="705"/>
      <c r="Y19" s="726"/>
    </row>
    <row r="20" spans="2:25" ht="27" customHeight="1" thickTop="1" thickBot="1" x14ac:dyDescent="0.4">
      <c r="B20" s="709">
        <v>16</v>
      </c>
      <c r="C20" s="710" t="s">
        <v>212</v>
      </c>
      <c r="D20" s="707">
        <f t="shared" si="0"/>
        <v>4200</v>
      </c>
      <c r="E20" s="110">
        <f t="shared" si="1"/>
        <v>0</v>
      </c>
      <c r="F20" s="109">
        <f t="shared" si="2"/>
        <v>57050</v>
      </c>
      <c r="G20" s="751">
        <f>IFERROR(VLOOKUP($C20,'MEMBERS LIST'!$D$5:$AT$28,32,0),0)</f>
        <v>200</v>
      </c>
      <c r="H20" s="703">
        <f>IFERROR(VLOOKUP($C20,'MONTHLY DUES 2023'!$C$5:$D$23,2,0),0)</f>
        <v>600</v>
      </c>
      <c r="I20" s="715">
        <f>IFERROR(VLOOKUP($C20,'MONTHLY DUES 2024'!$C$5:$D$25,2,0),0)</f>
        <v>900</v>
      </c>
      <c r="J20" s="719">
        <f>IFERROR(VLOOKUP($C20,'MONTHLY DUES 2025'!$C$5:$D$26,2,0),0)</f>
        <v>1200</v>
      </c>
      <c r="K20" s="703">
        <f>IFERROR(VLOOKUP($C20,'MONTHLY DUES 2026'!$C$5:$D$23,2,0),0)</f>
        <v>300</v>
      </c>
      <c r="L20" s="720"/>
      <c r="M20" s="717">
        <f>IFERROR(VLOOKUP($C20,'SPECIAL LEVY'!$C$4:$N$27,3,0),0)</f>
        <v>200</v>
      </c>
      <c r="N20" s="218">
        <f>IFERROR(VLOOKUP($C20,'SPECIAL LEVY'!$C$4:$N$27,4,0),0)</f>
        <v>100</v>
      </c>
      <c r="O20" s="218">
        <f>IFERROR(VLOOKUP($C20,'SPECIAL LEVY'!$C$4:$N$27,5,0),0)</f>
        <v>200</v>
      </c>
      <c r="P20" s="218">
        <f>IFERROR(VLOOKUP($C20,'SPECIAL LEVY'!$C$4:$N$27,6,0),0)</f>
        <v>200</v>
      </c>
      <c r="Q20" s="218">
        <f>IFERROR(VLOOKUP($C20,'SPECIAL LEVY'!$C$4:$N$27,7,0),0)</f>
        <v>200</v>
      </c>
      <c r="R20" s="218">
        <f>IFERROR(VLOOKUP($C20,'SPECIAL LEVY'!$C$4:$J$27,8,0),0)</f>
        <v>100</v>
      </c>
      <c r="S20" s="218"/>
      <c r="T20" s="723"/>
      <c r="U20" s="723"/>
      <c r="V20" s="723"/>
      <c r="W20" s="725"/>
      <c r="X20" s="705"/>
      <c r="Y20" s="726"/>
    </row>
    <row r="21" spans="2:25" ht="27" customHeight="1" thickTop="1" thickBot="1" x14ac:dyDescent="0.4">
      <c r="B21" s="709">
        <v>17</v>
      </c>
      <c r="C21" s="711" t="s">
        <v>75</v>
      </c>
      <c r="D21" s="707">
        <f t="shared" si="0"/>
        <v>4900</v>
      </c>
      <c r="E21" s="110">
        <f t="shared" si="1"/>
        <v>0</v>
      </c>
      <c r="F21" s="109">
        <f t="shared" si="2"/>
        <v>61950</v>
      </c>
      <c r="G21" s="751">
        <f>IFERROR(VLOOKUP($C21,'MEMBERS LIST'!$D$5:$AT$28,32,0),0)</f>
        <v>200</v>
      </c>
      <c r="H21" s="703">
        <f>IFERROR(VLOOKUP($C21,'MONTHLY DUES 2023'!$C$5:$D$23,2,0),0)</f>
        <v>600</v>
      </c>
      <c r="I21" s="715">
        <f>IFERROR(VLOOKUP($C21,'MONTHLY DUES 2024'!$C$5:$D$25,2,0),0)</f>
        <v>900</v>
      </c>
      <c r="J21" s="719">
        <f>IFERROR(VLOOKUP($C21,'MONTHLY DUES 2025'!$C$5:$D$26,2,0),0)</f>
        <v>1200</v>
      </c>
      <c r="K21" s="703">
        <f>IFERROR(VLOOKUP($C21,'MONTHLY DUES 2026'!$C$5:$D$23,2,0),0)</f>
        <v>1000</v>
      </c>
      <c r="L21" s="720"/>
      <c r="M21" s="717">
        <f>IFERROR(VLOOKUP($C21,'SPECIAL LEVY'!$C$4:$N$27,3,0),0)</f>
        <v>200</v>
      </c>
      <c r="N21" s="218">
        <f>IFERROR(VLOOKUP($C21,'SPECIAL LEVY'!$C$4:$N$27,4,0),0)</f>
        <v>100</v>
      </c>
      <c r="O21" s="218">
        <f>IFERROR(VLOOKUP($C21,'SPECIAL LEVY'!$C$4:$N$27,5,0),0)</f>
        <v>200</v>
      </c>
      <c r="P21" s="218">
        <f>IFERROR(VLOOKUP($C21,'SPECIAL LEVY'!$C$4:$N$27,6,0),0)</f>
        <v>200</v>
      </c>
      <c r="Q21" s="218">
        <f>IFERROR(VLOOKUP($C21,'SPECIAL LEVY'!$C$4:$N$27,7,0),0)</f>
        <v>200</v>
      </c>
      <c r="R21" s="218">
        <f>IFERROR(VLOOKUP($C21,'SPECIAL LEVY'!$C$4:$J$27,8,0),0)</f>
        <v>100</v>
      </c>
      <c r="S21" s="218"/>
      <c r="T21" s="723"/>
      <c r="U21" s="723"/>
      <c r="V21" s="723"/>
      <c r="W21" s="725"/>
      <c r="X21" s="705"/>
      <c r="Y21" s="726"/>
    </row>
    <row r="22" spans="2:25" ht="27" customHeight="1" thickTop="1" thickBot="1" x14ac:dyDescent="0.4">
      <c r="B22" s="709">
        <v>18</v>
      </c>
      <c r="C22" s="710" t="s">
        <v>134</v>
      </c>
      <c r="D22" s="707">
        <f t="shared" si="0"/>
        <v>5100</v>
      </c>
      <c r="E22" s="110">
        <f t="shared" si="1"/>
        <v>0</v>
      </c>
      <c r="F22" s="109">
        <f t="shared" si="2"/>
        <v>67050</v>
      </c>
      <c r="G22" s="751">
        <f>IFERROR(VLOOKUP($C22,'MEMBERS LIST'!$D$5:$AT$28,32,0),0)</f>
        <v>200</v>
      </c>
      <c r="H22" s="703">
        <f>IFERROR(VLOOKUP($C22,'MONTHLY DUES 2023'!$C$5:$D$23,2,0),0)</f>
        <v>600</v>
      </c>
      <c r="I22" s="715">
        <f>IFERROR(VLOOKUP($C22,'MONTHLY DUES 2024'!$C$5:$D$25,2,0),0)</f>
        <v>900</v>
      </c>
      <c r="J22" s="719">
        <f>IFERROR(VLOOKUP($C22,'MONTHLY DUES 2025'!$C$5:$D$26,2,0),0)</f>
        <v>1200</v>
      </c>
      <c r="K22" s="703">
        <f>IFERROR(VLOOKUP($C22,'MONTHLY DUES 2026'!$C$5:$D$23,2,0),0)</f>
        <v>1200</v>
      </c>
      <c r="L22" s="720"/>
      <c r="M22" s="717">
        <f>IFERROR(VLOOKUP($C22,'SPECIAL LEVY'!$C$4:$N$27,3,0),0)</f>
        <v>200</v>
      </c>
      <c r="N22" s="218">
        <f>IFERROR(VLOOKUP($C22,'SPECIAL LEVY'!$C$4:$N$27,4,0),0)</f>
        <v>100</v>
      </c>
      <c r="O22" s="218">
        <f>IFERROR(VLOOKUP($C22,'SPECIAL LEVY'!$C$4:$N$27,5,0),0)</f>
        <v>200</v>
      </c>
      <c r="P22" s="218">
        <f>IFERROR(VLOOKUP($C22,'SPECIAL LEVY'!$C$4:$N$27,6,0),0)</f>
        <v>200</v>
      </c>
      <c r="Q22" s="218">
        <f>IFERROR(VLOOKUP($C22,'SPECIAL LEVY'!$C$4:$N$27,7,0),0)</f>
        <v>200</v>
      </c>
      <c r="R22" s="218">
        <f>IFERROR(VLOOKUP($C22,'SPECIAL LEVY'!$C$4:$J$27,8,0),0)</f>
        <v>100</v>
      </c>
      <c r="S22" s="218"/>
      <c r="T22" s="723"/>
      <c r="U22" s="723"/>
      <c r="V22" s="723"/>
      <c r="W22" s="725"/>
      <c r="X22" s="705"/>
      <c r="Y22" s="726"/>
    </row>
    <row r="23" spans="2:25" ht="27" customHeight="1" thickTop="1" thickBot="1" x14ac:dyDescent="0.4">
      <c r="B23" s="709">
        <v>19</v>
      </c>
      <c r="C23" s="711" t="s">
        <v>524</v>
      </c>
      <c r="D23" s="707">
        <f t="shared" si="0"/>
        <v>6700</v>
      </c>
      <c r="E23" s="110">
        <f t="shared" si="1"/>
        <v>0</v>
      </c>
      <c r="F23" s="109">
        <f t="shared" si="2"/>
        <v>73750</v>
      </c>
      <c r="G23" s="751">
        <f>IFERROR(VLOOKUP($C23,'MEMBERS LIST'!$D$5:$AT$28,32,0),0)</f>
        <v>200</v>
      </c>
      <c r="H23" s="703">
        <f>IFERROR(VLOOKUP($C23,'MONTHLY DUES 2023'!$C$5:$D$23,2,0),0)</f>
        <v>600</v>
      </c>
      <c r="I23" s="715">
        <f>IFERROR(VLOOKUP($C23,'MONTHLY DUES 2024'!$C$5:$D$25,2,0),0)</f>
        <v>900</v>
      </c>
      <c r="J23" s="719">
        <f>IFERROR(VLOOKUP($C23,'MONTHLY DUES 2025'!$C$5:$D$26,2,0),0)</f>
        <v>1200</v>
      </c>
      <c r="K23" s="703">
        <f>IFERROR(VLOOKUP($C23,'MONTHLY DUES 2026'!$C$5:$D$23,2,0),0)</f>
        <v>800</v>
      </c>
      <c r="L23" s="720"/>
      <c r="M23" s="717">
        <f>IFERROR(VLOOKUP($C23,'SPECIAL LEVY'!$C$4:$N$27,3,0),0)</f>
        <v>200</v>
      </c>
      <c r="N23" s="218">
        <f>IFERROR(VLOOKUP($C23,'SPECIAL LEVY'!$C$4:$N$27,4,0),0)</f>
        <v>100</v>
      </c>
      <c r="O23" s="218">
        <f>IFERROR(VLOOKUP($C23,'SPECIAL LEVY'!$C$4:$N$27,5,0),0)</f>
        <v>200</v>
      </c>
      <c r="P23" s="218">
        <f>IFERROR(VLOOKUP($C23,'SPECIAL LEVY'!$C$4:$N$27,6,0),0)</f>
        <v>200</v>
      </c>
      <c r="Q23" s="218">
        <f>IFERROR(VLOOKUP($C23,'SPECIAL LEVY'!$C$4:$N$27,7,0),0)</f>
        <v>200</v>
      </c>
      <c r="R23" s="218">
        <f>IFERROR(VLOOKUP($C23,'SPECIAL LEVY'!$C$4:$J$27,8,0),0)</f>
        <v>100</v>
      </c>
      <c r="S23" s="218"/>
      <c r="T23" s="723"/>
      <c r="U23" s="723"/>
      <c r="V23" s="723">
        <v>2000</v>
      </c>
      <c r="W23" s="725"/>
      <c r="X23" s="705"/>
      <c r="Y23" s="726"/>
    </row>
    <row r="24" spans="2:25" ht="27" customHeight="1" thickTop="1" thickBot="1" x14ac:dyDescent="0.4">
      <c r="B24" s="709">
        <v>20</v>
      </c>
      <c r="C24" s="711" t="s">
        <v>76</v>
      </c>
      <c r="D24" s="707">
        <f t="shared" si="0"/>
        <v>2100</v>
      </c>
      <c r="E24" s="110">
        <f t="shared" si="1"/>
        <v>0</v>
      </c>
      <c r="F24" s="109">
        <f t="shared" si="2"/>
        <v>75850</v>
      </c>
      <c r="G24" s="751">
        <f>IFERROR(VLOOKUP($C24,'MEMBERS LIST'!$D$5:$AT$28,32,0),0)</f>
        <v>200</v>
      </c>
      <c r="H24" s="703">
        <f>IFERROR(VLOOKUP($C24,'MONTHLY DUES 2023'!$C$5:$D$23,2,0),0)</f>
        <v>600</v>
      </c>
      <c r="I24" s="715">
        <f>IFERROR(VLOOKUP($C24,'MONTHLY DUES 2024'!$C$5:$D$25,2,0),0)</f>
        <v>300</v>
      </c>
      <c r="J24" s="719">
        <f>IFERROR(VLOOKUP($C24,'MONTHLY DUES 2025'!$C$5:$D$26,2,0),0)</f>
        <v>0</v>
      </c>
      <c r="K24" s="703">
        <f>IFERROR(VLOOKUP($C24,'MONTHLY DUES 2026'!$C$5:$D$23,2,0),0)</f>
        <v>0</v>
      </c>
      <c r="L24" s="720"/>
      <c r="M24" s="717">
        <f>IFERROR(VLOOKUP($C24,'SPECIAL LEVY'!$C$4:$N$27,3,0),0)</f>
        <v>200</v>
      </c>
      <c r="N24" s="218">
        <f>IFERROR(VLOOKUP($C24,'SPECIAL LEVY'!$C$4:$N$27,4,0),0)</f>
        <v>100</v>
      </c>
      <c r="O24" s="218">
        <f>IFERROR(VLOOKUP($C24,'SPECIAL LEVY'!$C$4:$N$27,5,0),0)</f>
        <v>200</v>
      </c>
      <c r="P24" s="218">
        <f>IFERROR(VLOOKUP($C24,'SPECIAL LEVY'!$C$4:$N$27,6,0),0)</f>
        <v>200</v>
      </c>
      <c r="Q24" s="218">
        <f>IFERROR(VLOOKUP($C24,'SPECIAL LEVY'!$C$4:$N$27,7,0),0)</f>
        <v>200</v>
      </c>
      <c r="R24" s="218">
        <f>IFERROR(VLOOKUP($C24,'SPECIAL LEVY'!$C$4:$J$27,8,0),0)</f>
        <v>100</v>
      </c>
      <c r="S24" s="218"/>
      <c r="T24" s="723"/>
      <c r="U24" s="723"/>
      <c r="V24" s="723"/>
      <c r="W24" s="725"/>
      <c r="X24" s="705"/>
      <c r="Y24" s="726"/>
    </row>
    <row r="25" spans="2:25" ht="27" customHeight="1" thickTop="1" thickBot="1" x14ac:dyDescent="0.4">
      <c r="B25" s="709">
        <v>21</v>
      </c>
      <c r="C25" s="711" t="s">
        <v>66</v>
      </c>
      <c r="D25" s="707">
        <f t="shared" si="0"/>
        <v>4400</v>
      </c>
      <c r="E25" s="110">
        <f t="shared" si="1"/>
        <v>0</v>
      </c>
      <c r="F25" s="109">
        <f t="shared" si="2"/>
        <v>80250</v>
      </c>
      <c r="G25" s="751">
        <f>IFERROR(VLOOKUP($C25,'MEMBERS LIST'!$D$5:$AT$28,32,0),0)</f>
        <v>200</v>
      </c>
      <c r="H25" s="703">
        <f>IFERROR(VLOOKUP($C25,'MONTHLY DUES 2023'!$C$5:$D$23,2,0),0)</f>
        <v>600</v>
      </c>
      <c r="I25" s="715">
        <f>IFERROR(VLOOKUP($C25,'MONTHLY DUES 2024'!$C$5:$D$25,2,0),0)</f>
        <v>900</v>
      </c>
      <c r="J25" s="719">
        <f>IFERROR(VLOOKUP($C25,'MONTHLY DUES 2025'!$C$5:$D$26,2,0),0)</f>
        <v>1200</v>
      </c>
      <c r="K25" s="703">
        <f>IFERROR(VLOOKUP($C25,'MONTHLY DUES 2026'!$C$5:$D$23,2,0),0)</f>
        <v>600</v>
      </c>
      <c r="L25" s="720"/>
      <c r="M25" s="717">
        <f>IFERROR(VLOOKUP($C25,'SPECIAL LEVY'!$C$4:$N$27,3,0),0)</f>
        <v>200</v>
      </c>
      <c r="N25" s="218">
        <f>IFERROR(VLOOKUP($C25,'SPECIAL LEVY'!$C$4:$N$27,4,0),0)</f>
        <v>100</v>
      </c>
      <c r="O25" s="218">
        <f>IFERROR(VLOOKUP($C25,'SPECIAL LEVY'!$C$4:$N$27,5,0),0)</f>
        <v>200</v>
      </c>
      <c r="P25" s="218">
        <f>IFERROR(VLOOKUP($C25,'SPECIAL LEVY'!$C$4:$N$27,6,0),0)</f>
        <v>200</v>
      </c>
      <c r="Q25" s="218">
        <f>IFERROR(VLOOKUP($C25,'SPECIAL LEVY'!$C$4:$N$27,7,0),0)</f>
        <v>200</v>
      </c>
      <c r="R25" s="218">
        <f>IFERROR(VLOOKUP($C25,'SPECIAL LEVY'!$C$4:$J$27,8,0),0)</f>
        <v>0</v>
      </c>
      <c r="S25" s="218"/>
      <c r="T25" s="723"/>
      <c r="U25" s="723"/>
      <c r="V25" s="723"/>
      <c r="W25" s="725"/>
      <c r="X25" s="705"/>
      <c r="Y25" s="726"/>
    </row>
    <row r="26" spans="2:25" ht="27" customHeight="1" thickTop="1" thickBot="1" x14ac:dyDescent="0.4">
      <c r="B26" s="709">
        <v>22</v>
      </c>
      <c r="C26" s="710" t="s">
        <v>469</v>
      </c>
      <c r="D26" s="707">
        <f t="shared" si="0"/>
        <v>2600</v>
      </c>
      <c r="E26" s="110">
        <f t="shared" si="1"/>
        <v>0</v>
      </c>
      <c r="F26" s="109">
        <f t="shared" si="2"/>
        <v>82850</v>
      </c>
      <c r="G26" s="751">
        <f>IFERROR(VLOOKUP($C26,'MEMBERS LIST'!$D$5:$AT$28,32,0),0)</f>
        <v>200</v>
      </c>
      <c r="H26" s="703">
        <f>IFERROR(VLOOKUP($C26,'MONTHLY DUES 2023'!$C$5:$D$23,2,0),0)</f>
        <v>600</v>
      </c>
      <c r="I26" s="715">
        <f>IFERROR(VLOOKUP($C26,'MONTHLY DUES 2024'!$C$5:$D$25,2,0),0)</f>
        <v>900</v>
      </c>
      <c r="J26" s="719">
        <f>IFERROR(VLOOKUP($C26,'MONTHLY DUES 2025'!$C$5:$D$26,2,0),0)</f>
        <v>200</v>
      </c>
      <c r="K26" s="703">
        <f>IFERROR(VLOOKUP($C26,'MONTHLY DUES 2026'!$C$5:$D$23,2,0),0)</f>
        <v>0</v>
      </c>
      <c r="L26" s="720"/>
      <c r="M26" s="717">
        <f>IFERROR(VLOOKUP($C26,'SPECIAL LEVY'!$C$4:$N$27,3,0),0)</f>
        <v>200</v>
      </c>
      <c r="N26" s="218">
        <f>IFERROR(VLOOKUP($C26,'SPECIAL LEVY'!$C$4:$N$27,4,0),0)</f>
        <v>0</v>
      </c>
      <c r="O26" s="218">
        <f>IFERROR(VLOOKUP($C26,'SPECIAL LEVY'!$C$4:$N$27,5,0),0)</f>
        <v>0</v>
      </c>
      <c r="P26" s="218">
        <f>IFERROR(VLOOKUP($C26,'SPECIAL LEVY'!$C$4:$N$27,6,0),0)</f>
        <v>200</v>
      </c>
      <c r="Q26" s="218">
        <f>IFERROR(VLOOKUP($C26,'SPECIAL LEVY'!$C$4:$N$27,7,0),0)</f>
        <v>200</v>
      </c>
      <c r="R26" s="218">
        <f>IFERROR(VLOOKUP($C26,'SPECIAL LEVY'!$C$4:$J$27,8,0),0)</f>
        <v>100</v>
      </c>
      <c r="S26" s="218"/>
      <c r="T26" s="723"/>
      <c r="U26" s="723"/>
      <c r="V26" s="723"/>
      <c r="W26" s="725"/>
      <c r="X26" s="705"/>
      <c r="Y26" s="726"/>
    </row>
    <row r="27" spans="2:25" ht="27" customHeight="1" thickTop="1" thickBot="1" x14ac:dyDescent="0.4">
      <c r="B27" s="709">
        <v>23</v>
      </c>
      <c r="C27" s="710" t="s">
        <v>758</v>
      </c>
      <c r="D27" s="707">
        <f t="shared" si="0"/>
        <v>4900</v>
      </c>
      <c r="E27" s="110">
        <f t="shared" si="1"/>
        <v>0</v>
      </c>
      <c r="F27" s="109">
        <f t="shared" si="2"/>
        <v>87750</v>
      </c>
      <c r="G27" s="751">
        <f>IFERROR(VLOOKUP($C27,'MEMBERS LIST'!$D$5:$AT$28,32,0),0)</f>
        <v>200</v>
      </c>
      <c r="H27" s="703">
        <f>IFERROR(VLOOKUP($C27,'MONTHLY DUES 2023'!$C$5:$D$23,2,0),0)</f>
        <v>600</v>
      </c>
      <c r="I27" s="715">
        <f>IFERROR(VLOOKUP($C27,'MONTHLY DUES 2024'!$C$5:$D$25,2,0),0)</f>
        <v>900</v>
      </c>
      <c r="J27" s="719">
        <f>IFERROR(VLOOKUP($C27,'MONTHLY DUES 2025'!$C$5:$D$26,2,0),0)</f>
        <v>1200</v>
      </c>
      <c r="K27" s="703">
        <f>IFERROR(VLOOKUP($C27,'MONTHLY DUES 2026'!$C$5:$D$23,2,0),0)</f>
        <v>1000</v>
      </c>
      <c r="L27" s="720"/>
      <c r="M27" s="717">
        <f>IFERROR(VLOOKUP($C27,'SPECIAL LEVY'!$C$4:$N$27,3,0),0)</f>
        <v>200</v>
      </c>
      <c r="N27" s="218">
        <f>IFERROR(VLOOKUP($C27,'SPECIAL LEVY'!$C$4:$N$27,4,0),0)</f>
        <v>100</v>
      </c>
      <c r="O27" s="218">
        <f>IFERROR(VLOOKUP($C27,'SPECIAL LEVY'!$C$4:$N$27,5,0),0)</f>
        <v>200</v>
      </c>
      <c r="P27" s="218">
        <f>IFERROR(VLOOKUP($C27,'SPECIAL LEVY'!$C$4:$N$27,6,0),0)</f>
        <v>200</v>
      </c>
      <c r="Q27" s="218">
        <f>IFERROR(VLOOKUP($C27,'SPECIAL LEVY'!$C$4:$N$27,7,0),0)</f>
        <v>200</v>
      </c>
      <c r="R27" s="218">
        <f>IFERROR(VLOOKUP($C27,'SPECIAL LEVY'!$C$4:$J$27,8,0),0)</f>
        <v>100</v>
      </c>
      <c r="S27" s="218"/>
      <c r="T27" s="723"/>
      <c r="U27" s="723"/>
      <c r="V27" s="723"/>
      <c r="W27" s="725"/>
      <c r="X27" s="705"/>
      <c r="Y27" s="726"/>
    </row>
    <row r="28" spans="2:25" ht="27" customHeight="1" thickTop="1" thickBot="1" x14ac:dyDescent="0.4">
      <c r="B28" s="709">
        <v>24</v>
      </c>
      <c r="C28" s="710" t="s">
        <v>213</v>
      </c>
      <c r="D28" s="707">
        <f t="shared" si="0"/>
        <v>5100</v>
      </c>
      <c r="E28" s="110">
        <f t="shared" si="1"/>
        <v>0</v>
      </c>
      <c r="F28" s="109">
        <f t="shared" si="2"/>
        <v>92850</v>
      </c>
      <c r="G28" s="751">
        <f>IFERROR(VLOOKUP($C28,'MEMBERS LIST'!$D$5:$AT$28,32,0),0)</f>
        <v>200</v>
      </c>
      <c r="H28" s="703">
        <f>IFERROR(VLOOKUP($C28,'MONTHLY DUES 2023'!$C$5:$D$23,2,0),0)</f>
        <v>600</v>
      </c>
      <c r="I28" s="715">
        <f>IFERROR(VLOOKUP($C28,'MONTHLY DUES 2024'!$C$5:$D$25,2,0),0)</f>
        <v>900</v>
      </c>
      <c r="J28" s="719">
        <f>IFERROR(VLOOKUP($C28,'MONTHLY DUES 2025'!$C$5:$D$26,2,0),0)</f>
        <v>1200</v>
      </c>
      <c r="K28" s="703">
        <f>IFERROR(VLOOKUP($C28,'MONTHLY DUES 2026'!$C$5:$D$23,2,0),0)</f>
        <v>1200</v>
      </c>
      <c r="L28" s="720"/>
      <c r="M28" s="717">
        <f>IFERROR(VLOOKUP($C28,'SPECIAL LEVY'!$C$4:$N$27,3,0),0)</f>
        <v>200</v>
      </c>
      <c r="N28" s="218">
        <f>IFERROR(VLOOKUP($C28,'SPECIAL LEVY'!$C$4:$N$27,4,0),0)</f>
        <v>100</v>
      </c>
      <c r="O28" s="218">
        <f>IFERROR(VLOOKUP($C28,'SPECIAL LEVY'!$C$4:$N$27,5,0),0)</f>
        <v>200</v>
      </c>
      <c r="P28" s="218">
        <f>IFERROR(VLOOKUP($C28,'SPECIAL LEVY'!$C$4:$N$27,6,0),0)</f>
        <v>200</v>
      </c>
      <c r="Q28" s="218">
        <f>IFERROR(VLOOKUP($C28,'SPECIAL LEVY'!$C$4:$N$27,7,0),0)</f>
        <v>200</v>
      </c>
      <c r="R28" s="218">
        <f>IFERROR(VLOOKUP($C28,'SPECIAL LEVY'!$C$4:$J$27,8,0),0)</f>
        <v>100</v>
      </c>
      <c r="S28" s="218"/>
      <c r="T28" s="723"/>
      <c r="U28" s="723"/>
      <c r="V28" s="723"/>
      <c r="W28" s="725"/>
      <c r="X28" s="705"/>
      <c r="Y28" s="726"/>
    </row>
    <row r="29" spans="2:25" ht="27" customHeight="1" thickTop="1" thickBot="1" x14ac:dyDescent="0.4">
      <c r="B29" s="709"/>
      <c r="C29" s="710" t="s">
        <v>1121</v>
      </c>
      <c r="D29" s="707">
        <f t="shared" si="0"/>
        <v>1250.5</v>
      </c>
      <c r="E29" s="110">
        <f t="shared" ref="E29:E30" si="5">SUM(W29:Y29)</f>
        <v>0</v>
      </c>
      <c r="F29" s="109">
        <f t="shared" si="2"/>
        <v>94100.5</v>
      </c>
      <c r="G29" s="751"/>
      <c r="H29" s="703"/>
      <c r="I29" s="715"/>
      <c r="J29" s="719"/>
      <c r="K29" s="703"/>
      <c r="L29" s="720"/>
      <c r="M29" s="717"/>
      <c r="N29" s="218"/>
      <c r="O29" s="218"/>
      <c r="P29" s="218"/>
      <c r="Q29" s="218"/>
      <c r="R29" s="218"/>
      <c r="S29" s="218"/>
      <c r="T29" s="723"/>
      <c r="U29" s="723">
        <f>'LEVY ACCOUNT'!F24</f>
        <v>1250.5</v>
      </c>
      <c r="V29" s="723"/>
      <c r="W29" s="725"/>
      <c r="X29" s="705"/>
      <c r="Y29" s="726"/>
    </row>
    <row r="30" spans="2:25" ht="27" customHeight="1" thickTop="1" thickBot="1" x14ac:dyDescent="0.4">
      <c r="B30" s="712">
        <v>45066</v>
      </c>
      <c r="C30" s="713" t="s">
        <v>1113</v>
      </c>
      <c r="D30" s="707">
        <f t="shared" si="0"/>
        <v>0</v>
      </c>
      <c r="E30" s="110">
        <f t="shared" si="5"/>
        <v>5813</v>
      </c>
      <c r="F30" s="109">
        <f>F29+D30-E30</f>
        <v>88287.5</v>
      </c>
      <c r="G30" s="751"/>
      <c r="H30" s="703"/>
      <c r="I30" s="715"/>
      <c r="J30" s="719"/>
      <c r="K30" s="703"/>
      <c r="L30" s="720"/>
      <c r="M30" s="717"/>
      <c r="N30" s="218"/>
      <c r="O30" s="218"/>
      <c r="P30" s="218"/>
      <c r="Q30" s="218">
        <f>IFERROR(VLOOKUP($C30,'SPECIAL LEVY'!$C$4:$N$27,7,0),0)</f>
        <v>0</v>
      </c>
      <c r="R30" s="218"/>
      <c r="S30" s="218"/>
      <c r="T30" s="723"/>
      <c r="U30" s="723"/>
      <c r="V30" s="723"/>
      <c r="W30" s="725">
        <f>'PAYMENT VOUCHERS'!E14</f>
        <v>5813</v>
      </c>
      <c r="X30" s="705"/>
      <c r="Y30" s="726"/>
    </row>
    <row r="31" spans="2:25" ht="27" customHeight="1" thickTop="1" thickBot="1" x14ac:dyDescent="0.4">
      <c r="B31" s="712">
        <v>45157</v>
      </c>
      <c r="C31" s="713" t="s">
        <v>1114</v>
      </c>
      <c r="D31" s="707"/>
      <c r="E31" s="110">
        <f>SUM(X31:Y31)</f>
        <v>3400</v>
      </c>
      <c r="F31" s="109">
        <f t="shared" si="2"/>
        <v>84887.5</v>
      </c>
      <c r="G31" s="751"/>
      <c r="H31" s="703"/>
      <c r="I31" s="715"/>
      <c r="J31" s="719"/>
      <c r="K31" s="703"/>
      <c r="L31" s="720"/>
      <c r="M31" s="717"/>
      <c r="N31" s="218"/>
      <c r="O31" s="218"/>
      <c r="P31" s="218"/>
      <c r="Q31" s="218"/>
      <c r="R31" s="218"/>
      <c r="S31" s="218"/>
      <c r="T31" s="723"/>
      <c r="U31" s="723"/>
      <c r="V31" s="723"/>
      <c r="W31" s="725"/>
      <c r="X31" s="725">
        <f>'LEVY DISBURSMENT'!D5</f>
        <v>3400</v>
      </c>
      <c r="Y31" s="726"/>
    </row>
    <row r="32" spans="2:25" ht="27" customHeight="1" thickTop="1" thickBot="1" x14ac:dyDescent="0.4">
      <c r="B32" s="712">
        <v>45158</v>
      </c>
      <c r="C32" s="713" t="s">
        <v>884</v>
      </c>
      <c r="D32" s="707">
        <f t="shared" ref="D32:D64" si="6">SUM(G32:V32)</f>
        <v>0</v>
      </c>
      <c r="E32" s="110">
        <f>SUM(X32:Y32)</f>
        <v>400</v>
      </c>
      <c r="F32" s="109">
        <f t="shared" si="2"/>
        <v>84487.5</v>
      </c>
      <c r="G32" s="751"/>
      <c r="H32" s="703"/>
      <c r="I32" s="715"/>
      <c r="J32" s="719"/>
      <c r="K32" s="703"/>
      <c r="L32" s="720"/>
      <c r="M32" s="717"/>
      <c r="N32" s="218"/>
      <c r="O32" s="218"/>
      <c r="P32" s="218"/>
      <c r="Q32" s="218">
        <f>IFERROR(VLOOKUP($C32,'SPECIAL LEVY'!$C$4:$N$27,7,0),0)</f>
        <v>0</v>
      </c>
      <c r="R32" s="218"/>
      <c r="S32" s="218"/>
      <c r="T32" s="723"/>
      <c r="U32" s="723"/>
      <c r="V32" s="723"/>
      <c r="W32" s="725"/>
      <c r="X32" s="725">
        <f>'PAYMENT VOUCHERS'!E20</f>
        <v>400</v>
      </c>
      <c r="Y32" s="726"/>
    </row>
    <row r="33" spans="2:25" ht="27" customHeight="1" thickTop="1" thickBot="1" x14ac:dyDescent="0.4">
      <c r="B33" s="712">
        <v>45205</v>
      </c>
      <c r="C33" s="713" t="s">
        <v>885</v>
      </c>
      <c r="D33" s="707">
        <f t="shared" si="6"/>
        <v>0</v>
      </c>
      <c r="E33" s="110">
        <f>SUM(W33:Y33)</f>
        <v>1734</v>
      </c>
      <c r="F33" s="109">
        <f t="shared" si="2"/>
        <v>82753.5</v>
      </c>
      <c r="G33" s="751"/>
      <c r="H33" s="703"/>
      <c r="I33" s="715"/>
      <c r="J33" s="719"/>
      <c r="K33" s="703">
        <f>IFERROR(VLOOKUP($C33,'[1]MONTHLY DUES 2026'!$C$7:$D$30,2,0),0)</f>
        <v>0</v>
      </c>
      <c r="L33" s="720"/>
      <c r="M33" s="717"/>
      <c r="N33" s="218"/>
      <c r="O33" s="218"/>
      <c r="P33" s="218"/>
      <c r="Q33" s="218">
        <f>IFERROR(VLOOKUP($C33,'SPECIAL LEVY'!$C$4:$N$27,7,0),0)</f>
        <v>0</v>
      </c>
      <c r="R33" s="218"/>
      <c r="S33" s="218"/>
      <c r="T33" s="723"/>
      <c r="U33" s="723"/>
      <c r="V33" s="723"/>
      <c r="W33" s="725">
        <f>'PAYMENT VOUCHERS'!E32</f>
        <v>1734</v>
      </c>
      <c r="X33" s="705"/>
      <c r="Y33" s="726"/>
    </row>
    <row r="34" spans="2:25" ht="27" customHeight="1" thickTop="1" thickBot="1" x14ac:dyDescent="0.4">
      <c r="B34" s="712">
        <v>45268</v>
      </c>
      <c r="C34" s="713" t="s">
        <v>1115</v>
      </c>
      <c r="D34" s="707">
        <f t="shared" si="6"/>
        <v>0</v>
      </c>
      <c r="E34" s="110">
        <f t="shared" ref="E34:E36" si="7">SUM(W34:Y34)</f>
        <v>1700</v>
      </c>
      <c r="F34" s="109">
        <f t="shared" si="2"/>
        <v>81053.5</v>
      </c>
      <c r="G34" s="751"/>
      <c r="H34" s="703"/>
      <c r="I34" s="715"/>
      <c r="J34" s="719"/>
      <c r="K34" s="703"/>
      <c r="L34" s="720"/>
      <c r="M34" s="717"/>
      <c r="N34" s="218"/>
      <c r="O34" s="218"/>
      <c r="P34" s="218"/>
      <c r="Q34" s="218"/>
      <c r="R34" s="218"/>
      <c r="S34" s="218"/>
      <c r="T34" s="723"/>
      <c r="U34" s="723"/>
      <c r="V34" s="723"/>
      <c r="W34" s="725"/>
      <c r="X34" s="705">
        <f>'LEVY DISBURSMENT'!D17</f>
        <v>1700</v>
      </c>
      <c r="Y34" s="726"/>
    </row>
    <row r="35" spans="2:25" ht="27" customHeight="1" thickTop="1" thickBot="1" x14ac:dyDescent="0.4">
      <c r="B35" s="712">
        <v>45657</v>
      </c>
      <c r="C35" s="713" t="s">
        <v>681</v>
      </c>
      <c r="D35" s="707">
        <f t="shared" si="6"/>
        <v>151.33000000000001</v>
      </c>
      <c r="E35" s="110">
        <f>SUM(W35:Y35)</f>
        <v>0</v>
      </c>
      <c r="F35" s="109">
        <f t="shared" si="2"/>
        <v>81204.83</v>
      </c>
      <c r="G35" s="751"/>
      <c r="H35" s="703"/>
      <c r="I35" s="715"/>
      <c r="J35" s="719"/>
      <c r="K35" s="703"/>
      <c r="L35" s="720"/>
      <c r="M35" s="717"/>
      <c r="N35" s="218"/>
      <c r="O35" s="218"/>
      <c r="P35" s="218"/>
      <c r="Q35" s="218">
        <f>IFERROR(VLOOKUP($C35,'SPECIAL LEVY'!$C$4:$N$27,7,0),0)</f>
        <v>0</v>
      </c>
      <c r="R35" s="218"/>
      <c r="S35" s="218">
        <v>151.33000000000001</v>
      </c>
      <c r="T35" s="723"/>
      <c r="U35" s="723"/>
      <c r="V35" s="723"/>
      <c r="W35" s="725"/>
      <c r="X35" s="705"/>
      <c r="Y35" s="726"/>
    </row>
    <row r="36" spans="2:25" ht="27" customHeight="1" thickTop="1" thickBot="1" x14ac:dyDescent="0.4">
      <c r="B36" s="712">
        <v>45349</v>
      </c>
      <c r="C36" s="713" t="s">
        <v>886</v>
      </c>
      <c r="D36" s="707">
        <f t="shared" si="6"/>
        <v>0</v>
      </c>
      <c r="E36" s="110">
        <f t="shared" si="7"/>
        <v>153</v>
      </c>
      <c r="F36" s="109">
        <f t="shared" si="2"/>
        <v>81051.83</v>
      </c>
      <c r="G36" s="751"/>
      <c r="H36" s="703"/>
      <c r="I36" s="715"/>
      <c r="J36" s="719"/>
      <c r="K36" s="703"/>
      <c r="L36" s="720"/>
      <c r="M36" s="717"/>
      <c r="N36" s="218"/>
      <c r="O36" s="218"/>
      <c r="P36" s="218"/>
      <c r="Q36" s="218">
        <f>IFERROR(VLOOKUP($C36,'SPECIAL LEVY'!$C$4:$N$27,7,0),0)</f>
        <v>0</v>
      </c>
      <c r="R36" s="218"/>
      <c r="S36" s="218"/>
      <c r="T36" s="723"/>
      <c r="U36" s="723"/>
      <c r="V36" s="723"/>
      <c r="W36" s="725">
        <f>'PAYMENT VOUCHERS'!E40</f>
        <v>153</v>
      </c>
      <c r="X36" s="705"/>
      <c r="Y36" s="726"/>
    </row>
    <row r="37" spans="2:25" ht="27" customHeight="1" thickTop="1" thickBot="1" x14ac:dyDescent="0.4">
      <c r="B37" s="712">
        <v>45349</v>
      </c>
      <c r="C37" s="713" t="s">
        <v>742</v>
      </c>
      <c r="D37" s="707">
        <f t="shared" si="6"/>
        <v>5400</v>
      </c>
      <c r="E37" s="110">
        <f t="shared" ref="E37:E44" si="8">SUM(W37:Y37)</f>
        <v>0</v>
      </c>
      <c r="F37" s="109">
        <f t="shared" si="2"/>
        <v>86451.83</v>
      </c>
      <c r="G37" s="751"/>
      <c r="H37" s="703"/>
      <c r="I37" s="715"/>
      <c r="J37" s="719"/>
      <c r="K37" s="703">
        <f>IFERROR(VLOOKUP($C37,'[1]MONTHLY DUES 2026'!$C$7:$D$30,2,0),0)</f>
        <v>0</v>
      </c>
      <c r="L37" s="720"/>
      <c r="M37" s="717"/>
      <c r="N37" s="218"/>
      <c r="O37" s="218"/>
      <c r="P37" s="218"/>
      <c r="Q37" s="218">
        <f>IFERROR(VLOOKUP($C37,'SPECIAL LEVY'!$C$4:$N$27,7,0),0)</f>
        <v>0</v>
      </c>
      <c r="R37" s="218"/>
      <c r="S37" s="218"/>
      <c r="T37" s="723"/>
      <c r="U37" s="723">
        <f>'BANK ACCOUNT TEMA'!G7</f>
        <v>5400</v>
      </c>
      <c r="V37" s="723"/>
      <c r="W37" s="725"/>
      <c r="X37" s="705"/>
      <c r="Y37" s="726"/>
    </row>
    <row r="38" spans="2:25" ht="27" customHeight="1" thickTop="1" thickBot="1" x14ac:dyDescent="0.4">
      <c r="B38" s="712">
        <v>45398</v>
      </c>
      <c r="C38" s="713" t="s">
        <v>887</v>
      </c>
      <c r="D38" s="707">
        <f t="shared" si="6"/>
        <v>0</v>
      </c>
      <c r="E38" s="110">
        <f t="shared" si="8"/>
        <v>1581</v>
      </c>
      <c r="F38" s="109">
        <f t="shared" si="2"/>
        <v>84870.83</v>
      </c>
      <c r="G38" s="751"/>
      <c r="H38" s="703"/>
      <c r="I38" s="715"/>
      <c r="J38" s="719"/>
      <c r="K38" s="703">
        <f>IFERROR(VLOOKUP($C38,'[1]MONTHLY DUES 2026'!$C$7:$D$30,2,0),0)</f>
        <v>0</v>
      </c>
      <c r="L38" s="720"/>
      <c r="M38" s="717"/>
      <c r="N38" s="218"/>
      <c r="O38" s="218"/>
      <c r="P38" s="218"/>
      <c r="Q38" s="218">
        <f>IFERROR(VLOOKUP($C38,'SPECIAL LEVY'!$C$4:$N$27,7,0),0)</f>
        <v>0</v>
      </c>
      <c r="R38" s="218"/>
      <c r="S38" s="218"/>
      <c r="T38" s="723"/>
      <c r="U38" s="723"/>
      <c r="V38" s="723"/>
      <c r="W38" s="725">
        <f>'PAYMENT VOUCHERS'!E55</f>
        <v>1581</v>
      </c>
      <c r="X38" s="705"/>
      <c r="Y38" s="726"/>
    </row>
    <row r="39" spans="2:25" ht="27" customHeight="1" thickTop="1" thickBot="1" x14ac:dyDescent="0.4">
      <c r="B39" s="712">
        <v>45420</v>
      </c>
      <c r="C39" s="713" t="s">
        <v>888</v>
      </c>
      <c r="D39" s="707">
        <f t="shared" si="6"/>
        <v>0</v>
      </c>
      <c r="E39" s="110">
        <f t="shared" si="8"/>
        <v>16610.7</v>
      </c>
      <c r="F39" s="109">
        <f t="shared" si="2"/>
        <v>68260.13</v>
      </c>
      <c r="G39" s="751"/>
      <c r="H39" s="703"/>
      <c r="I39" s="715"/>
      <c r="J39" s="719"/>
      <c r="K39" s="703">
        <f>IFERROR(VLOOKUP($C39,'[1]MONTHLY DUES 2026'!$C$7:$D$30,2,0),0)</f>
        <v>0</v>
      </c>
      <c r="L39" s="720"/>
      <c r="M39" s="717"/>
      <c r="N39" s="218"/>
      <c r="O39" s="218"/>
      <c r="P39" s="218"/>
      <c r="Q39" s="218">
        <f>IFERROR(VLOOKUP($C39,'SPECIAL LEVY'!$C$4:$N$27,7,0),0)</f>
        <v>0</v>
      </c>
      <c r="R39" s="218"/>
      <c r="S39" s="218"/>
      <c r="T39" s="723"/>
      <c r="U39" s="723"/>
      <c r="V39" s="723"/>
      <c r="W39" s="725">
        <f>'PAYMENT VOUCHERS'!E74</f>
        <v>16610.7</v>
      </c>
      <c r="X39" s="705"/>
      <c r="Y39" s="726"/>
    </row>
    <row r="40" spans="2:25" ht="27" customHeight="1" thickTop="1" thickBot="1" x14ac:dyDescent="0.4">
      <c r="B40" s="712">
        <v>45467</v>
      </c>
      <c r="C40" s="713" t="s">
        <v>889</v>
      </c>
      <c r="D40" s="707">
        <f t="shared" si="6"/>
        <v>0</v>
      </c>
      <c r="E40" s="110">
        <f t="shared" si="8"/>
        <v>2652</v>
      </c>
      <c r="F40" s="109">
        <f t="shared" si="2"/>
        <v>65608.13</v>
      </c>
      <c r="G40" s="751"/>
      <c r="H40" s="703"/>
      <c r="I40" s="715"/>
      <c r="J40" s="719"/>
      <c r="K40" s="703">
        <f>IFERROR(VLOOKUP($C40,'[1]MONTHLY DUES 2026'!$C$7:$D$30,2,0),0)</f>
        <v>0</v>
      </c>
      <c r="L40" s="720"/>
      <c r="M40" s="717"/>
      <c r="N40" s="218"/>
      <c r="O40" s="218"/>
      <c r="P40" s="218"/>
      <c r="Q40" s="218">
        <f>IFERROR(VLOOKUP($C40,'SPECIAL LEVY'!$C$4:$N$27,7,0),0)</f>
        <v>0</v>
      </c>
      <c r="R40" s="218"/>
      <c r="S40" s="218"/>
      <c r="T40" s="723"/>
      <c r="U40" s="723"/>
      <c r="V40" s="723"/>
      <c r="W40" s="725">
        <f>'PAYMENT VOUCHERS'!E82</f>
        <v>2652</v>
      </c>
      <c r="X40" s="705"/>
      <c r="Y40" s="726"/>
    </row>
    <row r="41" spans="2:25" ht="27" customHeight="1" thickTop="1" thickBot="1" x14ac:dyDescent="0.4">
      <c r="B41" s="712">
        <v>45464</v>
      </c>
      <c r="C41" s="713" t="s">
        <v>890</v>
      </c>
      <c r="D41" s="707">
        <f t="shared" si="6"/>
        <v>0</v>
      </c>
      <c r="E41" s="110">
        <f t="shared" si="8"/>
        <v>3672</v>
      </c>
      <c r="F41" s="109">
        <f t="shared" si="2"/>
        <v>61936.130000000005</v>
      </c>
      <c r="G41" s="751"/>
      <c r="H41" s="703"/>
      <c r="I41" s="715"/>
      <c r="J41" s="719"/>
      <c r="K41" s="703">
        <f>IFERROR(VLOOKUP($C41,'[1]MONTHLY DUES 2026'!$C$7:$D$30,2,0),0)</f>
        <v>0</v>
      </c>
      <c r="L41" s="720"/>
      <c r="M41" s="717"/>
      <c r="N41" s="218"/>
      <c r="O41" s="218"/>
      <c r="P41" s="218"/>
      <c r="Q41" s="218">
        <f>IFERROR(VLOOKUP($C41,'SPECIAL LEVY'!$C$4:$N$27,7,0),0)</f>
        <v>0</v>
      </c>
      <c r="R41" s="218"/>
      <c r="S41" s="218"/>
      <c r="T41" s="723"/>
      <c r="U41" s="723"/>
      <c r="V41" s="723"/>
      <c r="W41" s="725">
        <f>'PAYMENT VOUCHERS'!E90</f>
        <v>3672</v>
      </c>
      <c r="X41" s="705"/>
      <c r="Y41" s="726"/>
    </row>
    <row r="42" spans="2:25" ht="27" customHeight="1" thickTop="1" thickBot="1" x14ac:dyDescent="0.4">
      <c r="B42" s="712">
        <v>45594</v>
      </c>
      <c r="C42" s="713" t="s">
        <v>1116</v>
      </c>
      <c r="D42" s="707">
        <f t="shared" si="6"/>
        <v>0</v>
      </c>
      <c r="E42" s="110">
        <f t="shared" si="8"/>
        <v>3600</v>
      </c>
      <c r="F42" s="109">
        <f t="shared" si="2"/>
        <v>58336.130000000005</v>
      </c>
      <c r="G42" s="751"/>
      <c r="H42" s="703"/>
      <c r="I42" s="715"/>
      <c r="J42" s="719"/>
      <c r="K42" s="703"/>
      <c r="L42" s="720"/>
      <c r="M42" s="717"/>
      <c r="N42" s="218"/>
      <c r="O42" s="218"/>
      <c r="P42" s="218"/>
      <c r="Q42" s="218"/>
      <c r="R42" s="218"/>
      <c r="S42" s="218"/>
      <c r="T42" s="723"/>
      <c r="U42" s="723"/>
      <c r="V42" s="723"/>
      <c r="W42" s="725"/>
      <c r="X42" s="705">
        <f>'LEVY DISBURSMENT'!D28</f>
        <v>3600</v>
      </c>
      <c r="Y42" s="726"/>
    </row>
    <row r="43" spans="2:25" ht="27" customHeight="1" thickTop="1" thickBot="1" x14ac:dyDescent="0.4">
      <c r="B43" s="712">
        <v>45615</v>
      </c>
      <c r="C43" s="713" t="s">
        <v>1117</v>
      </c>
      <c r="D43" s="707">
        <f t="shared" si="6"/>
        <v>0</v>
      </c>
      <c r="E43" s="110">
        <f t="shared" si="8"/>
        <v>3600</v>
      </c>
      <c r="F43" s="109">
        <f t="shared" si="2"/>
        <v>54736.130000000005</v>
      </c>
      <c r="G43" s="751"/>
      <c r="H43" s="703"/>
      <c r="I43" s="715"/>
      <c r="J43" s="719"/>
      <c r="K43" s="703"/>
      <c r="L43" s="720"/>
      <c r="M43" s="717"/>
      <c r="N43" s="218"/>
      <c r="O43" s="218"/>
      <c r="P43" s="218"/>
      <c r="Q43" s="218"/>
      <c r="R43" s="218"/>
      <c r="S43" s="218"/>
      <c r="T43" s="723"/>
      <c r="U43" s="723"/>
      <c r="V43" s="723"/>
      <c r="W43" s="725"/>
      <c r="X43" s="705">
        <f>'LEVY DISBURSMENT'!D39</f>
        <v>3600</v>
      </c>
      <c r="Y43" s="726"/>
    </row>
    <row r="44" spans="2:25" ht="27" customHeight="1" thickTop="1" thickBot="1" x14ac:dyDescent="0.4">
      <c r="B44" s="712">
        <v>45647</v>
      </c>
      <c r="C44" s="713" t="s">
        <v>1118</v>
      </c>
      <c r="D44" s="707">
        <f t="shared" si="6"/>
        <v>0</v>
      </c>
      <c r="E44" s="110">
        <f t="shared" si="8"/>
        <v>3600</v>
      </c>
      <c r="F44" s="109">
        <f t="shared" si="2"/>
        <v>51136.130000000005</v>
      </c>
      <c r="G44" s="751"/>
      <c r="H44" s="703"/>
      <c r="I44" s="715"/>
      <c r="J44" s="719"/>
      <c r="K44" s="703"/>
      <c r="L44" s="720"/>
      <c r="M44" s="717"/>
      <c r="N44" s="218"/>
      <c r="O44" s="218"/>
      <c r="P44" s="218"/>
      <c r="Q44" s="218"/>
      <c r="R44" s="218"/>
      <c r="S44" s="218"/>
      <c r="T44" s="723"/>
      <c r="U44" s="723"/>
      <c r="V44" s="723"/>
      <c r="W44" s="725"/>
      <c r="X44" s="705">
        <f>'LEVY DISBURSMENT'!D50</f>
        <v>3600</v>
      </c>
      <c r="Y44" s="726"/>
    </row>
    <row r="45" spans="2:25" ht="27" customHeight="1" thickTop="1" thickBot="1" x14ac:dyDescent="0.4">
      <c r="B45" s="712">
        <v>45665</v>
      </c>
      <c r="C45" s="713" t="s">
        <v>891</v>
      </c>
      <c r="D45" s="707">
        <f t="shared" si="6"/>
        <v>0</v>
      </c>
      <c r="E45" s="110">
        <f t="shared" ref="E45:E64" si="9">SUM(W45:Y45)</f>
        <v>3837</v>
      </c>
      <c r="F45" s="109">
        <f t="shared" si="2"/>
        <v>47299.130000000005</v>
      </c>
      <c r="G45" s="751"/>
      <c r="H45" s="703"/>
      <c r="I45" s="715"/>
      <c r="J45" s="719"/>
      <c r="K45" s="703">
        <f>IFERROR(VLOOKUP($C45,'[1]MONTHLY DUES 2026'!$C$7:$D$30,2,0),0)</f>
        <v>0</v>
      </c>
      <c r="L45" s="720"/>
      <c r="M45" s="717"/>
      <c r="N45" s="218"/>
      <c r="O45" s="218"/>
      <c r="P45" s="218"/>
      <c r="Q45" s="218">
        <f>IFERROR(VLOOKUP($C45,'SPECIAL LEVY'!$C$4:$N$27,7,0),0)</f>
        <v>0</v>
      </c>
      <c r="R45" s="218"/>
      <c r="S45" s="218"/>
      <c r="T45" s="723"/>
      <c r="U45" s="723"/>
      <c r="V45" s="723"/>
      <c r="W45" s="725">
        <f>'PAYMENT VOUCHERS'!E101</f>
        <v>3837</v>
      </c>
      <c r="X45" s="705"/>
      <c r="Y45" s="726"/>
    </row>
    <row r="46" spans="2:25" ht="27" customHeight="1" thickTop="1" thickBot="1" x14ac:dyDescent="0.4">
      <c r="B46" s="712">
        <v>45691</v>
      </c>
      <c r="C46" s="713" t="s">
        <v>892</v>
      </c>
      <c r="D46" s="707">
        <f t="shared" si="6"/>
        <v>0</v>
      </c>
      <c r="E46" s="110">
        <f t="shared" ref="E46" si="10">SUM(W46:Y46)</f>
        <v>1717</v>
      </c>
      <c r="F46" s="109">
        <f t="shared" si="2"/>
        <v>45582.130000000005</v>
      </c>
      <c r="G46" s="751"/>
      <c r="H46" s="703"/>
      <c r="I46" s="715"/>
      <c r="J46" s="719"/>
      <c r="K46" s="703">
        <f>IFERROR(VLOOKUP($C46,'[1]MONTHLY DUES 2026'!$C$7:$D$30,2,0),0)</f>
        <v>0</v>
      </c>
      <c r="L46" s="720"/>
      <c r="M46" s="717"/>
      <c r="N46" s="218"/>
      <c r="O46" s="218"/>
      <c r="P46" s="218"/>
      <c r="Q46" s="218">
        <f>IFERROR(VLOOKUP($C46,'SPECIAL LEVY'!$C$4:$N$27,7,0),0)</f>
        <v>0</v>
      </c>
      <c r="R46" s="218"/>
      <c r="S46" s="218"/>
      <c r="T46" s="723"/>
      <c r="U46" s="723"/>
      <c r="V46" s="723"/>
      <c r="W46" s="725">
        <f>'PAYMENT VOUCHERS'!E110</f>
        <v>1717</v>
      </c>
      <c r="X46" s="705"/>
      <c r="Y46" s="726"/>
    </row>
    <row r="47" spans="2:25" ht="27" customHeight="1" thickTop="1" thickBot="1" x14ac:dyDescent="0.4">
      <c r="B47" s="712">
        <v>45751</v>
      </c>
      <c r="C47" s="713" t="s">
        <v>893</v>
      </c>
      <c r="D47" s="707">
        <f t="shared" si="6"/>
        <v>0</v>
      </c>
      <c r="E47" s="110">
        <f>SUM(W47:Y47)</f>
        <v>4141</v>
      </c>
      <c r="F47" s="109">
        <f t="shared" si="2"/>
        <v>41441.130000000005</v>
      </c>
      <c r="G47" s="751"/>
      <c r="H47" s="703"/>
      <c r="I47" s="715"/>
      <c r="J47" s="719"/>
      <c r="K47" s="703">
        <f>IFERROR(VLOOKUP($C47,'[1]MONTHLY DUES 2026'!$C$7:$D$30,2,0),0)</f>
        <v>0</v>
      </c>
      <c r="L47" s="720"/>
      <c r="M47" s="717"/>
      <c r="N47" s="218"/>
      <c r="O47" s="218"/>
      <c r="P47" s="218"/>
      <c r="Q47" s="218">
        <f>IFERROR(VLOOKUP($C47,'SPECIAL LEVY'!$C$4:$N$27,7,0),0)</f>
        <v>0</v>
      </c>
      <c r="R47" s="218"/>
      <c r="S47" s="218"/>
      <c r="T47" s="723"/>
      <c r="U47" s="723"/>
      <c r="V47" s="723"/>
      <c r="W47" s="725">
        <f>'PAYMENT VOUCHERS'!E118</f>
        <v>4141</v>
      </c>
      <c r="X47" s="705"/>
      <c r="Y47" s="726"/>
    </row>
    <row r="48" spans="2:25" ht="27" customHeight="1" thickTop="1" thickBot="1" x14ac:dyDescent="0.4">
      <c r="B48" s="712">
        <v>45799</v>
      </c>
      <c r="C48" s="713" t="s">
        <v>894</v>
      </c>
      <c r="D48" s="707">
        <f t="shared" si="6"/>
        <v>0</v>
      </c>
      <c r="E48" s="110">
        <f t="shared" ref="E48" si="11">SUM(W48:Y48)</f>
        <v>3039.1</v>
      </c>
      <c r="F48" s="109">
        <f t="shared" si="2"/>
        <v>38402.030000000006</v>
      </c>
      <c r="G48" s="751"/>
      <c r="H48" s="703"/>
      <c r="I48" s="715"/>
      <c r="J48" s="719"/>
      <c r="K48" s="703">
        <f>IFERROR(VLOOKUP($C48,'[1]MONTHLY DUES 2026'!$C$7:$D$30,2,0),0)</f>
        <v>0</v>
      </c>
      <c r="L48" s="720"/>
      <c r="M48" s="717"/>
      <c r="N48" s="218"/>
      <c r="O48" s="218"/>
      <c r="P48" s="218"/>
      <c r="Q48" s="218">
        <f>IFERROR(VLOOKUP($C48,'SPECIAL LEVY'!$C$4:$N$27,7,0),0)</f>
        <v>0</v>
      </c>
      <c r="R48" s="218"/>
      <c r="S48" s="218"/>
      <c r="T48" s="723"/>
      <c r="U48" s="723"/>
      <c r="V48" s="723"/>
      <c r="W48" s="725">
        <f>'PAYMENT VOUCHERS'!E129</f>
        <v>3039.1</v>
      </c>
      <c r="X48" s="705"/>
      <c r="Y48" s="726"/>
    </row>
    <row r="49" spans="1:25" ht="27" customHeight="1" thickTop="1" thickBot="1" x14ac:dyDescent="0.4">
      <c r="B49" s="712">
        <v>45806</v>
      </c>
      <c r="C49" s="713" t="s">
        <v>1119</v>
      </c>
      <c r="D49" s="707">
        <f t="shared" si="6"/>
        <v>0</v>
      </c>
      <c r="E49" s="110">
        <f>SUM(W49:Y49)</f>
        <v>2200</v>
      </c>
      <c r="F49" s="109">
        <f t="shared" si="2"/>
        <v>36202.030000000006</v>
      </c>
      <c r="G49" s="751"/>
      <c r="H49" s="704"/>
      <c r="I49" s="716"/>
      <c r="J49" s="721"/>
      <c r="K49" s="704"/>
      <c r="L49" s="722"/>
      <c r="M49" s="718"/>
      <c r="N49" s="619"/>
      <c r="O49" s="619"/>
      <c r="P49" s="619"/>
      <c r="Q49" s="619"/>
      <c r="R49" s="619"/>
      <c r="S49" s="619"/>
      <c r="T49" s="724"/>
      <c r="U49" s="724"/>
      <c r="V49" s="724"/>
      <c r="W49" s="727"/>
      <c r="X49" s="706">
        <f>'LEVY DISBURSMENT'!D60</f>
        <v>2200</v>
      </c>
      <c r="Y49" s="728"/>
    </row>
    <row r="50" spans="1:25" ht="27" customHeight="1" thickTop="1" thickBot="1" x14ac:dyDescent="0.4">
      <c r="B50" s="712">
        <v>45824</v>
      </c>
      <c r="C50" s="713" t="s">
        <v>895</v>
      </c>
      <c r="D50" s="707">
        <f t="shared" si="6"/>
        <v>0</v>
      </c>
      <c r="E50" s="110">
        <f t="shared" ref="E50" si="12">SUM(W50:Y50)</f>
        <v>2434</v>
      </c>
      <c r="F50" s="109">
        <f t="shared" si="2"/>
        <v>33768.030000000006</v>
      </c>
      <c r="G50" s="751"/>
      <c r="H50" s="703"/>
      <c r="I50" s="715"/>
      <c r="J50" s="719"/>
      <c r="K50" s="703">
        <f>IFERROR(VLOOKUP($C50,'[1]MONTHLY DUES 2026'!$C$7:$D$30,2,0),0)</f>
        <v>0</v>
      </c>
      <c r="L50" s="720"/>
      <c r="M50" s="717"/>
      <c r="N50" s="218"/>
      <c r="O50" s="218"/>
      <c r="P50" s="218"/>
      <c r="Q50" s="218">
        <f>IFERROR(VLOOKUP($C50,'SPECIAL LEVY'!$C$4:$N$27,7,0),0)</f>
        <v>0</v>
      </c>
      <c r="R50" s="218"/>
      <c r="S50" s="218"/>
      <c r="T50" s="723"/>
      <c r="U50" s="723"/>
      <c r="V50" s="723"/>
      <c r="W50" s="725">
        <f>'PAYMENT VOUCHERS'!E137</f>
        <v>2434</v>
      </c>
      <c r="X50" s="705"/>
      <c r="Y50" s="726"/>
    </row>
    <row r="51" spans="1:25" ht="27" customHeight="1" thickTop="1" thickBot="1" x14ac:dyDescent="0.4">
      <c r="B51" s="712">
        <v>45875</v>
      </c>
      <c r="C51" s="713" t="s">
        <v>896</v>
      </c>
      <c r="D51" s="707">
        <f t="shared" si="6"/>
        <v>0</v>
      </c>
      <c r="E51" s="110">
        <f t="shared" ref="E51:E58" si="13">SUM(W51:Y51)</f>
        <v>2323</v>
      </c>
      <c r="F51" s="109">
        <f t="shared" si="2"/>
        <v>31445.030000000006</v>
      </c>
      <c r="G51" s="751"/>
      <c r="H51" s="703"/>
      <c r="I51" s="715"/>
      <c r="J51" s="719"/>
      <c r="K51" s="703">
        <f>IFERROR(VLOOKUP($C51,'[1]MONTHLY DUES 2026'!$C$7:$D$30,2,0),0)</f>
        <v>0</v>
      </c>
      <c r="L51" s="720"/>
      <c r="M51" s="717"/>
      <c r="N51" s="218"/>
      <c r="O51" s="218"/>
      <c r="P51" s="218"/>
      <c r="Q51" s="218">
        <f>IFERROR(VLOOKUP($C51,'SPECIAL LEVY'!$C$4:$N$27,7,0),0)</f>
        <v>0</v>
      </c>
      <c r="R51" s="218"/>
      <c r="S51" s="218"/>
      <c r="T51" s="723"/>
      <c r="U51" s="723"/>
      <c r="V51" s="723"/>
      <c r="W51" s="725">
        <f>'PAYMENT VOUCHERS'!E145</f>
        <v>2323</v>
      </c>
      <c r="X51" s="705"/>
      <c r="Y51" s="726"/>
    </row>
    <row r="52" spans="1:25" ht="27" customHeight="1" thickTop="1" thickBot="1" x14ac:dyDescent="0.4">
      <c r="B52" s="712">
        <v>45904</v>
      </c>
      <c r="C52" s="713" t="s">
        <v>897</v>
      </c>
      <c r="D52" s="707">
        <f t="shared" si="6"/>
        <v>0</v>
      </c>
      <c r="E52" s="110">
        <f t="shared" si="13"/>
        <v>5156</v>
      </c>
      <c r="F52" s="109">
        <f t="shared" si="2"/>
        <v>26289.030000000006</v>
      </c>
      <c r="G52" s="751"/>
      <c r="H52" s="704"/>
      <c r="I52" s="716"/>
      <c r="J52" s="721"/>
      <c r="K52" s="704">
        <f>IFERROR(VLOOKUP($C52,'[1]MONTHLY DUES 2026'!$C$7:$D$30,2,0),0)</f>
        <v>0</v>
      </c>
      <c r="L52" s="722"/>
      <c r="M52" s="718"/>
      <c r="N52" s="619"/>
      <c r="O52" s="619"/>
      <c r="P52" s="619"/>
      <c r="Q52" s="619">
        <f>IFERROR(VLOOKUP($C52,'SPECIAL LEVY'!$C$4:$N$27,7,0),0)</f>
        <v>0</v>
      </c>
      <c r="R52" s="619"/>
      <c r="S52" s="619"/>
      <c r="T52" s="724"/>
      <c r="U52" s="724"/>
      <c r="V52" s="724"/>
      <c r="W52" s="727">
        <f>'PAYMENT VOUCHERS'!E153</f>
        <v>5156</v>
      </c>
      <c r="X52" s="706"/>
      <c r="Y52" s="728"/>
    </row>
    <row r="53" spans="1:25" ht="27" customHeight="1" thickTop="1" thickBot="1" x14ac:dyDescent="0.4">
      <c r="B53" s="712">
        <v>46008</v>
      </c>
      <c r="C53" s="714" t="s">
        <v>898</v>
      </c>
      <c r="D53" s="707">
        <f t="shared" si="6"/>
        <v>0</v>
      </c>
      <c r="E53" s="110">
        <f t="shared" si="13"/>
        <v>3737</v>
      </c>
      <c r="F53" s="109">
        <f t="shared" si="2"/>
        <v>22552.030000000006</v>
      </c>
      <c r="G53" s="751"/>
      <c r="H53" s="704"/>
      <c r="I53" s="716"/>
      <c r="J53" s="721"/>
      <c r="K53" s="704">
        <f>IFERROR(VLOOKUP($C53,'[1]MONTHLY DUES 2026'!$C$7:$D$30,2,0),0)</f>
        <v>0</v>
      </c>
      <c r="L53" s="722"/>
      <c r="M53" s="718"/>
      <c r="N53" s="619"/>
      <c r="O53" s="619"/>
      <c r="P53" s="619"/>
      <c r="Q53" s="619">
        <f>IFERROR(VLOOKUP($C53,'SPECIAL LEVY'!$C$4:$N$27,7,0),0)</f>
        <v>0</v>
      </c>
      <c r="R53" s="619"/>
      <c r="S53" s="619"/>
      <c r="T53" s="724"/>
      <c r="U53" s="724"/>
      <c r="V53" s="724"/>
      <c r="W53" s="727">
        <f>'PAYMENT VOUCHERS'!E161</f>
        <v>3737</v>
      </c>
      <c r="X53" s="706"/>
      <c r="Y53" s="728"/>
    </row>
    <row r="54" spans="1:25" ht="27" customHeight="1" thickTop="1" thickBot="1" x14ac:dyDescent="0.4">
      <c r="B54" s="712">
        <v>46041</v>
      </c>
      <c r="C54" s="714" t="s">
        <v>899</v>
      </c>
      <c r="D54" s="707">
        <f t="shared" si="6"/>
        <v>0</v>
      </c>
      <c r="E54" s="110">
        <f t="shared" ref="E54:E56" si="14">SUM(W54:Y54)</f>
        <v>3134</v>
      </c>
      <c r="F54" s="109">
        <f t="shared" si="2"/>
        <v>19418.030000000006</v>
      </c>
      <c r="G54" s="751"/>
      <c r="H54" s="704"/>
      <c r="I54" s="716"/>
      <c r="J54" s="721"/>
      <c r="K54" s="704"/>
      <c r="L54" s="722"/>
      <c r="M54" s="718"/>
      <c r="N54" s="619"/>
      <c r="O54" s="619"/>
      <c r="P54" s="619"/>
      <c r="Q54" s="619">
        <f>IFERROR(VLOOKUP($C54,'SPECIAL LEVY'!$C$4:$N$27,7,0),0)</f>
        <v>0</v>
      </c>
      <c r="R54" s="619"/>
      <c r="S54" s="619"/>
      <c r="T54" s="724"/>
      <c r="U54" s="724"/>
      <c r="V54" s="724"/>
      <c r="W54" s="727">
        <f>'PAYMENT VOUCHERS'!E169</f>
        <v>3134</v>
      </c>
      <c r="X54" s="706"/>
      <c r="Y54" s="728"/>
    </row>
    <row r="55" spans="1:25" ht="27" customHeight="1" thickTop="1" thickBot="1" x14ac:dyDescent="0.4">
      <c r="B55" s="712">
        <v>45824</v>
      </c>
      <c r="C55" s="714" t="s">
        <v>1124</v>
      </c>
      <c r="D55" s="707">
        <f t="shared" si="6"/>
        <v>400</v>
      </c>
      <c r="E55" s="110">
        <f t="shared" si="14"/>
        <v>0</v>
      </c>
      <c r="F55" s="109">
        <f t="shared" si="2"/>
        <v>19818.030000000006</v>
      </c>
      <c r="G55" s="751"/>
      <c r="H55" s="704"/>
      <c r="I55" s="716"/>
      <c r="J55" s="721"/>
      <c r="K55" s="704"/>
      <c r="L55" s="722"/>
      <c r="M55" s="718"/>
      <c r="N55" s="619"/>
      <c r="O55" s="619"/>
      <c r="P55" s="619"/>
      <c r="Q55" s="619"/>
      <c r="R55" s="619"/>
      <c r="S55" s="619"/>
      <c r="T55" s="724">
        <v>400</v>
      </c>
      <c r="U55" s="724"/>
      <c r="V55" s="724"/>
      <c r="W55" s="727"/>
      <c r="X55" s="706"/>
      <c r="Y55" s="728"/>
    </row>
    <row r="56" spans="1:25" ht="27" customHeight="1" thickTop="1" thickBot="1" x14ac:dyDescent="0.4">
      <c r="A56" s="909">
        <v>46086</v>
      </c>
      <c r="B56" s="712">
        <v>45824</v>
      </c>
      <c r="C56" s="714" t="s">
        <v>901</v>
      </c>
      <c r="D56" s="707">
        <f t="shared" si="6"/>
        <v>0</v>
      </c>
      <c r="E56" s="110">
        <f t="shared" si="14"/>
        <v>8945</v>
      </c>
      <c r="F56" s="109">
        <f t="shared" si="2"/>
        <v>10873.030000000006</v>
      </c>
      <c r="G56" s="751"/>
      <c r="H56" s="704"/>
      <c r="I56" s="716"/>
      <c r="J56" s="721"/>
      <c r="K56" s="704"/>
      <c r="L56" s="722"/>
      <c r="M56" s="718"/>
      <c r="N56" s="619"/>
      <c r="O56" s="619"/>
      <c r="P56" s="619"/>
      <c r="Q56" s="619">
        <f>IFERROR(VLOOKUP($C56,'SPECIAL LEVY'!$C$4:$N$27,7,0),0)</f>
        <v>0</v>
      </c>
      <c r="R56" s="619"/>
      <c r="S56" s="619"/>
      <c r="T56" s="724"/>
      <c r="U56" s="724"/>
      <c r="V56" s="724"/>
      <c r="W56" s="727">
        <f>'PAYMENT VOUCHERS'!E189</f>
        <v>8945</v>
      </c>
      <c r="X56" s="706"/>
      <c r="Y56" s="728"/>
    </row>
    <row r="57" spans="1:25" ht="27" customHeight="1" thickTop="1" thickBot="1" x14ac:dyDescent="0.4">
      <c r="B57" s="712">
        <v>45865</v>
      </c>
      <c r="C57" s="713" t="s">
        <v>681</v>
      </c>
      <c r="D57" s="707">
        <f t="shared" si="6"/>
        <v>36.92</v>
      </c>
      <c r="E57" s="110">
        <f t="shared" si="13"/>
        <v>0</v>
      </c>
      <c r="F57" s="109">
        <f t="shared" si="2"/>
        <v>10909.950000000006</v>
      </c>
      <c r="G57" s="751"/>
      <c r="H57" s="704"/>
      <c r="I57" s="716"/>
      <c r="J57" s="721"/>
      <c r="K57" s="704"/>
      <c r="L57" s="722"/>
      <c r="M57" s="718"/>
      <c r="N57" s="619"/>
      <c r="O57" s="619"/>
      <c r="P57" s="619"/>
      <c r="Q57" s="619"/>
      <c r="R57" s="619"/>
      <c r="S57" s="619">
        <v>36.92</v>
      </c>
      <c r="T57" s="724"/>
      <c r="U57" s="724"/>
      <c r="V57" s="724"/>
      <c r="W57" s="727"/>
      <c r="X57" s="706"/>
      <c r="Y57" s="728"/>
    </row>
    <row r="58" spans="1:25" ht="27" customHeight="1" thickTop="1" thickBot="1" x14ac:dyDescent="0.4">
      <c r="B58" s="712">
        <v>46129</v>
      </c>
      <c r="C58" s="714" t="s">
        <v>1162</v>
      </c>
      <c r="D58" s="707">
        <f t="shared" si="6"/>
        <v>0</v>
      </c>
      <c r="E58" s="110">
        <f t="shared" si="13"/>
        <v>4141</v>
      </c>
      <c r="F58" s="109">
        <f t="shared" si="2"/>
        <v>6768.9500000000062</v>
      </c>
      <c r="G58" s="751"/>
      <c r="H58" s="704"/>
      <c r="I58" s="716"/>
      <c r="J58" s="721"/>
      <c r="K58" s="704">
        <f>IFERROR(VLOOKUP($C58,'[1]MONTHLY DUES 2026'!$C$7:$D$30,2,0),0)</f>
        <v>0</v>
      </c>
      <c r="L58" s="722"/>
      <c r="M58" s="718"/>
      <c r="N58" s="619"/>
      <c r="O58" s="619"/>
      <c r="P58" s="619"/>
      <c r="Q58" s="619">
        <f>IFERROR(VLOOKUP($C58,'SPECIAL LEVY'!$C$4:$N$27,7,0),0)</f>
        <v>0</v>
      </c>
      <c r="R58" s="619"/>
      <c r="S58" s="619"/>
      <c r="T58" s="724"/>
      <c r="U58" s="724"/>
      <c r="V58" s="724"/>
      <c r="W58" s="727">
        <f>'PAYMENT VOUCHERS'!E197</f>
        <v>4141</v>
      </c>
      <c r="X58" s="706"/>
      <c r="Y58" s="728"/>
    </row>
    <row r="59" spans="1:25" ht="27" customHeight="1" thickTop="1" thickBot="1" x14ac:dyDescent="0.4">
      <c r="B59" s="712">
        <v>46255</v>
      </c>
      <c r="C59" s="714" t="s">
        <v>1288</v>
      </c>
      <c r="D59" s="708">
        <f t="shared" si="6"/>
        <v>0</v>
      </c>
      <c r="E59" s="908">
        <f>SUM(W59:Y59)</f>
        <v>4646</v>
      </c>
      <c r="F59" s="109">
        <f t="shared" si="2"/>
        <v>2122.9500000000062</v>
      </c>
      <c r="G59" s="751"/>
      <c r="H59" s="704"/>
      <c r="I59" s="716"/>
      <c r="J59" s="721"/>
      <c r="K59" s="704"/>
      <c r="L59" s="722"/>
      <c r="M59" s="718"/>
      <c r="N59" s="619"/>
      <c r="O59" s="619"/>
      <c r="P59" s="619"/>
      <c r="Q59" s="619"/>
      <c r="R59" s="619"/>
      <c r="S59" s="619"/>
      <c r="T59" s="724"/>
      <c r="U59" s="724"/>
      <c r="V59" s="724"/>
      <c r="W59" s="727">
        <f>'PAYMENT VOUCHERS'!E205</f>
        <v>4646</v>
      </c>
      <c r="X59" s="706"/>
      <c r="Y59" s="728"/>
    </row>
    <row r="60" spans="1:25" ht="27" customHeight="1" thickTop="1" thickBot="1" x14ac:dyDescent="0.4">
      <c r="B60" s="712">
        <v>46289</v>
      </c>
      <c r="C60" s="714" t="s">
        <v>1291</v>
      </c>
      <c r="D60" s="708">
        <f t="shared" si="6"/>
        <v>0</v>
      </c>
      <c r="E60" s="908">
        <f t="shared" si="9"/>
        <v>2121</v>
      </c>
      <c r="F60" s="109">
        <f t="shared" si="2"/>
        <v>1.9500000000061846</v>
      </c>
      <c r="G60" s="751"/>
      <c r="H60" s="704"/>
      <c r="I60" s="716"/>
      <c r="J60" s="721"/>
      <c r="K60" s="704"/>
      <c r="L60" s="722"/>
      <c r="M60" s="718"/>
      <c r="N60" s="619"/>
      <c r="O60" s="619"/>
      <c r="P60" s="619"/>
      <c r="Q60" s="619"/>
      <c r="R60" s="619"/>
      <c r="S60" s="619"/>
      <c r="T60" s="724"/>
      <c r="U60" s="724"/>
      <c r="V60" s="724"/>
      <c r="W60" s="727">
        <f>'PAYMENT VOUCHERS'!E218</f>
        <v>2121</v>
      </c>
      <c r="X60" s="706"/>
      <c r="Y60" s="728"/>
    </row>
    <row r="61" spans="1:25" ht="27" customHeight="1" thickTop="1" thickBot="1" x14ac:dyDescent="0.4">
      <c r="B61" s="712"/>
      <c r="C61" s="713"/>
      <c r="D61" s="708">
        <f t="shared" si="6"/>
        <v>0</v>
      </c>
      <c r="E61" s="908">
        <f t="shared" si="9"/>
        <v>0</v>
      </c>
      <c r="F61" s="109">
        <f t="shared" si="2"/>
        <v>1.9500000000061846</v>
      </c>
      <c r="G61" s="751"/>
      <c r="H61" s="704"/>
      <c r="I61" s="716"/>
      <c r="J61" s="721"/>
      <c r="K61" s="704"/>
      <c r="L61" s="722"/>
      <c r="M61" s="718"/>
      <c r="N61" s="619"/>
      <c r="O61" s="619"/>
      <c r="P61" s="619"/>
      <c r="Q61" s="619"/>
      <c r="R61" s="619"/>
      <c r="S61" s="619"/>
      <c r="T61" s="724"/>
      <c r="U61" s="724"/>
      <c r="V61" s="724"/>
      <c r="W61" s="727"/>
      <c r="X61" s="706"/>
      <c r="Y61" s="728"/>
    </row>
    <row r="62" spans="1:25" ht="27" customHeight="1" thickTop="1" thickBot="1" x14ac:dyDescent="0.4">
      <c r="B62" s="712"/>
      <c r="C62" s="713"/>
      <c r="D62" s="708">
        <f t="shared" si="6"/>
        <v>0</v>
      </c>
      <c r="E62" s="908">
        <f t="shared" si="9"/>
        <v>0</v>
      </c>
      <c r="F62" s="109">
        <f t="shared" si="2"/>
        <v>1.9500000000061846</v>
      </c>
      <c r="G62" s="751"/>
      <c r="H62" s="704"/>
      <c r="I62" s="716"/>
      <c r="J62" s="721"/>
      <c r="K62" s="704"/>
      <c r="L62" s="722"/>
      <c r="M62" s="718"/>
      <c r="N62" s="619"/>
      <c r="O62" s="619"/>
      <c r="P62" s="619"/>
      <c r="Q62" s="619"/>
      <c r="R62" s="619"/>
      <c r="S62" s="619"/>
      <c r="T62" s="724"/>
      <c r="U62" s="724"/>
      <c r="V62" s="724"/>
      <c r="W62" s="727"/>
      <c r="X62" s="706"/>
      <c r="Y62" s="728"/>
    </row>
    <row r="63" spans="1:25" ht="27" customHeight="1" thickTop="1" thickBot="1" x14ac:dyDescent="0.4">
      <c r="B63" s="712"/>
      <c r="C63" s="713"/>
      <c r="D63" s="708">
        <f t="shared" si="6"/>
        <v>0</v>
      </c>
      <c r="E63" s="908">
        <f t="shared" si="9"/>
        <v>0</v>
      </c>
      <c r="F63" s="109">
        <f t="shared" si="2"/>
        <v>1.9500000000061846</v>
      </c>
      <c r="G63" s="751"/>
      <c r="H63" s="704"/>
      <c r="I63" s="716"/>
      <c r="J63" s="721"/>
      <c r="K63" s="704"/>
      <c r="L63" s="722"/>
      <c r="M63" s="718"/>
      <c r="N63" s="619"/>
      <c r="O63" s="619"/>
      <c r="P63" s="619"/>
      <c r="Q63" s="619"/>
      <c r="R63" s="619"/>
      <c r="S63" s="619"/>
      <c r="T63" s="724"/>
      <c r="U63" s="724"/>
      <c r="V63" s="724"/>
      <c r="W63" s="727"/>
      <c r="X63" s="706"/>
      <c r="Y63" s="728"/>
    </row>
    <row r="64" spans="1:25" ht="27" customHeight="1" thickTop="1" thickBot="1" x14ac:dyDescent="0.4">
      <c r="B64" s="712"/>
      <c r="C64" s="713"/>
      <c r="D64" s="708">
        <f t="shared" si="6"/>
        <v>0</v>
      </c>
      <c r="E64" s="908">
        <f t="shared" si="9"/>
        <v>0</v>
      </c>
      <c r="F64" s="109">
        <f t="shared" si="2"/>
        <v>1.9500000000061846</v>
      </c>
      <c r="G64" s="751"/>
      <c r="H64" s="704"/>
      <c r="I64" s="716"/>
      <c r="J64" s="721"/>
      <c r="K64" s="704">
        <f>IFERROR(VLOOKUP($C64,'[1]MONTHLY DUES 2026'!$C$7:$D$30,2,0),0)</f>
        <v>0</v>
      </c>
      <c r="L64" s="722"/>
      <c r="M64" s="718"/>
      <c r="N64" s="619"/>
      <c r="O64" s="619"/>
      <c r="P64" s="619"/>
      <c r="Q64" s="619">
        <f>IFERROR(VLOOKUP($C64,'SPECIAL LEVY'!$C$4:$N$27,7,0),0)</f>
        <v>0</v>
      </c>
      <c r="R64" s="619"/>
      <c r="S64" s="619"/>
      <c r="T64" s="724"/>
      <c r="U64" s="724"/>
      <c r="V64" s="724"/>
      <c r="W64" s="727"/>
      <c r="X64" s="706"/>
      <c r="Y64" s="728"/>
    </row>
    <row r="65" spans="2:25" ht="27" customHeight="1" thickTop="1" thickBot="1" x14ac:dyDescent="0.4">
      <c r="B65" s="1040"/>
      <c r="C65" s="729"/>
      <c r="D65" s="730"/>
      <c r="E65" s="731"/>
      <c r="F65" s="732"/>
      <c r="G65" s="751"/>
      <c r="H65" s="734"/>
      <c r="I65" s="735"/>
      <c r="J65" s="736"/>
      <c r="K65" s="734"/>
      <c r="L65" s="737"/>
      <c r="M65" s="738"/>
      <c r="N65" s="733"/>
      <c r="O65" s="733"/>
      <c r="P65" s="733"/>
      <c r="Q65" s="739">
        <f>IFERROR(VLOOKUP($C65,'SPECIAL LEVY'!$C$4:$N$27,7,0),0)</f>
        <v>0</v>
      </c>
      <c r="R65" s="733"/>
      <c r="S65" s="733"/>
      <c r="T65" s="740"/>
      <c r="U65" s="740"/>
      <c r="V65" s="740"/>
      <c r="W65" s="741"/>
      <c r="X65" s="742"/>
      <c r="Y65" s="743"/>
    </row>
    <row r="66" spans="2:25" s="618" customFormat="1" ht="30.75" customHeight="1" thickTop="1" thickBot="1" x14ac:dyDescent="0.45">
      <c r="B66" s="744">
        <f>SUBTOTAL(3,B5:B65)</f>
        <v>55</v>
      </c>
      <c r="C66" s="745">
        <f>SUBTOTAL(3,C5:C65)</f>
        <v>56</v>
      </c>
      <c r="D66" s="746">
        <f>SUBTOTAL(9,D5:D65)</f>
        <v>100088.75</v>
      </c>
      <c r="E66" s="746">
        <f>SUBTOTAL(9,E5:E65)</f>
        <v>100086.79999999999</v>
      </c>
      <c r="F66" s="746">
        <f>D66-E66</f>
        <v>1.9500000000116415</v>
      </c>
      <c r="G66" s="746">
        <f t="shared" ref="G66:S66" si="15">SUBTOTAL(9,G5:G65)</f>
        <v>4800</v>
      </c>
      <c r="H66" s="746">
        <f t="shared" si="15"/>
        <v>10800</v>
      </c>
      <c r="I66" s="746">
        <f t="shared" si="15"/>
        <v>16900</v>
      </c>
      <c r="J66" s="746">
        <f t="shared" si="15"/>
        <v>22350</v>
      </c>
      <c r="K66" s="746">
        <f>SUBTOTAL(9,K5:K65)</f>
        <v>15900</v>
      </c>
      <c r="L66" s="746"/>
      <c r="M66" s="746">
        <f t="shared" si="15"/>
        <v>3400</v>
      </c>
      <c r="N66" s="746">
        <f t="shared" si="15"/>
        <v>1700</v>
      </c>
      <c r="O66" s="746">
        <f t="shared" si="15"/>
        <v>3600</v>
      </c>
      <c r="P66" s="746">
        <f t="shared" si="15"/>
        <v>3600</v>
      </c>
      <c r="Q66" s="746">
        <f t="shared" si="15"/>
        <v>3600</v>
      </c>
      <c r="R66" s="746">
        <f t="shared" si="15"/>
        <v>2200</v>
      </c>
      <c r="S66" s="746">
        <f t="shared" si="15"/>
        <v>188.25</v>
      </c>
      <c r="T66" s="746">
        <f t="shared" ref="T66:Y66" si="16">SUBTOTAL(9,T5:T65)</f>
        <v>400</v>
      </c>
      <c r="U66" s="746">
        <f t="shared" si="16"/>
        <v>6650.5</v>
      </c>
      <c r="V66" s="746">
        <f t="shared" si="16"/>
        <v>4000</v>
      </c>
      <c r="W66" s="746">
        <f t="shared" si="16"/>
        <v>81586.799999999988</v>
      </c>
      <c r="X66" s="746">
        <f t="shared" si="16"/>
        <v>18500</v>
      </c>
      <c r="Y66" s="746">
        <f t="shared" si="16"/>
        <v>0</v>
      </c>
    </row>
    <row r="67" spans="2:25" ht="27" customHeight="1" thickTop="1" x14ac:dyDescent="0.35">
      <c r="F67" s="232"/>
    </row>
    <row r="68" spans="2:25" ht="27" customHeight="1" x14ac:dyDescent="0.35">
      <c r="E68" s="236"/>
      <c r="F68" s="84"/>
      <c r="G68" s="236"/>
      <c r="W68" s="232"/>
    </row>
    <row r="69" spans="2:25" ht="27" customHeight="1" x14ac:dyDescent="0.35">
      <c r="E69" s="236"/>
      <c r="F69" s="232"/>
      <c r="W69" s="232"/>
    </row>
    <row r="70" spans="2:25" ht="27" customHeight="1" x14ac:dyDescent="0.35">
      <c r="F70" s="232"/>
      <c r="W70" s="232"/>
      <c r="X70" s="236"/>
    </row>
    <row r="71" spans="2:25" ht="27" customHeight="1" x14ac:dyDescent="0.35">
      <c r="F71" s="232"/>
      <c r="W71" s="232"/>
    </row>
    <row r="72" spans="2:25" ht="27" customHeight="1" x14ac:dyDescent="0.35">
      <c r="C72" s="81"/>
      <c r="F72" s="232"/>
      <c r="W72" s="232"/>
    </row>
    <row r="73" spans="2:25" ht="27" customHeight="1" x14ac:dyDescent="0.35">
      <c r="F73" s="232"/>
      <c r="W73" s="232"/>
    </row>
    <row r="74" spans="2:25" ht="27" customHeight="1" x14ac:dyDescent="0.35">
      <c r="F74" s="10"/>
      <c r="W74" s="232"/>
    </row>
    <row r="75" spans="2:25" ht="27" customHeight="1" x14ac:dyDescent="0.35">
      <c r="D75" s="9"/>
      <c r="F75" s="10"/>
      <c r="W75" s="232"/>
    </row>
    <row r="76" spans="2:25" ht="27" customHeight="1" x14ac:dyDescent="0.35">
      <c r="D76" s="9"/>
      <c r="W76" s="232"/>
    </row>
    <row r="77" spans="2:25" ht="27" customHeight="1" x14ac:dyDescent="0.35">
      <c r="D77" s="9"/>
      <c r="W77" s="232"/>
    </row>
    <row r="78" spans="2:25" ht="27" customHeight="1" x14ac:dyDescent="0.35">
      <c r="D78" s="9"/>
      <c r="W78" s="232"/>
    </row>
    <row r="79" spans="2:25" ht="27" customHeight="1" x14ac:dyDescent="0.35">
      <c r="D79" s="9"/>
      <c r="W79" s="232"/>
    </row>
    <row r="80" spans="2:25" ht="27" customHeight="1" x14ac:dyDescent="0.35">
      <c r="D80" s="9"/>
      <c r="W80" s="232"/>
    </row>
    <row r="81" spans="4:4" ht="27" customHeight="1" x14ac:dyDescent="0.35">
      <c r="D81" s="9"/>
    </row>
    <row r="82" spans="4:4" ht="27" customHeight="1" x14ac:dyDescent="0.35">
      <c r="D82" s="9"/>
    </row>
    <row r="83" spans="4:4" ht="27" customHeight="1" x14ac:dyDescent="0.35">
      <c r="D83" s="9"/>
    </row>
    <row r="84" spans="4:4" ht="27" customHeight="1" x14ac:dyDescent="0.35">
      <c r="D84" s="9"/>
    </row>
    <row r="85" spans="4:4" ht="27" customHeight="1" x14ac:dyDescent="0.35">
      <c r="D85" s="9"/>
    </row>
    <row r="86" spans="4:4" ht="27" customHeight="1" x14ac:dyDescent="0.35">
      <c r="D86" s="9"/>
    </row>
    <row r="87" spans="4:4" ht="27" customHeight="1" x14ac:dyDescent="0.35">
      <c r="D87" s="9"/>
    </row>
    <row r="88" spans="4:4" ht="27" customHeight="1" x14ac:dyDescent="0.35">
      <c r="D88" s="9"/>
    </row>
    <row r="89" spans="4:4" ht="27" customHeight="1" x14ac:dyDescent="0.35">
      <c r="D89" s="9"/>
    </row>
    <row r="90" spans="4:4" ht="27" customHeight="1" x14ac:dyDescent="0.35">
      <c r="D90" s="9"/>
    </row>
    <row r="91" spans="4:4" ht="27" customHeight="1" x14ac:dyDescent="0.35">
      <c r="D91" s="9"/>
    </row>
    <row r="92" spans="4:4" ht="27" customHeight="1" x14ac:dyDescent="0.35">
      <c r="D92" s="9"/>
    </row>
    <row r="93" spans="4:4" ht="27" customHeight="1" x14ac:dyDescent="0.35">
      <c r="D93" s="9"/>
    </row>
    <row r="94" spans="4:4" ht="27" customHeight="1" x14ac:dyDescent="0.35">
      <c r="D94" s="9"/>
    </row>
    <row r="95" spans="4:4" ht="27" customHeight="1" x14ac:dyDescent="0.35">
      <c r="D95" s="9"/>
    </row>
    <row r="96" spans="4:4" ht="27" customHeight="1" x14ac:dyDescent="0.35">
      <c r="D96" s="9"/>
    </row>
    <row r="97" spans="4:4" ht="27" customHeight="1" x14ac:dyDescent="0.35">
      <c r="D97" s="9"/>
    </row>
    <row r="98" spans="4:4" ht="27" customHeight="1" x14ac:dyDescent="0.35">
      <c r="D98" s="9"/>
    </row>
    <row r="99" spans="4:4" ht="27" customHeight="1" x14ac:dyDescent="0.35">
      <c r="D99" s="9"/>
    </row>
    <row r="100" spans="4:4" ht="27" customHeight="1" x14ac:dyDescent="0.35">
      <c r="D100" s="9"/>
    </row>
    <row r="101" spans="4:4" ht="27" customHeight="1" x14ac:dyDescent="0.35">
      <c r="D101" s="9"/>
    </row>
    <row r="102" spans="4:4" ht="27" customHeight="1" x14ac:dyDescent="0.35">
      <c r="D102" s="9"/>
    </row>
    <row r="103" spans="4:4" ht="27" customHeight="1" x14ac:dyDescent="0.35">
      <c r="D103" s="9"/>
    </row>
    <row r="104" spans="4:4" ht="27" customHeight="1" x14ac:dyDescent="0.35">
      <c r="D104" s="9"/>
    </row>
    <row r="105" spans="4:4" ht="27" customHeight="1" x14ac:dyDescent="0.35">
      <c r="D105" s="9"/>
    </row>
    <row r="106" spans="4:4" ht="27" customHeight="1" x14ac:dyDescent="0.35">
      <c r="D106" s="9"/>
    </row>
    <row r="107" spans="4:4" ht="27" customHeight="1" x14ac:dyDescent="0.35">
      <c r="D107" s="9"/>
    </row>
    <row r="108" spans="4:4" ht="27" customHeight="1" x14ac:dyDescent="0.35">
      <c r="D108" s="9"/>
    </row>
    <row r="109" spans="4:4" ht="27" customHeight="1" x14ac:dyDescent="0.35">
      <c r="D109" s="9"/>
    </row>
    <row r="110" spans="4:4" ht="27" customHeight="1" x14ac:dyDescent="0.35">
      <c r="D110" s="9"/>
    </row>
    <row r="111" spans="4:4" ht="27" customHeight="1" x14ac:dyDescent="0.35">
      <c r="D111" s="9"/>
    </row>
    <row r="112" spans="4:4" ht="27" customHeight="1" x14ac:dyDescent="0.35">
      <c r="D112" s="9"/>
    </row>
    <row r="113" spans="4:4" ht="27" customHeight="1" x14ac:dyDescent="0.35">
      <c r="D113" s="9"/>
    </row>
    <row r="114" spans="4:4" ht="27" customHeight="1" x14ac:dyDescent="0.35">
      <c r="D114" s="9"/>
    </row>
    <row r="115" spans="4:4" ht="27" customHeight="1" x14ac:dyDescent="0.35">
      <c r="D115" s="9"/>
    </row>
    <row r="116" spans="4:4" ht="27" customHeight="1" x14ac:dyDescent="0.35">
      <c r="D116" s="9"/>
    </row>
    <row r="117" spans="4:4" ht="27" customHeight="1" x14ac:dyDescent="0.35">
      <c r="D117" s="9"/>
    </row>
    <row r="118" spans="4:4" ht="27" customHeight="1" x14ac:dyDescent="0.35">
      <c r="D118" s="9"/>
    </row>
    <row r="119" spans="4:4" ht="27" customHeight="1" x14ac:dyDescent="0.35">
      <c r="D119" s="9"/>
    </row>
    <row r="120" spans="4:4" ht="27" customHeight="1" x14ac:dyDescent="0.35">
      <c r="D120" s="9"/>
    </row>
    <row r="121" spans="4:4" ht="27" customHeight="1" x14ac:dyDescent="0.35">
      <c r="D121" s="9"/>
    </row>
    <row r="122" spans="4:4" ht="27" customHeight="1" x14ac:dyDescent="0.35">
      <c r="D122" s="9"/>
    </row>
    <row r="123" spans="4:4" ht="27" customHeight="1" x14ac:dyDescent="0.35">
      <c r="D123" s="9"/>
    </row>
    <row r="124" spans="4:4" ht="27" customHeight="1" x14ac:dyDescent="0.35">
      <c r="D124" s="9"/>
    </row>
    <row r="125" spans="4:4" ht="27" customHeight="1" x14ac:dyDescent="0.35">
      <c r="D125" s="9"/>
    </row>
    <row r="126" spans="4:4" ht="27" customHeight="1" x14ac:dyDescent="0.35">
      <c r="D126" s="9"/>
    </row>
    <row r="127" spans="4:4" ht="27" customHeight="1" x14ac:dyDescent="0.35">
      <c r="D127" s="9"/>
    </row>
    <row r="128" spans="4:4" ht="27" customHeight="1" x14ac:dyDescent="0.35">
      <c r="D128" s="9"/>
    </row>
    <row r="129" spans="4:4" ht="27" customHeight="1" x14ac:dyDescent="0.35">
      <c r="D129" s="9"/>
    </row>
    <row r="130" spans="4:4" ht="27" customHeight="1" x14ac:dyDescent="0.35">
      <c r="D130" s="9"/>
    </row>
    <row r="131" spans="4:4" ht="24.95" customHeight="1" x14ac:dyDescent="0.35">
      <c r="D131" s="9"/>
    </row>
    <row r="132" spans="4:4" ht="24.95" customHeight="1" x14ac:dyDescent="0.35">
      <c r="D132" s="9"/>
    </row>
    <row r="133" spans="4:4" ht="24.95" customHeight="1" x14ac:dyDescent="0.35">
      <c r="D133" s="9"/>
    </row>
    <row r="134" spans="4:4" ht="24.95" customHeight="1" x14ac:dyDescent="0.35">
      <c r="D134" s="9"/>
    </row>
    <row r="135" spans="4:4" ht="24.95" customHeight="1" x14ac:dyDescent="0.35">
      <c r="D135" s="9"/>
    </row>
    <row r="136" spans="4:4" ht="24.95" customHeight="1" x14ac:dyDescent="0.35">
      <c r="D136" s="9"/>
    </row>
    <row r="137" spans="4:4" ht="24.95" customHeight="1" x14ac:dyDescent="0.35">
      <c r="D137" s="9"/>
    </row>
    <row r="138" spans="4:4" ht="24.95" customHeight="1" x14ac:dyDescent="0.35">
      <c r="D138" s="9"/>
    </row>
    <row r="139" spans="4:4" ht="24.95" customHeight="1" x14ac:dyDescent="0.35">
      <c r="D139" s="9"/>
    </row>
    <row r="140" spans="4:4" ht="24.95" customHeight="1" x14ac:dyDescent="0.35">
      <c r="D140" s="9"/>
    </row>
    <row r="141" spans="4:4" ht="24.95" customHeight="1" x14ac:dyDescent="0.35">
      <c r="D141" s="9"/>
    </row>
    <row r="142" spans="4:4" ht="24.95" customHeight="1" x14ac:dyDescent="0.35">
      <c r="D142" s="9"/>
    </row>
    <row r="143" spans="4:4" ht="24.95" customHeight="1" x14ac:dyDescent="0.35">
      <c r="D143" s="9"/>
    </row>
    <row r="144" spans="4:4" ht="24.95" customHeight="1" x14ac:dyDescent="0.35">
      <c r="D144" s="9"/>
    </row>
    <row r="145" spans="4:4" ht="24.95" customHeight="1" x14ac:dyDescent="0.35">
      <c r="D145" s="9"/>
    </row>
    <row r="146" spans="4:4" ht="24.95" customHeight="1" x14ac:dyDescent="0.35">
      <c r="D146" s="9"/>
    </row>
    <row r="147" spans="4:4" ht="24.95" customHeight="1" x14ac:dyDescent="0.35">
      <c r="D147" s="9"/>
    </row>
    <row r="148" spans="4:4" ht="24.95" customHeight="1" x14ac:dyDescent="0.35">
      <c r="D148" s="9"/>
    </row>
    <row r="149" spans="4:4" ht="24.95" customHeight="1" x14ac:dyDescent="0.35">
      <c r="D149" s="9"/>
    </row>
    <row r="150" spans="4:4" ht="24.95" customHeight="1" x14ac:dyDescent="0.35">
      <c r="D150" s="9"/>
    </row>
    <row r="151" spans="4:4" ht="24.95" customHeight="1" x14ac:dyDescent="0.35">
      <c r="D151" s="9"/>
    </row>
    <row r="152" spans="4:4" ht="24.95" customHeight="1" x14ac:dyDescent="0.35">
      <c r="D152" s="9"/>
    </row>
    <row r="153" spans="4:4" ht="24.95" customHeight="1" x14ac:dyDescent="0.35">
      <c r="D153" s="9"/>
    </row>
    <row r="154" spans="4:4" ht="24.95" customHeight="1" x14ac:dyDescent="0.35">
      <c r="D154" s="9"/>
    </row>
    <row r="155" spans="4:4" ht="24.95" customHeight="1" x14ac:dyDescent="0.35">
      <c r="D155" s="9"/>
    </row>
    <row r="156" spans="4:4" ht="24.95" customHeight="1" x14ac:dyDescent="0.35">
      <c r="D156" s="9"/>
    </row>
    <row r="157" spans="4:4" ht="24.95" customHeight="1" x14ac:dyDescent="0.35">
      <c r="D157" s="9"/>
    </row>
    <row r="158" spans="4:4" ht="24.95" customHeight="1" x14ac:dyDescent="0.35">
      <c r="D158" s="9"/>
    </row>
    <row r="159" spans="4:4" ht="24.95" customHeight="1" x14ac:dyDescent="0.35">
      <c r="D159" s="9"/>
    </row>
    <row r="160" spans="4:4" ht="24.95" customHeight="1" x14ac:dyDescent="0.35">
      <c r="D160" s="9"/>
    </row>
    <row r="161" spans="4:4" ht="24.95" customHeight="1" x14ac:dyDescent="0.35">
      <c r="D161" s="9"/>
    </row>
    <row r="162" spans="4:4" ht="24.95" customHeight="1" x14ac:dyDescent="0.35">
      <c r="D162" s="9"/>
    </row>
    <row r="163" spans="4:4" ht="24.95" customHeight="1" x14ac:dyDescent="0.35">
      <c r="D163" s="9"/>
    </row>
    <row r="164" spans="4:4" ht="24.95" customHeight="1" x14ac:dyDescent="0.35">
      <c r="D164" s="9"/>
    </row>
    <row r="165" spans="4:4" ht="24.95" customHeight="1" x14ac:dyDescent="0.35">
      <c r="D165" s="9"/>
    </row>
    <row r="166" spans="4:4" ht="24.95" customHeight="1" x14ac:dyDescent="0.35">
      <c r="D166" s="9"/>
    </row>
    <row r="167" spans="4:4" ht="24.95" customHeight="1" x14ac:dyDescent="0.35">
      <c r="D167" s="9"/>
    </row>
    <row r="168" spans="4:4" ht="24.95" customHeight="1" x14ac:dyDescent="0.35">
      <c r="D168" s="9"/>
    </row>
    <row r="169" spans="4:4" ht="24.95" customHeight="1" x14ac:dyDescent="0.35">
      <c r="D169" s="9"/>
    </row>
    <row r="170" spans="4:4" ht="24.95" customHeight="1" x14ac:dyDescent="0.35">
      <c r="D170" s="9"/>
    </row>
    <row r="171" spans="4:4" ht="24.95" customHeight="1" x14ac:dyDescent="0.35">
      <c r="D171" s="9"/>
    </row>
    <row r="172" spans="4:4" ht="24.95" customHeight="1" x14ac:dyDescent="0.35">
      <c r="D172" s="9"/>
    </row>
    <row r="173" spans="4:4" ht="24.95" customHeight="1" x14ac:dyDescent="0.35">
      <c r="D173" s="9"/>
    </row>
    <row r="174" spans="4:4" ht="24.95" customHeight="1" x14ac:dyDescent="0.35">
      <c r="D174" s="9"/>
    </row>
    <row r="175" spans="4:4" ht="24.95" customHeight="1" x14ac:dyDescent="0.35">
      <c r="D175" s="9"/>
    </row>
    <row r="176" spans="4:4" ht="24.95" customHeight="1" x14ac:dyDescent="0.35">
      <c r="D176" s="9"/>
    </row>
    <row r="177" spans="4:4" ht="24.95" customHeight="1" x14ac:dyDescent="0.35">
      <c r="D177" s="9"/>
    </row>
    <row r="178" spans="4:4" ht="24.95" customHeight="1" x14ac:dyDescent="0.35">
      <c r="D178" s="9"/>
    </row>
    <row r="179" spans="4:4" ht="24.95" customHeight="1" x14ac:dyDescent="0.35">
      <c r="D179" s="9"/>
    </row>
    <row r="180" spans="4:4" ht="24.95" customHeight="1" x14ac:dyDescent="0.35">
      <c r="D180" s="9"/>
    </row>
    <row r="181" spans="4:4" ht="24.95" customHeight="1" x14ac:dyDescent="0.35">
      <c r="D181" s="9"/>
    </row>
    <row r="182" spans="4:4" ht="24.95" customHeight="1" x14ac:dyDescent="0.35">
      <c r="D182" s="9"/>
    </row>
    <row r="183" spans="4:4" ht="24.95" customHeight="1" x14ac:dyDescent="0.35">
      <c r="D183" s="9"/>
    </row>
    <row r="184" spans="4:4" ht="24.95" customHeight="1" x14ac:dyDescent="0.35">
      <c r="D184" s="9"/>
    </row>
    <row r="185" spans="4:4" ht="24.95" customHeight="1" x14ac:dyDescent="0.35">
      <c r="D185" s="9"/>
    </row>
    <row r="186" spans="4:4" ht="24.95" customHeight="1" x14ac:dyDescent="0.35">
      <c r="D186" s="9"/>
    </row>
    <row r="187" spans="4:4" ht="24.95" customHeight="1" x14ac:dyDescent="0.35">
      <c r="D187" s="9"/>
    </row>
    <row r="188" spans="4:4" ht="24.95" customHeight="1" x14ac:dyDescent="0.35">
      <c r="D188" s="9"/>
    </row>
    <row r="189" spans="4:4" ht="24.95" customHeight="1" x14ac:dyDescent="0.35">
      <c r="D189" s="9"/>
    </row>
    <row r="190" spans="4:4" ht="24.95" customHeight="1" x14ac:dyDescent="0.35">
      <c r="D190" s="9"/>
    </row>
    <row r="191" spans="4:4" ht="24.95" customHeight="1" x14ac:dyDescent="0.35">
      <c r="D191" s="9"/>
    </row>
    <row r="192" spans="4:4" ht="24.95" customHeight="1" x14ac:dyDescent="0.35">
      <c r="D192" s="9"/>
    </row>
    <row r="193" spans="4:4" ht="24.95" customHeight="1" x14ac:dyDescent="0.35">
      <c r="D193" s="9"/>
    </row>
    <row r="194" spans="4:4" ht="24.95" customHeight="1" x14ac:dyDescent="0.35">
      <c r="D194" s="9"/>
    </row>
    <row r="195" spans="4:4" ht="24.95" customHeight="1" x14ac:dyDescent="0.35">
      <c r="D195" s="9"/>
    </row>
    <row r="196" spans="4:4" ht="24.95" customHeight="1" x14ac:dyDescent="0.35">
      <c r="D196" s="9"/>
    </row>
    <row r="197" spans="4:4" ht="24.95" customHeight="1" x14ac:dyDescent="0.35">
      <c r="D197" s="9"/>
    </row>
    <row r="198" spans="4:4" ht="24.95" customHeight="1" x14ac:dyDescent="0.35">
      <c r="D198" s="9"/>
    </row>
    <row r="199" spans="4:4" ht="24.95" customHeight="1" x14ac:dyDescent="0.35">
      <c r="D199" s="9"/>
    </row>
    <row r="200" spans="4:4" ht="24.95" customHeight="1" x14ac:dyDescent="0.35">
      <c r="D200" s="9"/>
    </row>
    <row r="201" spans="4:4" ht="24.95" customHeight="1" x14ac:dyDescent="0.35">
      <c r="D201" s="9"/>
    </row>
    <row r="202" spans="4:4" ht="24.95" customHeight="1" x14ac:dyDescent="0.35">
      <c r="D202" s="9"/>
    </row>
    <row r="203" spans="4:4" ht="24.95" customHeight="1" x14ac:dyDescent="0.35">
      <c r="D203" s="9"/>
    </row>
    <row r="204" spans="4:4" ht="24.95" customHeight="1" x14ac:dyDescent="0.35">
      <c r="D204" s="9"/>
    </row>
    <row r="205" spans="4:4" ht="24.95" customHeight="1" x14ac:dyDescent="0.35">
      <c r="D205" s="9"/>
    </row>
    <row r="206" spans="4:4" ht="24.95" customHeight="1" x14ac:dyDescent="0.35">
      <c r="D206" s="9"/>
    </row>
    <row r="207" spans="4:4" ht="24.95" customHeight="1" x14ac:dyDescent="0.35">
      <c r="D207" s="9"/>
    </row>
    <row r="208" spans="4:4" ht="24.95" customHeight="1" x14ac:dyDescent="0.35">
      <c r="D208" s="9"/>
    </row>
    <row r="209" spans="4:4" ht="24.95" customHeight="1" x14ac:dyDescent="0.35">
      <c r="D209" s="9"/>
    </row>
    <row r="210" spans="4:4" ht="24.95" customHeight="1" x14ac:dyDescent="0.35">
      <c r="D210" s="9"/>
    </row>
    <row r="211" spans="4:4" ht="24.95" customHeight="1" x14ac:dyDescent="0.35">
      <c r="D211" s="9"/>
    </row>
    <row r="212" spans="4:4" ht="24.95" customHeight="1" x14ac:dyDescent="0.35">
      <c r="D212" s="9"/>
    </row>
    <row r="213" spans="4:4" ht="24.95" customHeight="1" x14ac:dyDescent="0.35">
      <c r="D213" s="9"/>
    </row>
    <row r="214" spans="4:4" ht="24.95" customHeight="1" x14ac:dyDescent="0.35">
      <c r="D214" s="9"/>
    </row>
    <row r="215" spans="4:4" ht="24.95" customHeight="1" x14ac:dyDescent="0.35">
      <c r="D215" s="9"/>
    </row>
    <row r="216" spans="4:4" ht="24.95" customHeight="1" x14ac:dyDescent="0.35">
      <c r="D216" s="9"/>
    </row>
    <row r="217" spans="4:4" ht="24.95" customHeight="1" x14ac:dyDescent="0.35">
      <c r="D217" s="9"/>
    </row>
    <row r="218" spans="4:4" ht="24.95" customHeight="1" x14ac:dyDescent="0.35">
      <c r="D218" s="9"/>
    </row>
    <row r="219" spans="4:4" ht="24.95" customHeight="1" x14ac:dyDescent="0.35">
      <c r="D219" s="9"/>
    </row>
    <row r="220" spans="4:4" ht="24.95" customHeight="1" x14ac:dyDescent="0.35">
      <c r="D220" s="9"/>
    </row>
    <row r="221" spans="4:4" ht="24.95" customHeight="1" x14ac:dyDescent="0.35">
      <c r="D221" s="9"/>
    </row>
    <row r="222" spans="4:4" ht="24.95" customHeight="1" x14ac:dyDescent="0.35">
      <c r="D222" s="9"/>
    </row>
    <row r="223" spans="4:4" ht="24.95" customHeight="1" x14ac:dyDescent="0.35">
      <c r="D223" s="9"/>
    </row>
    <row r="224" spans="4:4" ht="24.95" customHeight="1" x14ac:dyDescent="0.35">
      <c r="D224" s="9"/>
    </row>
    <row r="225" spans="4:4" ht="24.95" customHeight="1" x14ac:dyDescent="0.35">
      <c r="D225" s="9"/>
    </row>
    <row r="226" spans="4:4" ht="24.95" customHeight="1" x14ac:dyDescent="0.35">
      <c r="D226" s="9"/>
    </row>
    <row r="227" spans="4:4" ht="24.95" customHeight="1" x14ac:dyDescent="0.35">
      <c r="D227" s="9"/>
    </row>
    <row r="228" spans="4:4" ht="24.95" customHeight="1" x14ac:dyDescent="0.35">
      <c r="D228" s="9"/>
    </row>
    <row r="229" spans="4:4" ht="24.95" customHeight="1" x14ac:dyDescent="0.35">
      <c r="D229" s="9"/>
    </row>
    <row r="230" spans="4:4" ht="24.95" customHeight="1" x14ac:dyDescent="0.35">
      <c r="D230" s="9"/>
    </row>
    <row r="231" spans="4:4" ht="24.95" customHeight="1" x14ac:dyDescent="0.35">
      <c r="D231" s="9"/>
    </row>
    <row r="232" spans="4:4" ht="24.95" customHeight="1" x14ac:dyDescent="0.35">
      <c r="D232" s="9"/>
    </row>
    <row r="233" spans="4:4" ht="24.95" customHeight="1" x14ac:dyDescent="0.35">
      <c r="D233" s="9"/>
    </row>
    <row r="234" spans="4:4" ht="24.95" customHeight="1" x14ac:dyDescent="0.35">
      <c r="D234" s="9"/>
    </row>
    <row r="235" spans="4:4" ht="24.95" customHeight="1" x14ac:dyDescent="0.35">
      <c r="D235" s="9"/>
    </row>
    <row r="236" spans="4:4" ht="24.95" customHeight="1" x14ac:dyDescent="0.35">
      <c r="D236" s="9"/>
    </row>
    <row r="237" spans="4:4" ht="24.95" customHeight="1" x14ac:dyDescent="0.35">
      <c r="D237" s="9"/>
    </row>
    <row r="238" spans="4:4" ht="24.95" customHeight="1" x14ac:dyDescent="0.35">
      <c r="D238" s="9"/>
    </row>
    <row r="239" spans="4:4" ht="24.95" customHeight="1" x14ac:dyDescent="0.35">
      <c r="D239" s="9"/>
    </row>
    <row r="240" spans="4:4" ht="24.95" customHeight="1" x14ac:dyDescent="0.35">
      <c r="D240" s="9"/>
    </row>
    <row r="241" spans="4:4" ht="24.95" customHeight="1" x14ac:dyDescent="0.35">
      <c r="D241" s="9"/>
    </row>
    <row r="242" spans="4:4" ht="24.95" customHeight="1" x14ac:dyDescent="0.35">
      <c r="D242" s="9"/>
    </row>
    <row r="243" spans="4:4" ht="24.95" customHeight="1" x14ac:dyDescent="0.35">
      <c r="D243" s="9"/>
    </row>
    <row r="244" spans="4:4" ht="24.95" customHeight="1" x14ac:dyDescent="0.35">
      <c r="D244" s="9"/>
    </row>
    <row r="245" spans="4:4" ht="24.95" customHeight="1" x14ac:dyDescent="0.35">
      <c r="D245" s="9"/>
    </row>
    <row r="246" spans="4:4" ht="24.95" customHeight="1" x14ac:dyDescent="0.35">
      <c r="D246" s="9"/>
    </row>
    <row r="247" spans="4:4" ht="24.95" customHeight="1" x14ac:dyDescent="0.35">
      <c r="D247" s="9"/>
    </row>
    <row r="248" spans="4:4" ht="24.95" customHeight="1" x14ac:dyDescent="0.35">
      <c r="D248" s="9"/>
    </row>
    <row r="249" spans="4:4" ht="30.6" customHeight="1" x14ac:dyDescent="0.35">
      <c r="D249" s="9"/>
    </row>
    <row r="250" spans="4:4" ht="20.100000000000001" customHeight="1" x14ac:dyDescent="0.35">
      <c r="D250" s="9"/>
    </row>
    <row r="251" spans="4:4" ht="23.25" x14ac:dyDescent="0.35">
      <c r="D251" s="9"/>
    </row>
    <row r="252" spans="4:4" ht="23.25" x14ac:dyDescent="0.35">
      <c r="D252" s="9"/>
    </row>
    <row r="253" spans="4:4" ht="23.25" x14ac:dyDescent="0.35">
      <c r="D253" s="9"/>
    </row>
    <row r="254" spans="4:4" ht="23.25" x14ac:dyDescent="0.35">
      <c r="D254" s="9"/>
    </row>
    <row r="255" spans="4:4" ht="23.25" x14ac:dyDescent="0.35">
      <c r="D255" s="9"/>
    </row>
    <row r="256" spans="4:4" ht="20.100000000000001" customHeight="1" x14ac:dyDescent="0.35">
      <c r="D256" s="9"/>
    </row>
  </sheetData>
  <autoFilter ref="B4:Y65" xr:uid="{00000000-0001-0000-1500-000000000000}"/>
  <sortState xmlns:xlrd2="http://schemas.microsoft.com/office/spreadsheetml/2017/richdata2" ref="B27:Z45">
    <sortCondition ref="B27:B45"/>
  </sortState>
  <mergeCells count="1">
    <mergeCell ref="B2:C2"/>
  </mergeCells>
  <phoneticPr fontId="27" type="noConversion"/>
  <conditionalFormatting sqref="D5:F65">
    <cfRule type="cellIs" dxfId="79" priority="2" operator="equal">
      <formula>0</formula>
    </cfRule>
  </conditionalFormatting>
  <conditionalFormatting sqref="D74:F248 E7:F45 F15:F64 D43:F44 D46:F65 D67:E73 B249:M249">
    <cfRule type="cellIs" dxfId="78" priority="9" operator="equal">
      <formula>0</formula>
    </cfRule>
  </conditionalFormatting>
  <conditionalFormatting sqref="D143:F248">
    <cfRule type="cellIs" dxfId="77" priority="6" operator="equal">
      <formula>0</formula>
    </cfRule>
    <cfRule type="cellIs" dxfId="76" priority="7" operator="equal">
      <formula>0</formula>
    </cfRule>
    <cfRule type="cellIs" dxfId="75" priority="8" operator="equal">
      <formula>0</formula>
    </cfRule>
  </conditionalFormatting>
  <conditionalFormatting sqref="G5:V65">
    <cfRule type="cellIs" dxfId="74" priority="4" operator="equal">
      <formula>0</formula>
    </cfRule>
  </conditionalFormatting>
  <conditionalFormatting sqref="H5:L65">
    <cfRule type="cellIs" dxfId="73" priority="1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</sheetPr>
  <dimension ref="B1:V219"/>
  <sheetViews>
    <sheetView topLeftCell="A171" zoomScaleNormal="100" workbookViewId="0">
      <selection activeCell="C214" sqref="C214"/>
    </sheetView>
  </sheetViews>
  <sheetFormatPr defaultColWidth="9.140625" defaultRowHeight="26.1" customHeight="1" x14ac:dyDescent="0.25"/>
  <cols>
    <col min="1" max="1" width="3.28515625" style="331" customWidth="1"/>
    <col min="2" max="2" width="17.140625" style="330" customWidth="1"/>
    <col min="3" max="3" width="72.7109375" style="331" customWidth="1"/>
    <col min="4" max="4" width="74.140625" style="331" bestFit="1" customWidth="1"/>
    <col min="5" max="5" width="22.28515625" style="331" bestFit="1" customWidth="1"/>
    <col min="6" max="6" width="21.42578125" style="331" bestFit="1" customWidth="1"/>
    <col min="7" max="7" width="5.28515625" style="331" bestFit="1" customWidth="1"/>
    <col min="8" max="8" width="33" style="331" customWidth="1"/>
    <col min="9" max="9" width="20.140625" style="331" customWidth="1"/>
    <col min="10" max="10" width="17.28515625" style="331" customWidth="1"/>
    <col min="11" max="11" width="17.140625" style="331" bestFit="1" customWidth="1"/>
    <col min="12" max="12" width="4.85546875" style="331" customWidth="1"/>
    <col min="13" max="13" width="5.28515625" style="331" bestFit="1" customWidth="1"/>
    <col min="14" max="14" width="33" style="331" customWidth="1"/>
    <col min="15" max="15" width="19.5703125" style="331" customWidth="1"/>
    <col min="16" max="16" width="15" style="331" bestFit="1" customWidth="1"/>
    <col min="17" max="17" width="17.140625" style="331" bestFit="1" customWidth="1"/>
    <col min="18" max="16384" width="9.140625" style="331"/>
  </cols>
  <sheetData>
    <row r="1" spans="2:22" s="216" customFormat="1" ht="28.5" customHeight="1" x14ac:dyDescent="0.35">
      <c r="B1" s="36"/>
    </row>
    <row r="2" spans="2:22" s="70" customFormat="1" ht="51" x14ac:dyDescent="0.8">
      <c r="B2" s="1055" t="s">
        <v>940</v>
      </c>
      <c r="C2" s="1055"/>
      <c r="D2" s="94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</row>
    <row r="3" spans="2:22" ht="26.1" customHeight="1" x14ac:dyDescent="0.25">
      <c r="B3" s="337"/>
      <c r="C3" s="337"/>
      <c r="D3" s="337"/>
      <c r="E3" s="338"/>
    </row>
    <row r="4" spans="2:22" s="114" customFormat="1" ht="54" customHeight="1" x14ac:dyDescent="0.25">
      <c r="B4" s="1066" t="s">
        <v>1005</v>
      </c>
      <c r="C4" s="1066"/>
      <c r="D4" s="1066"/>
      <c r="E4" s="1066"/>
    </row>
    <row r="5" spans="2:22" ht="15" customHeight="1" thickBot="1" x14ac:dyDescent="0.3"/>
    <row r="6" spans="2:22" ht="42" thickTop="1" thickBot="1" x14ac:dyDescent="0.3">
      <c r="B6" s="436" t="s">
        <v>51</v>
      </c>
      <c r="C6" s="436" t="s">
        <v>57</v>
      </c>
      <c r="D6" s="436" t="s">
        <v>717</v>
      </c>
      <c r="E6" s="436" t="s">
        <v>1102</v>
      </c>
      <c r="F6" s="436" t="s">
        <v>1103</v>
      </c>
    </row>
    <row r="7" spans="2:22" ht="24.95" customHeight="1" thickTop="1" thickBot="1" x14ac:dyDescent="0.3">
      <c r="B7" s="431">
        <v>45066</v>
      </c>
      <c r="C7" s="432" t="s">
        <v>911</v>
      </c>
      <c r="D7" s="433" t="s">
        <v>719</v>
      </c>
      <c r="E7" s="434">
        <v>5400</v>
      </c>
      <c r="F7" s="435"/>
    </row>
    <row r="8" spans="2:22" ht="24.95" customHeight="1" thickBot="1" x14ac:dyDescent="0.3">
      <c r="B8" s="340">
        <v>45066</v>
      </c>
      <c r="C8" s="332" t="s">
        <v>911</v>
      </c>
      <c r="D8" s="333" t="s">
        <v>718</v>
      </c>
      <c r="E8" s="334">
        <v>100</v>
      </c>
      <c r="F8" s="435"/>
      <c r="H8" s="649"/>
    </row>
    <row r="9" spans="2:22" ht="24.95" customHeight="1" thickBot="1" x14ac:dyDescent="0.3">
      <c r="B9" s="340">
        <v>45066</v>
      </c>
      <c r="C9" s="609" t="s">
        <v>1007</v>
      </c>
      <c r="D9" s="333" t="s">
        <v>1008</v>
      </c>
      <c r="E9" s="334">
        <f>5500*2%</f>
        <v>110</v>
      </c>
      <c r="F9" s="435"/>
    </row>
    <row r="10" spans="2:22" ht="24.95" customHeight="1" thickTop="1" thickBot="1" x14ac:dyDescent="0.3">
      <c r="B10" s="340">
        <v>45066</v>
      </c>
      <c r="C10" s="128" t="s">
        <v>720</v>
      </c>
      <c r="D10" s="333" t="s">
        <v>727</v>
      </c>
      <c r="E10" s="334">
        <v>50</v>
      </c>
      <c r="F10" s="435"/>
    </row>
    <row r="11" spans="2:22" ht="24.95" customHeight="1" thickBot="1" x14ac:dyDescent="0.3">
      <c r="B11" s="340">
        <v>45073</v>
      </c>
      <c r="C11" s="332" t="s">
        <v>911</v>
      </c>
      <c r="D11" s="333" t="s">
        <v>719</v>
      </c>
      <c r="E11" s="334">
        <v>100</v>
      </c>
      <c r="F11" s="435"/>
    </row>
    <row r="12" spans="2:22" ht="24.95" customHeight="1" thickBot="1" x14ac:dyDescent="0.3">
      <c r="B12" s="340">
        <v>45073</v>
      </c>
      <c r="C12" s="609" t="s">
        <v>1007</v>
      </c>
      <c r="D12" s="333" t="s">
        <v>1008</v>
      </c>
      <c r="E12" s="334">
        <f>150*2%</f>
        <v>3</v>
      </c>
      <c r="F12" s="435"/>
    </row>
    <row r="13" spans="2:22" ht="24.95" customHeight="1" thickTop="1" thickBot="1" x14ac:dyDescent="0.3">
      <c r="B13" s="340">
        <v>45073</v>
      </c>
      <c r="C13" s="128" t="s">
        <v>720</v>
      </c>
      <c r="D13" s="333" t="s">
        <v>727</v>
      </c>
      <c r="E13" s="334">
        <v>50</v>
      </c>
      <c r="F13" s="435"/>
    </row>
    <row r="14" spans="2:22" s="120" customFormat="1" ht="32.25" customHeight="1" thickTop="1" thickBot="1" x14ac:dyDescent="0.3">
      <c r="B14" s="1067" t="s">
        <v>1</v>
      </c>
      <c r="C14" s="1067"/>
      <c r="D14" s="1067"/>
      <c r="E14" s="438">
        <f>SUM(E7:E13)</f>
        <v>5813</v>
      </c>
      <c r="F14" s="438">
        <f>SUM(F7:F11)</f>
        <v>0</v>
      </c>
    </row>
    <row r="15" spans="2:22" ht="26.1" customHeight="1" thickTop="1" x14ac:dyDescent="0.25">
      <c r="B15" s="337"/>
      <c r="C15" s="337"/>
      <c r="D15" s="337"/>
      <c r="E15" s="338"/>
    </row>
    <row r="16" spans="2:22" s="114" customFormat="1" ht="54" customHeight="1" x14ac:dyDescent="0.25">
      <c r="B16" s="1066" t="s">
        <v>1006</v>
      </c>
      <c r="C16" s="1066"/>
      <c r="D16" s="1066"/>
      <c r="E16" s="1066"/>
    </row>
    <row r="17" spans="2:6" ht="15" customHeight="1" thickBot="1" x14ac:dyDescent="0.3"/>
    <row r="18" spans="2:6" ht="42" thickTop="1" thickBot="1" x14ac:dyDescent="0.3">
      <c r="B18" s="436" t="s">
        <v>51</v>
      </c>
      <c r="C18" s="436" t="s">
        <v>57</v>
      </c>
      <c r="D18" s="436" t="s">
        <v>717</v>
      </c>
      <c r="E18" s="436" t="s">
        <v>1102</v>
      </c>
      <c r="F18" s="436" t="s">
        <v>1103</v>
      </c>
    </row>
    <row r="19" spans="2:6" ht="24.95" customHeight="1" thickTop="1" thickBot="1" x14ac:dyDescent="0.3">
      <c r="B19" s="431">
        <v>45158</v>
      </c>
      <c r="C19" s="437" t="s">
        <v>1101</v>
      </c>
      <c r="D19" s="433" t="s">
        <v>743</v>
      </c>
      <c r="E19" s="434">
        <v>400</v>
      </c>
      <c r="F19" s="435"/>
    </row>
    <row r="20" spans="2:6" s="120" customFormat="1" ht="32.25" customHeight="1" thickTop="1" thickBot="1" x14ac:dyDescent="0.3">
      <c r="B20" s="1067" t="s">
        <v>1</v>
      </c>
      <c r="C20" s="1067"/>
      <c r="D20" s="1067"/>
      <c r="E20" s="438">
        <f>SUM(E19:E19)</f>
        <v>400</v>
      </c>
      <c r="F20" s="438">
        <f>SUM(F19:F19)</f>
        <v>0</v>
      </c>
    </row>
    <row r="21" spans="2:6" ht="26.1" customHeight="1" thickTop="1" x14ac:dyDescent="0.25">
      <c r="B21" s="337"/>
      <c r="C21" s="337"/>
      <c r="D21" s="337"/>
      <c r="E21" s="338"/>
    </row>
    <row r="22" spans="2:6" s="114" customFormat="1" ht="54" customHeight="1" x14ac:dyDescent="0.25">
      <c r="B22" s="1066" t="s">
        <v>1010</v>
      </c>
      <c r="C22" s="1066"/>
      <c r="D22" s="1066"/>
      <c r="E22" s="1066"/>
    </row>
    <row r="23" spans="2:6" ht="15" customHeight="1" thickBot="1" x14ac:dyDescent="0.3"/>
    <row r="24" spans="2:6" ht="42" thickTop="1" thickBot="1" x14ac:dyDescent="0.3">
      <c r="B24" s="436" t="s">
        <v>51</v>
      </c>
      <c r="C24" s="436" t="s">
        <v>57</v>
      </c>
      <c r="D24" s="436" t="s">
        <v>717</v>
      </c>
      <c r="E24" s="436" t="s">
        <v>1102</v>
      </c>
      <c r="F24" s="436" t="s">
        <v>1103</v>
      </c>
    </row>
    <row r="25" spans="2:6" ht="24.95" customHeight="1" thickTop="1" thickBot="1" x14ac:dyDescent="0.35">
      <c r="B25" s="431">
        <v>45205</v>
      </c>
      <c r="C25" s="95" t="s">
        <v>722</v>
      </c>
      <c r="D25" s="433" t="s">
        <v>721</v>
      </c>
      <c r="E25" s="434">
        <v>1300</v>
      </c>
      <c r="F25" s="435"/>
    </row>
    <row r="26" spans="2:6" ht="24.95" customHeight="1" thickBot="1" x14ac:dyDescent="0.3">
      <c r="B26" s="340">
        <v>45205</v>
      </c>
      <c r="C26" s="609" t="s">
        <v>1007</v>
      </c>
      <c r="D26" s="333" t="s">
        <v>1008</v>
      </c>
      <c r="E26" s="434">
        <f>1400*2%</f>
        <v>28</v>
      </c>
      <c r="F26" s="435"/>
    </row>
    <row r="27" spans="2:6" ht="24.95" customHeight="1" thickTop="1" thickBot="1" x14ac:dyDescent="0.35">
      <c r="B27" s="340">
        <v>45205</v>
      </c>
      <c r="C27" s="83" t="s">
        <v>722</v>
      </c>
      <c r="D27" s="333" t="s">
        <v>723</v>
      </c>
      <c r="E27" s="334">
        <v>100</v>
      </c>
      <c r="F27" s="335"/>
    </row>
    <row r="28" spans="2:6" ht="24.95" customHeight="1" thickTop="1" thickBot="1" x14ac:dyDescent="0.35">
      <c r="B28" s="340">
        <v>45209</v>
      </c>
      <c r="C28" s="83" t="s">
        <v>724</v>
      </c>
      <c r="D28" s="333" t="s">
        <v>754</v>
      </c>
      <c r="E28" s="334">
        <v>100</v>
      </c>
      <c r="F28" s="335"/>
    </row>
    <row r="29" spans="2:6" ht="24.95" customHeight="1" thickBot="1" x14ac:dyDescent="0.3">
      <c r="B29" s="340">
        <v>45209</v>
      </c>
      <c r="C29" s="609" t="s">
        <v>1007</v>
      </c>
      <c r="D29" s="333" t="s">
        <v>1008</v>
      </c>
      <c r="E29" s="334">
        <f>300*2%</f>
        <v>6</v>
      </c>
      <c r="F29" s="335"/>
    </row>
    <row r="30" spans="2:6" ht="24.95" customHeight="1" thickTop="1" thickBot="1" x14ac:dyDescent="0.35">
      <c r="B30" s="340">
        <v>45211</v>
      </c>
      <c r="C30" s="83" t="s">
        <v>724</v>
      </c>
      <c r="D30" s="333" t="s">
        <v>754</v>
      </c>
      <c r="E30" s="334">
        <v>100</v>
      </c>
      <c r="F30" s="335"/>
    </row>
    <row r="31" spans="2:6" ht="24.95" customHeight="1" thickTop="1" thickBot="1" x14ac:dyDescent="0.35">
      <c r="B31" s="340">
        <v>45212</v>
      </c>
      <c r="C31" s="83" t="s">
        <v>724</v>
      </c>
      <c r="D31" s="333" t="s">
        <v>725</v>
      </c>
      <c r="E31" s="334">
        <v>100</v>
      </c>
      <c r="F31" s="336"/>
    </row>
    <row r="32" spans="2:6" s="120" customFormat="1" ht="32.25" customHeight="1" thickTop="1" thickBot="1" x14ac:dyDescent="0.3">
      <c r="B32" s="1067" t="s">
        <v>1</v>
      </c>
      <c r="C32" s="1067"/>
      <c r="D32" s="1067"/>
      <c r="E32" s="430">
        <f>SUM(E25:E31)</f>
        <v>1734</v>
      </c>
      <c r="F32" s="430">
        <f>SUM(F25:F31)</f>
        <v>0</v>
      </c>
    </row>
    <row r="33" spans="2:6" ht="26.1" customHeight="1" thickTop="1" x14ac:dyDescent="0.25">
      <c r="B33" s="337"/>
      <c r="C33" s="337"/>
      <c r="D33" s="337"/>
      <c r="E33" s="338"/>
    </row>
    <row r="34" spans="2:6" s="114" customFormat="1" ht="54" customHeight="1" x14ac:dyDescent="0.25">
      <c r="B34" s="1066" t="s">
        <v>1011</v>
      </c>
      <c r="C34" s="1066"/>
      <c r="D34" s="1066"/>
      <c r="E34" s="1066"/>
    </row>
    <row r="35" spans="2:6" ht="15" customHeight="1" thickBot="1" x14ac:dyDescent="0.3"/>
    <row r="36" spans="2:6" ht="42" thickTop="1" thickBot="1" x14ac:dyDescent="0.3">
      <c r="B36" s="436" t="s">
        <v>51</v>
      </c>
      <c r="C36" s="436" t="s">
        <v>57</v>
      </c>
      <c r="D36" s="436" t="s">
        <v>717</v>
      </c>
      <c r="E36" s="436" t="s">
        <v>1102</v>
      </c>
      <c r="F36" s="436" t="s">
        <v>1103</v>
      </c>
    </row>
    <row r="37" spans="2:6" ht="24.95" customHeight="1" thickTop="1" thickBot="1" x14ac:dyDescent="0.35">
      <c r="B37" s="431">
        <v>45349</v>
      </c>
      <c r="C37" s="95" t="s">
        <v>724</v>
      </c>
      <c r="D37" s="433" t="s">
        <v>741</v>
      </c>
      <c r="E37" s="434">
        <v>100</v>
      </c>
      <c r="F37" s="435"/>
    </row>
    <row r="38" spans="2:6" ht="24.95" customHeight="1" thickBot="1" x14ac:dyDescent="0.3">
      <c r="B38" s="340">
        <v>45349</v>
      </c>
      <c r="C38" s="610" t="s">
        <v>1007</v>
      </c>
      <c r="D38" s="611" t="s">
        <v>1008</v>
      </c>
      <c r="E38" s="434">
        <f>150*2%</f>
        <v>3</v>
      </c>
      <c r="F38" s="435"/>
    </row>
    <row r="39" spans="2:6" ht="24.95" customHeight="1" thickTop="1" thickBot="1" x14ac:dyDescent="0.3">
      <c r="B39" s="340">
        <v>45349</v>
      </c>
      <c r="C39" s="128" t="s">
        <v>720</v>
      </c>
      <c r="D39" s="333" t="s">
        <v>727</v>
      </c>
      <c r="E39" s="334">
        <v>50</v>
      </c>
      <c r="F39" s="335"/>
    </row>
    <row r="40" spans="2:6" s="120" customFormat="1" ht="32.25" customHeight="1" thickTop="1" thickBot="1" x14ac:dyDescent="0.3">
      <c r="B40" s="1067" t="s">
        <v>1</v>
      </c>
      <c r="C40" s="1067"/>
      <c r="D40" s="1067"/>
      <c r="E40" s="430">
        <f>SUM(E37:E39)</f>
        <v>153</v>
      </c>
      <c r="F40" s="430">
        <f>SUM(F37:F39)</f>
        <v>0</v>
      </c>
    </row>
    <row r="41" spans="2:6" ht="26.1" customHeight="1" thickTop="1" x14ac:dyDescent="0.25">
      <c r="B41" s="337"/>
      <c r="C41" s="337"/>
      <c r="D41" s="337"/>
      <c r="E41" s="338"/>
    </row>
    <row r="42" spans="2:6" s="114" customFormat="1" ht="54" customHeight="1" x14ac:dyDescent="0.25">
      <c r="B42" s="1066" t="s">
        <v>1012</v>
      </c>
      <c r="C42" s="1066"/>
      <c r="D42" s="1066"/>
      <c r="E42" s="1066"/>
    </row>
    <row r="43" spans="2:6" ht="15" customHeight="1" thickBot="1" x14ac:dyDescent="0.3"/>
    <row r="44" spans="2:6" ht="42" thickTop="1" thickBot="1" x14ac:dyDescent="0.3">
      <c r="B44" s="436" t="s">
        <v>51</v>
      </c>
      <c r="C44" s="436" t="s">
        <v>57</v>
      </c>
      <c r="D44" s="436" t="s">
        <v>717</v>
      </c>
      <c r="E44" s="436" t="s">
        <v>1102</v>
      </c>
      <c r="F44" s="436" t="s">
        <v>1103</v>
      </c>
    </row>
    <row r="45" spans="2:6" ht="24.75" thickTop="1" thickBot="1" x14ac:dyDescent="0.3">
      <c r="B45" s="431">
        <v>45398</v>
      </c>
      <c r="C45" s="437" t="s">
        <v>728</v>
      </c>
      <c r="D45" s="437" t="s">
        <v>732</v>
      </c>
      <c r="E45" s="434">
        <v>80</v>
      </c>
      <c r="F45" s="435"/>
    </row>
    <row r="46" spans="2:6" ht="24.75" thickTop="1" thickBot="1" x14ac:dyDescent="0.3">
      <c r="B46" s="340">
        <v>45398</v>
      </c>
      <c r="C46" s="128" t="s">
        <v>731</v>
      </c>
      <c r="D46" s="128" t="s">
        <v>733</v>
      </c>
      <c r="E46" s="334">
        <v>120</v>
      </c>
      <c r="F46" s="335"/>
    </row>
    <row r="47" spans="2:6" ht="24.75" thickTop="1" thickBot="1" x14ac:dyDescent="0.3">
      <c r="B47" s="340">
        <v>45398</v>
      </c>
      <c r="C47" s="128" t="s">
        <v>738</v>
      </c>
      <c r="D47" s="128" t="s">
        <v>739</v>
      </c>
      <c r="E47" s="334">
        <v>300</v>
      </c>
      <c r="F47" s="335"/>
    </row>
    <row r="48" spans="2:6" ht="24.75" thickTop="1" thickBot="1" x14ac:dyDescent="0.3">
      <c r="B48" s="340">
        <v>45398</v>
      </c>
      <c r="C48" s="332" t="s">
        <v>737</v>
      </c>
      <c r="D48" s="128" t="s">
        <v>683</v>
      </c>
      <c r="E48" s="334">
        <v>150</v>
      </c>
      <c r="F48" s="335"/>
    </row>
    <row r="49" spans="2:6" ht="24.95" customHeight="1" thickTop="1" thickBot="1" x14ac:dyDescent="0.3">
      <c r="B49" s="340">
        <v>45398</v>
      </c>
      <c r="C49" s="332" t="s">
        <v>720</v>
      </c>
      <c r="D49" s="128" t="s">
        <v>740</v>
      </c>
      <c r="E49" s="334">
        <v>150</v>
      </c>
      <c r="F49" s="335"/>
    </row>
    <row r="50" spans="2:6" ht="24.95" customHeight="1" thickBot="1" x14ac:dyDescent="0.3">
      <c r="B50" s="340">
        <v>45398</v>
      </c>
      <c r="C50" s="610" t="s">
        <v>1007</v>
      </c>
      <c r="D50" s="611" t="s">
        <v>1008</v>
      </c>
      <c r="E50" s="334">
        <f>800*2%</f>
        <v>16</v>
      </c>
      <c r="F50" s="335"/>
    </row>
    <row r="51" spans="2:6" ht="24.95" customHeight="1" thickTop="1" thickBot="1" x14ac:dyDescent="0.3">
      <c r="B51" s="340">
        <v>45406</v>
      </c>
      <c r="C51" s="332" t="s">
        <v>729</v>
      </c>
      <c r="D51" s="128" t="s">
        <v>556</v>
      </c>
      <c r="E51" s="334">
        <v>500</v>
      </c>
      <c r="F51" s="335"/>
    </row>
    <row r="52" spans="2:6" ht="24.95" customHeight="1" thickBot="1" x14ac:dyDescent="0.3">
      <c r="B52" s="340">
        <v>45406</v>
      </c>
      <c r="C52" s="610" t="s">
        <v>1007</v>
      </c>
      <c r="D52" s="611" t="s">
        <v>1008</v>
      </c>
      <c r="E52" s="334">
        <f>750*2%</f>
        <v>15</v>
      </c>
      <c r="F52" s="335"/>
    </row>
    <row r="53" spans="2:6" ht="24.95" customHeight="1" thickBot="1" x14ac:dyDescent="0.3">
      <c r="B53" s="340">
        <v>45406</v>
      </c>
      <c r="C53" s="332" t="s">
        <v>737</v>
      </c>
      <c r="D53" s="333" t="s">
        <v>749</v>
      </c>
      <c r="E53" s="334">
        <v>150</v>
      </c>
      <c r="F53" s="335"/>
    </row>
    <row r="54" spans="2:6" ht="24.95" customHeight="1" thickBot="1" x14ac:dyDescent="0.3">
      <c r="B54" s="340">
        <v>45406</v>
      </c>
      <c r="C54" s="332" t="s">
        <v>747</v>
      </c>
      <c r="D54" s="333" t="s">
        <v>1009</v>
      </c>
      <c r="E54" s="334">
        <v>100</v>
      </c>
      <c r="F54" s="336"/>
    </row>
    <row r="55" spans="2:6" s="120" customFormat="1" ht="32.25" customHeight="1" thickTop="1" thickBot="1" x14ac:dyDescent="0.3">
      <c r="B55" s="1067" t="s">
        <v>1</v>
      </c>
      <c r="C55" s="1067"/>
      <c r="D55" s="1067"/>
      <c r="E55" s="430">
        <f>SUM(E45:E54)</f>
        <v>1581</v>
      </c>
      <c r="F55" s="430">
        <f>SUM(F45:F54)</f>
        <v>0</v>
      </c>
    </row>
    <row r="56" spans="2:6" ht="26.1" customHeight="1" thickTop="1" x14ac:dyDescent="0.25">
      <c r="B56" s="337"/>
      <c r="C56" s="337"/>
      <c r="D56" s="337"/>
      <c r="E56" s="338"/>
    </row>
    <row r="57" spans="2:6" s="114" customFormat="1" ht="54" customHeight="1" x14ac:dyDescent="0.25">
      <c r="B57" s="1066" t="s">
        <v>1013</v>
      </c>
      <c r="C57" s="1066"/>
      <c r="D57" s="1066"/>
      <c r="E57" s="1066"/>
    </row>
    <row r="58" spans="2:6" ht="15" customHeight="1" thickBot="1" x14ac:dyDescent="0.3"/>
    <row r="59" spans="2:6" ht="42" thickTop="1" thickBot="1" x14ac:dyDescent="0.3">
      <c r="B59" s="436" t="s">
        <v>51</v>
      </c>
      <c r="C59" s="436" t="s">
        <v>57</v>
      </c>
      <c r="D59" s="436" t="s">
        <v>717</v>
      </c>
      <c r="E59" s="436" t="s">
        <v>1102</v>
      </c>
      <c r="F59" s="436" t="s">
        <v>1103</v>
      </c>
    </row>
    <row r="60" spans="2:6" ht="24.95" customHeight="1" thickTop="1" thickBot="1" x14ac:dyDescent="0.3">
      <c r="B60" s="431">
        <v>45420</v>
      </c>
      <c r="C60" s="437" t="s">
        <v>728</v>
      </c>
      <c r="D60" s="437" t="s">
        <v>734</v>
      </c>
      <c r="E60" s="434">
        <v>40</v>
      </c>
      <c r="F60" s="435"/>
    </row>
    <row r="61" spans="2:6" ht="24.75" thickTop="1" thickBot="1" x14ac:dyDescent="0.3">
      <c r="B61" s="340">
        <v>45420</v>
      </c>
      <c r="C61" s="128" t="s">
        <v>738</v>
      </c>
      <c r="D61" s="128" t="s">
        <v>739</v>
      </c>
      <c r="E61" s="334">
        <v>300</v>
      </c>
      <c r="F61" s="335"/>
    </row>
    <row r="62" spans="2:6" ht="24.75" thickTop="1" thickBot="1" x14ac:dyDescent="0.3">
      <c r="B62" s="340">
        <v>45420</v>
      </c>
      <c r="C62" s="332" t="s">
        <v>737</v>
      </c>
      <c r="D62" s="128" t="s">
        <v>683</v>
      </c>
      <c r="E62" s="334">
        <v>150</v>
      </c>
      <c r="F62" s="335"/>
    </row>
    <row r="63" spans="2:6" ht="24.75" thickTop="1" thickBot="1" x14ac:dyDescent="0.3">
      <c r="B63" s="340">
        <v>45420</v>
      </c>
      <c r="C63" s="332" t="s">
        <v>720</v>
      </c>
      <c r="D63" s="128" t="s">
        <v>740</v>
      </c>
      <c r="E63" s="334">
        <v>150</v>
      </c>
      <c r="F63" s="335"/>
    </row>
    <row r="64" spans="2:6" ht="24" thickBot="1" x14ac:dyDescent="0.3">
      <c r="B64" s="340">
        <v>45420</v>
      </c>
      <c r="C64" s="610" t="s">
        <v>1007</v>
      </c>
      <c r="D64" s="611" t="s">
        <v>1008</v>
      </c>
      <c r="E64" s="334">
        <f>640*2%</f>
        <v>12.8</v>
      </c>
      <c r="F64" s="335"/>
    </row>
    <row r="65" spans="2:6" ht="24" thickBot="1" x14ac:dyDescent="0.3">
      <c r="B65" s="340">
        <v>45422</v>
      </c>
      <c r="C65" s="332" t="s">
        <v>735</v>
      </c>
      <c r="D65" s="333" t="s">
        <v>736</v>
      </c>
      <c r="E65" s="334">
        <v>15200</v>
      </c>
      <c r="F65" s="335"/>
    </row>
    <row r="66" spans="2:6" ht="24" thickBot="1" x14ac:dyDescent="0.3">
      <c r="B66" s="340">
        <v>45422</v>
      </c>
      <c r="C66" s="610" t="s">
        <v>1007</v>
      </c>
      <c r="D66" s="611" t="s">
        <v>1008</v>
      </c>
      <c r="E66" s="334">
        <f>E65*2%</f>
        <v>304</v>
      </c>
      <c r="F66" s="335"/>
    </row>
    <row r="67" spans="2:6" ht="24.75" thickTop="1" thickBot="1" x14ac:dyDescent="0.3">
      <c r="B67" s="340">
        <v>45440</v>
      </c>
      <c r="C67" s="332" t="s">
        <v>737</v>
      </c>
      <c r="D67" s="128" t="s">
        <v>683</v>
      </c>
      <c r="E67" s="334">
        <v>100</v>
      </c>
      <c r="F67" s="335"/>
    </row>
    <row r="68" spans="2:6" ht="24.75" thickTop="1" thickBot="1" x14ac:dyDescent="0.3">
      <c r="B68" s="340">
        <v>45440</v>
      </c>
      <c r="C68" s="332" t="s">
        <v>720</v>
      </c>
      <c r="D68" s="128" t="s">
        <v>740</v>
      </c>
      <c r="E68" s="334">
        <v>100</v>
      </c>
      <c r="F68" s="336"/>
    </row>
    <row r="69" spans="2:6" ht="24" thickBot="1" x14ac:dyDescent="0.3">
      <c r="B69" s="340">
        <v>45441</v>
      </c>
      <c r="C69" s="610" t="s">
        <v>1007</v>
      </c>
      <c r="D69" s="611" t="s">
        <v>1008</v>
      </c>
      <c r="E69" s="334">
        <f>200*2%</f>
        <v>4</v>
      </c>
      <c r="F69" s="336"/>
    </row>
    <row r="70" spans="2:6" ht="24.95" customHeight="1" thickTop="1" thickBot="1" x14ac:dyDescent="0.3">
      <c r="B70" s="340">
        <v>45441</v>
      </c>
      <c r="C70" s="128" t="s">
        <v>728</v>
      </c>
      <c r="D70" s="128" t="s">
        <v>734</v>
      </c>
      <c r="E70" s="334">
        <v>45</v>
      </c>
      <c r="F70" s="336"/>
    </row>
    <row r="71" spans="2:6" ht="24.95" customHeight="1" thickBot="1" x14ac:dyDescent="0.3">
      <c r="B71" s="340">
        <v>45441</v>
      </c>
      <c r="C71" s="610" t="s">
        <v>1007</v>
      </c>
      <c r="D71" s="611" t="s">
        <v>1008</v>
      </c>
      <c r="E71" s="334">
        <f>245*2%</f>
        <v>4.9000000000000004</v>
      </c>
      <c r="F71" s="336"/>
    </row>
    <row r="72" spans="2:6" ht="24.95" customHeight="1" thickTop="1" thickBot="1" x14ac:dyDescent="0.3">
      <c r="B72" s="340">
        <v>45441</v>
      </c>
      <c r="C72" s="332" t="s">
        <v>737</v>
      </c>
      <c r="D72" s="128" t="s">
        <v>683</v>
      </c>
      <c r="E72" s="334">
        <v>100</v>
      </c>
      <c r="F72" s="336"/>
    </row>
    <row r="73" spans="2:6" ht="24.95" customHeight="1" thickTop="1" thickBot="1" x14ac:dyDescent="0.3">
      <c r="B73" s="340">
        <v>45441</v>
      </c>
      <c r="C73" s="332" t="s">
        <v>720</v>
      </c>
      <c r="D73" s="128" t="s">
        <v>740</v>
      </c>
      <c r="E73" s="334">
        <v>100</v>
      </c>
      <c r="F73" s="336"/>
    </row>
    <row r="74" spans="2:6" s="120" customFormat="1" ht="32.25" customHeight="1" thickTop="1" thickBot="1" x14ac:dyDescent="0.3">
      <c r="B74" s="1067" t="s">
        <v>1</v>
      </c>
      <c r="C74" s="1067"/>
      <c r="D74" s="1067"/>
      <c r="E74" s="430">
        <f>SUM(E60:E73)</f>
        <v>16610.7</v>
      </c>
      <c r="F74" s="430">
        <f>SUM(F60:F73)</f>
        <v>0</v>
      </c>
    </row>
    <row r="75" spans="2:6" ht="26.1" customHeight="1" thickTop="1" x14ac:dyDescent="0.25">
      <c r="B75" s="337"/>
      <c r="C75" s="337"/>
      <c r="D75" s="337"/>
      <c r="E75" s="338"/>
    </row>
    <row r="76" spans="2:6" s="114" customFormat="1" ht="54" customHeight="1" x14ac:dyDescent="0.25">
      <c r="B76" s="1066" t="s">
        <v>1014</v>
      </c>
      <c r="C76" s="1066"/>
      <c r="D76" s="1066"/>
      <c r="E76" s="1066"/>
    </row>
    <row r="77" spans="2:6" ht="15" customHeight="1" thickBot="1" x14ac:dyDescent="0.3"/>
    <row r="78" spans="2:6" ht="42" thickTop="1" thickBot="1" x14ac:dyDescent="0.3">
      <c r="B78" s="436" t="s">
        <v>51</v>
      </c>
      <c r="C78" s="436" t="s">
        <v>57</v>
      </c>
      <c r="D78" s="436" t="s">
        <v>717</v>
      </c>
      <c r="E78" s="436" t="s">
        <v>1102</v>
      </c>
      <c r="F78" s="436" t="s">
        <v>1103</v>
      </c>
    </row>
    <row r="79" spans="2:6" ht="24.95" customHeight="1" thickTop="1" thickBot="1" x14ac:dyDescent="0.3">
      <c r="B79" s="431">
        <v>45467</v>
      </c>
      <c r="C79" s="432" t="s">
        <v>735</v>
      </c>
      <c r="D79" s="433" t="s">
        <v>736</v>
      </c>
      <c r="E79" s="434">
        <v>2500</v>
      </c>
      <c r="F79" s="435"/>
    </row>
    <row r="80" spans="2:6" ht="24.95" customHeight="1" thickBot="1" x14ac:dyDescent="0.3">
      <c r="B80" s="431">
        <v>45467</v>
      </c>
      <c r="C80" s="610" t="s">
        <v>1007</v>
      </c>
      <c r="D80" s="611" t="s">
        <v>1008</v>
      </c>
      <c r="E80" s="434">
        <f>2600*2%</f>
        <v>52</v>
      </c>
      <c r="F80" s="435"/>
    </row>
    <row r="81" spans="2:6" ht="24.95" customHeight="1" thickTop="1" thickBot="1" x14ac:dyDescent="0.3">
      <c r="B81" s="340">
        <v>45467</v>
      </c>
      <c r="C81" s="332" t="s">
        <v>737</v>
      </c>
      <c r="D81" s="128" t="s">
        <v>683</v>
      </c>
      <c r="E81" s="334">
        <v>100</v>
      </c>
      <c r="F81" s="335"/>
    </row>
    <row r="82" spans="2:6" s="120" customFormat="1" ht="32.25" customHeight="1" thickTop="1" thickBot="1" x14ac:dyDescent="0.3">
      <c r="B82" s="1067" t="s">
        <v>1</v>
      </c>
      <c r="C82" s="1067"/>
      <c r="D82" s="1067"/>
      <c r="E82" s="430">
        <f>SUM(E79:E81)</f>
        <v>2652</v>
      </c>
      <c r="F82" s="430">
        <f>SUM(F79:F81)</f>
        <v>0</v>
      </c>
    </row>
    <row r="83" spans="2:6" ht="26.1" customHeight="1" thickTop="1" x14ac:dyDescent="0.25">
      <c r="B83" s="337"/>
      <c r="C83" s="337"/>
      <c r="D83" s="337"/>
      <c r="E83" s="338"/>
    </row>
    <row r="84" spans="2:6" s="114" customFormat="1" ht="54" customHeight="1" x14ac:dyDescent="0.25">
      <c r="B84" s="1066" t="s">
        <v>1015</v>
      </c>
      <c r="C84" s="1066"/>
      <c r="D84" s="1066"/>
      <c r="E84" s="1066"/>
    </row>
    <row r="85" spans="2:6" ht="15" customHeight="1" thickBot="1" x14ac:dyDescent="0.3"/>
    <row r="86" spans="2:6" ht="42" thickTop="1" thickBot="1" x14ac:dyDescent="0.3">
      <c r="B86" s="436" t="s">
        <v>51</v>
      </c>
      <c r="C86" s="436" t="s">
        <v>57</v>
      </c>
      <c r="D86" s="436" t="s">
        <v>717</v>
      </c>
      <c r="E86" s="436" t="s">
        <v>1102</v>
      </c>
      <c r="F86" s="436" t="s">
        <v>1103</v>
      </c>
    </row>
    <row r="87" spans="2:6" ht="24.95" customHeight="1" thickTop="1" thickBot="1" x14ac:dyDescent="0.3">
      <c r="B87" s="431">
        <v>45525</v>
      </c>
      <c r="C87" s="432" t="s">
        <v>735</v>
      </c>
      <c r="D87" s="433" t="s">
        <v>736</v>
      </c>
      <c r="E87" s="434">
        <v>3500</v>
      </c>
      <c r="F87" s="435"/>
    </row>
    <row r="88" spans="2:6" ht="24.95" customHeight="1" thickBot="1" x14ac:dyDescent="0.3">
      <c r="B88" s="431">
        <v>45525</v>
      </c>
      <c r="C88" s="610" t="s">
        <v>1007</v>
      </c>
      <c r="D88" s="611" t="s">
        <v>1008</v>
      </c>
      <c r="E88" s="434">
        <f>3600*2%</f>
        <v>72</v>
      </c>
      <c r="F88" s="435"/>
    </row>
    <row r="89" spans="2:6" ht="24.95" customHeight="1" thickTop="1" thickBot="1" x14ac:dyDescent="0.3">
      <c r="B89" s="340">
        <v>45525</v>
      </c>
      <c r="C89" s="332" t="s">
        <v>737</v>
      </c>
      <c r="D89" s="128" t="s">
        <v>683</v>
      </c>
      <c r="E89" s="334">
        <v>100</v>
      </c>
      <c r="F89" s="335"/>
    </row>
    <row r="90" spans="2:6" s="120" customFormat="1" ht="32.25" customHeight="1" thickTop="1" thickBot="1" x14ac:dyDescent="0.3">
      <c r="B90" s="1067" t="s">
        <v>1</v>
      </c>
      <c r="C90" s="1067"/>
      <c r="D90" s="1067"/>
      <c r="E90" s="430">
        <f>SUM(E87:E89)</f>
        <v>3672</v>
      </c>
      <c r="F90" s="430">
        <f>SUM(F87:F89)</f>
        <v>0</v>
      </c>
    </row>
    <row r="91" spans="2:6" ht="26.1" customHeight="1" thickTop="1" x14ac:dyDescent="0.25">
      <c r="B91" s="337"/>
      <c r="C91" s="337"/>
      <c r="D91" s="337"/>
      <c r="E91" s="338"/>
    </row>
    <row r="92" spans="2:6" s="114" customFormat="1" ht="54" customHeight="1" x14ac:dyDescent="0.25">
      <c r="B92" s="1066" t="s">
        <v>1016</v>
      </c>
      <c r="C92" s="1066"/>
      <c r="D92" s="1066"/>
      <c r="E92" s="1066"/>
    </row>
    <row r="93" spans="2:6" ht="15" customHeight="1" thickBot="1" x14ac:dyDescent="0.3"/>
    <row r="94" spans="2:6" ht="42" thickTop="1" thickBot="1" x14ac:dyDescent="0.3">
      <c r="B94" s="436" t="s">
        <v>51</v>
      </c>
      <c r="C94" s="436" t="s">
        <v>57</v>
      </c>
      <c r="D94" s="436" t="s">
        <v>717</v>
      </c>
      <c r="E94" s="436" t="s">
        <v>1102</v>
      </c>
      <c r="F94" s="436" t="s">
        <v>1103</v>
      </c>
    </row>
    <row r="95" spans="2:6" ht="24.95" customHeight="1" thickTop="1" thickBot="1" x14ac:dyDescent="0.3">
      <c r="B95" s="431">
        <v>45665</v>
      </c>
      <c r="C95" s="432" t="s">
        <v>735</v>
      </c>
      <c r="D95" s="433" t="s">
        <v>736</v>
      </c>
      <c r="E95" s="434">
        <v>2100</v>
      </c>
      <c r="F95" s="435"/>
    </row>
    <row r="96" spans="2:6" ht="24.95" customHeight="1" thickTop="1" thickBot="1" x14ac:dyDescent="0.3">
      <c r="B96" s="340">
        <v>45665</v>
      </c>
      <c r="C96" s="332" t="s">
        <v>737</v>
      </c>
      <c r="D96" s="128" t="s">
        <v>683</v>
      </c>
      <c r="E96" s="334">
        <v>100</v>
      </c>
      <c r="F96" s="335"/>
    </row>
    <row r="97" spans="2:6" ht="24.95" customHeight="1" thickBot="1" x14ac:dyDescent="0.3">
      <c r="B97" s="339">
        <v>45665</v>
      </c>
      <c r="C97" s="610" t="s">
        <v>1007</v>
      </c>
      <c r="D97" s="611" t="s">
        <v>1008</v>
      </c>
      <c r="E97" s="334">
        <f>2100*1%</f>
        <v>21</v>
      </c>
      <c r="F97" s="335"/>
    </row>
    <row r="98" spans="2:6" ht="24" thickBot="1" x14ac:dyDescent="0.3">
      <c r="B98" s="340">
        <v>45674</v>
      </c>
      <c r="C98" s="332" t="s">
        <v>735</v>
      </c>
      <c r="D98" s="333" t="s">
        <v>736</v>
      </c>
      <c r="E98" s="334">
        <v>1500</v>
      </c>
      <c r="F98" s="335"/>
    </row>
    <row r="99" spans="2:6" ht="24" thickBot="1" x14ac:dyDescent="0.3">
      <c r="B99" s="340">
        <v>45675</v>
      </c>
      <c r="C99" s="610" t="s">
        <v>1007</v>
      </c>
      <c r="D99" s="611" t="s">
        <v>1008</v>
      </c>
      <c r="E99" s="334">
        <f>1600*1%</f>
        <v>16</v>
      </c>
      <c r="F99" s="335"/>
    </row>
    <row r="100" spans="2:6" ht="24.75" thickTop="1" thickBot="1" x14ac:dyDescent="0.3">
      <c r="B100" s="340">
        <v>45674</v>
      </c>
      <c r="C100" s="332" t="s">
        <v>737</v>
      </c>
      <c r="D100" s="128" t="s">
        <v>683</v>
      </c>
      <c r="E100" s="334">
        <v>100</v>
      </c>
      <c r="F100" s="335"/>
    </row>
    <row r="101" spans="2:6" s="120" customFormat="1" ht="32.25" customHeight="1" thickTop="1" thickBot="1" x14ac:dyDescent="0.3">
      <c r="B101" s="1067" t="s">
        <v>1</v>
      </c>
      <c r="C101" s="1067"/>
      <c r="D101" s="1067"/>
      <c r="E101" s="430">
        <f>SUM(E95:E100)</f>
        <v>3837</v>
      </c>
      <c r="F101" s="430">
        <f>SUM(F95:F100)</f>
        <v>0</v>
      </c>
    </row>
    <row r="102" spans="2:6" ht="26.1" customHeight="1" thickTop="1" x14ac:dyDescent="0.25">
      <c r="B102" s="337"/>
      <c r="C102" s="337"/>
      <c r="D102" s="337"/>
      <c r="E102" s="338"/>
    </row>
    <row r="103" spans="2:6" s="114" customFormat="1" ht="54" customHeight="1" x14ac:dyDescent="0.25">
      <c r="B103" s="1066" t="s">
        <v>1017</v>
      </c>
      <c r="C103" s="1066"/>
      <c r="D103" s="1066"/>
      <c r="E103" s="1066"/>
    </row>
    <row r="104" spans="2:6" ht="15" customHeight="1" thickBot="1" x14ac:dyDescent="0.3"/>
    <row r="105" spans="2:6" ht="42" thickTop="1" thickBot="1" x14ac:dyDescent="0.3">
      <c r="B105" s="436" t="s">
        <v>51</v>
      </c>
      <c r="C105" s="436" t="s">
        <v>57</v>
      </c>
      <c r="D105" s="436" t="s">
        <v>717</v>
      </c>
      <c r="E105" s="436" t="s">
        <v>1102</v>
      </c>
      <c r="F105" s="436" t="s">
        <v>1103</v>
      </c>
    </row>
    <row r="106" spans="2:6" ht="24.95" customHeight="1" thickTop="1" thickBot="1" x14ac:dyDescent="0.3">
      <c r="B106" s="431">
        <v>45691</v>
      </c>
      <c r="C106" s="432" t="s">
        <v>735</v>
      </c>
      <c r="D106" s="433" t="s">
        <v>736</v>
      </c>
      <c r="E106" s="434">
        <v>1500</v>
      </c>
      <c r="F106" s="435"/>
    </row>
    <row r="107" spans="2:6" ht="24.95" customHeight="1" thickBot="1" x14ac:dyDescent="0.3">
      <c r="B107" s="340">
        <v>45691</v>
      </c>
      <c r="C107" s="610" t="s">
        <v>1007</v>
      </c>
      <c r="D107" s="611" t="s">
        <v>1008</v>
      </c>
      <c r="E107" s="434">
        <f>1700*1%</f>
        <v>17</v>
      </c>
      <c r="F107" s="435"/>
    </row>
    <row r="108" spans="2:6" ht="24.95" customHeight="1" thickTop="1" thickBot="1" x14ac:dyDescent="0.3">
      <c r="B108" s="340">
        <v>45691</v>
      </c>
      <c r="C108" s="332" t="s">
        <v>737</v>
      </c>
      <c r="D108" s="128" t="s">
        <v>683</v>
      </c>
      <c r="E108" s="334">
        <v>100</v>
      </c>
      <c r="F108" s="335"/>
    </row>
    <row r="109" spans="2:6" ht="24.75" thickTop="1" thickBot="1" x14ac:dyDescent="0.3">
      <c r="B109" s="340">
        <v>45691</v>
      </c>
      <c r="C109" s="128" t="s">
        <v>720</v>
      </c>
      <c r="D109" s="128" t="s">
        <v>740</v>
      </c>
      <c r="E109" s="334">
        <v>100</v>
      </c>
      <c r="F109" s="335"/>
    </row>
    <row r="110" spans="2:6" s="120" customFormat="1" ht="32.25" customHeight="1" thickTop="1" thickBot="1" x14ac:dyDescent="0.3">
      <c r="B110" s="1067" t="s">
        <v>1</v>
      </c>
      <c r="C110" s="1067"/>
      <c r="D110" s="1067"/>
      <c r="E110" s="430">
        <f>SUM(E106:E109)</f>
        <v>1717</v>
      </c>
      <c r="F110" s="430">
        <f>SUM(F106:F109)</f>
        <v>0</v>
      </c>
    </row>
    <row r="111" spans="2:6" ht="26.1" customHeight="1" thickTop="1" x14ac:dyDescent="0.25">
      <c r="B111" s="337"/>
      <c r="C111" s="337"/>
      <c r="D111" s="337"/>
      <c r="E111" s="338"/>
    </row>
    <row r="112" spans="2:6" s="114" customFormat="1" ht="54" customHeight="1" x14ac:dyDescent="0.25">
      <c r="B112" s="1066" t="s">
        <v>1104</v>
      </c>
      <c r="C112" s="1066"/>
      <c r="D112" s="1066"/>
      <c r="E112" s="1066"/>
    </row>
    <row r="113" spans="2:6" ht="15" customHeight="1" thickBot="1" x14ac:dyDescent="0.3"/>
    <row r="114" spans="2:6" ht="42" thickTop="1" thickBot="1" x14ac:dyDescent="0.3">
      <c r="B114" s="436" t="s">
        <v>51</v>
      </c>
      <c r="C114" s="436" t="s">
        <v>57</v>
      </c>
      <c r="D114" s="436" t="s">
        <v>717</v>
      </c>
      <c r="E114" s="436" t="s">
        <v>1102</v>
      </c>
      <c r="F114" s="436" t="s">
        <v>1103</v>
      </c>
    </row>
    <row r="115" spans="2:6" ht="24.95" customHeight="1" thickTop="1" thickBot="1" x14ac:dyDescent="0.3">
      <c r="B115" s="431">
        <v>45751</v>
      </c>
      <c r="C115" s="432" t="s">
        <v>735</v>
      </c>
      <c r="D115" s="433" t="s">
        <v>736</v>
      </c>
      <c r="E115" s="434">
        <v>4000</v>
      </c>
      <c r="F115" s="435"/>
    </row>
    <row r="116" spans="2:6" ht="24.95" customHeight="1" thickBot="1" x14ac:dyDescent="0.3">
      <c r="B116" s="431">
        <v>45751</v>
      </c>
      <c r="C116" s="610" t="s">
        <v>1007</v>
      </c>
      <c r="D116" s="611" t="s">
        <v>1008</v>
      </c>
      <c r="E116" s="434">
        <f>4100*1%</f>
        <v>41</v>
      </c>
      <c r="F116" s="435"/>
    </row>
    <row r="117" spans="2:6" ht="24.95" customHeight="1" thickTop="1" thickBot="1" x14ac:dyDescent="0.3">
      <c r="B117" s="340">
        <v>45751</v>
      </c>
      <c r="C117" s="332" t="s">
        <v>737</v>
      </c>
      <c r="D117" s="128" t="s">
        <v>683</v>
      </c>
      <c r="E117" s="334">
        <v>100</v>
      </c>
      <c r="F117" s="335"/>
    </row>
    <row r="118" spans="2:6" s="120" customFormat="1" ht="32.25" customHeight="1" thickTop="1" thickBot="1" x14ac:dyDescent="0.3">
      <c r="B118" s="1067" t="s">
        <v>1</v>
      </c>
      <c r="C118" s="1067"/>
      <c r="D118" s="1067"/>
      <c r="E118" s="430">
        <f>SUM(E115:E117)</f>
        <v>4141</v>
      </c>
      <c r="F118" s="430">
        <f>SUM(F115:F117)</f>
        <v>0</v>
      </c>
    </row>
    <row r="119" spans="2:6" ht="26.1" customHeight="1" thickTop="1" x14ac:dyDescent="0.25">
      <c r="B119" s="337"/>
      <c r="C119" s="337"/>
      <c r="D119" s="337"/>
      <c r="E119" s="338"/>
    </row>
    <row r="120" spans="2:6" s="114" customFormat="1" ht="54" customHeight="1" x14ac:dyDescent="0.25">
      <c r="B120" s="1066" t="s">
        <v>1105</v>
      </c>
      <c r="C120" s="1066"/>
      <c r="D120" s="1066"/>
      <c r="E120" s="1066"/>
    </row>
    <row r="121" spans="2:6" ht="15" customHeight="1" thickBot="1" x14ac:dyDescent="0.3"/>
    <row r="122" spans="2:6" ht="42" thickTop="1" thickBot="1" x14ac:dyDescent="0.3">
      <c r="B122" s="436" t="s">
        <v>51</v>
      </c>
      <c r="C122" s="436" t="s">
        <v>57</v>
      </c>
      <c r="D122" s="436" t="s">
        <v>717</v>
      </c>
      <c r="E122" s="436" t="s">
        <v>1102</v>
      </c>
      <c r="F122" s="436" t="s">
        <v>1103</v>
      </c>
    </row>
    <row r="123" spans="2:6" ht="24.95" customHeight="1" thickTop="1" thickBot="1" x14ac:dyDescent="0.3">
      <c r="B123" s="431">
        <v>45799</v>
      </c>
      <c r="C123" s="432" t="s">
        <v>737</v>
      </c>
      <c r="D123" s="437" t="s">
        <v>764</v>
      </c>
      <c r="E123" s="434">
        <v>100</v>
      </c>
      <c r="F123" s="435"/>
    </row>
    <row r="124" spans="2:6" ht="24" thickBot="1" x14ac:dyDescent="0.3">
      <c r="B124" s="340">
        <v>45800</v>
      </c>
      <c r="C124" s="332" t="s">
        <v>735</v>
      </c>
      <c r="D124" s="333" t="s">
        <v>736</v>
      </c>
      <c r="E124" s="334">
        <v>2000</v>
      </c>
      <c r="F124" s="351"/>
    </row>
    <row r="125" spans="2:6" ht="24" thickBot="1" x14ac:dyDescent="0.3">
      <c r="B125" s="340">
        <v>45801</v>
      </c>
      <c r="C125" s="610" t="s">
        <v>1007</v>
      </c>
      <c r="D125" s="611" t="s">
        <v>1008</v>
      </c>
      <c r="E125" s="334">
        <f>2910*1%</f>
        <v>29.1</v>
      </c>
      <c r="F125" s="351"/>
    </row>
    <row r="126" spans="2:6" ht="24.95" customHeight="1" thickTop="1" thickBot="1" x14ac:dyDescent="0.3">
      <c r="B126" s="340">
        <v>45800</v>
      </c>
      <c r="C126" s="332" t="s">
        <v>737</v>
      </c>
      <c r="D126" s="128" t="s">
        <v>765</v>
      </c>
      <c r="E126" s="334">
        <v>100</v>
      </c>
      <c r="F126" s="335"/>
    </row>
    <row r="127" spans="2:6" ht="24.95" customHeight="1" thickBot="1" x14ac:dyDescent="0.3">
      <c r="B127" s="340">
        <v>45800</v>
      </c>
      <c r="C127" s="332" t="s">
        <v>766</v>
      </c>
      <c r="D127" s="333" t="s">
        <v>767</v>
      </c>
      <c r="E127" s="334">
        <v>10</v>
      </c>
      <c r="F127" s="335"/>
    </row>
    <row r="128" spans="2:6" ht="24" thickBot="1" x14ac:dyDescent="0.3">
      <c r="B128" s="340">
        <v>45800</v>
      </c>
      <c r="C128" s="332" t="s">
        <v>768</v>
      </c>
      <c r="D128" s="333" t="s">
        <v>769</v>
      </c>
      <c r="E128" s="334">
        <v>800</v>
      </c>
      <c r="F128" s="335"/>
    </row>
    <row r="129" spans="2:6" s="120" customFormat="1" ht="32.25" customHeight="1" thickTop="1" thickBot="1" x14ac:dyDescent="0.3">
      <c r="B129" s="1067" t="s">
        <v>1</v>
      </c>
      <c r="C129" s="1067"/>
      <c r="D129" s="1067"/>
      <c r="E129" s="430">
        <f>SUM(E123:E128)</f>
        <v>3039.1</v>
      </c>
      <c r="F129" s="430"/>
    </row>
    <row r="130" spans="2:6" ht="26.1" customHeight="1" thickTop="1" x14ac:dyDescent="0.25">
      <c r="B130" s="337"/>
      <c r="C130" s="337"/>
      <c r="D130" s="337"/>
      <c r="E130" s="338"/>
    </row>
    <row r="131" spans="2:6" s="114" customFormat="1" ht="54" customHeight="1" x14ac:dyDescent="0.25">
      <c r="B131" s="1066" t="s">
        <v>1106</v>
      </c>
      <c r="C131" s="1066"/>
      <c r="D131" s="1066"/>
      <c r="E131" s="1066"/>
    </row>
    <row r="132" spans="2:6" ht="15" customHeight="1" thickBot="1" x14ac:dyDescent="0.3"/>
    <row r="133" spans="2:6" ht="42" thickTop="1" thickBot="1" x14ac:dyDescent="0.3">
      <c r="B133" s="436" t="s">
        <v>51</v>
      </c>
      <c r="C133" s="436" t="s">
        <v>57</v>
      </c>
      <c r="D133" s="436" t="s">
        <v>717</v>
      </c>
      <c r="E133" s="436" t="s">
        <v>1102</v>
      </c>
      <c r="F133" s="436" t="s">
        <v>1103</v>
      </c>
    </row>
    <row r="134" spans="2:6" ht="24.95" customHeight="1" thickTop="1" thickBot="1" x14ac:dyDescent="0.3">
      <c r="B134" s="431">
        <v>45824</v>
      </c>
      <c r="C134" s="432" t="s">
        <v>735</v>
      </c>
      <c r="D134" s="433" t="s">
        <v>736</v>
      </c>
      <c r="E134" s="434">
        <v>2300</v>
      </c>
      <c r="F134" s="435"/>
    </row>
    <row r="135" spans="2:6" ht="24.95" customHeight="1" thickBot="1" x14ac:dyDescent="0.3">
      <c r="B135" s="431">
        <v>45824</v>
      </c>
      <c r="C135" s="610" t="s">
        <v>1007</v>
      </c>
      <c r="D135" s="611" t="s">
        <v>1008</v>
      </c>
      <c r="E135" s="434">
        <f>3400*1%</f>
        <v>34</v>
      </c>
      <c r="F135" s="435"/>
    </row>
    <row r="136" spans="2:6" ht="24.95" customHeight="1" thickTop="1" thickBot="1" x14ac:dyDescent="0.3">
      <c r="B136" s="340">
        <v>45824</v>
      </c>
      <c r="C136" s="332" t="s">
        <v>737</v>
      </c>
      <c r="D136" s="128" t="s">
        <v>683</v>
      </c>
      <c r="E136" s="334">
        <v>100</v>
      </c>
      <c r="F136" s="335"/>
    </row>
    <row r="137" spans="2:6" s="120" customFormat="1" ht="32.25" customHeight="1" thickTop="1" thickBot="1" x14ac:dyDescent="0.3">
      <c r="B137" s="1067" t="s">
        <v>1</v>
      </c>
      <c r="C137" s="1067"/>
      <c r="D137" s="1067"/>
      <c r="E137" s="430">
        <f>SUM(E134:E136)</f>
        <v>2434</v>
      </c>
      <c r="F137" s="430">
        <f>SUM(F134:F136)</f>
        <v>0</v>
      </c>
    </row>
    <row r="138" spans="2:6" s="216" customFormat="1" ht="24" customHeight="1" thickTop="1" x14ac:dyDescent="0.35">
      <c r="B138" s="36"/>
    </row>
    <row r="139" spans="2:6" s="114" customFormat="1" ht="34.5" thickBot="1" x14ac:dyDescent="0.3">
      <c r="B139" s="1066" t="s">
        <v>1107</v>
      </c>
      <c r="C139" s="1066"/>
      <c r="D139" s="1066"/>
      <c r="E139" s="1066"/>
    </row>
    <row r="140" spans="2:6" ht="42" thickTop="1" thickBot="1" x14ac:dyDescent="0.3">
      <c r="B140" s="436" t="s">
        <v>51</v>
      </c>
      <c r="C140" s="436" t="s">
        <v>57</v>
      </c>
      <c r="D140" s="436" t="s">
        <v>717</v>
      </c>
      <c r="E140" s="436" t="s">
        <v>1102</v>
      </c>
      <c r="F140" s="436" t="s">
        <v>1103</v>
      </c>
    </row>
    <row r="141" spans="2:6" ht="24.95" customHeight="1" thickTop="1" thickBot="1" x14ac:dyDescent="0.3">
      <c r="B141" s="431">
        <v>45875</v>
      </c>
      <c r="C141" s="432" t="s">
        <v>735</v>
      </c>
      <c r="D141" s="433" t="s">
        <v>736</v>
      </c>
      <c r="E141" s="434">
        <v>2000</v>
      </c>
      <c r="F141" s="435"/>
    </row>
    <row r="142" spans="2:6" ht="24.95" customHeight="1" thickBot="1" x14ac:dyDescent="0.3">
      <c r="B142" s="431">
        <v>45875</v>
      </c>
      <c r="C142" s="610" t="s">
        <v>1007</v>
      </c>
      <c r="D142" s="611" t="s">
        <v>1008</v>
      </c>
      <c r="E142" s="434">
        <f>2300*1%</f>
        <v>23</v>
      </c>
      <c r="F142" s="435"/>
    </row>
    <row r="143" spans="2:6" ht="24.95" customHeight="1" thickTop="1" thickBot="1" x14ac:dyDescent="0.3">
      <c r="B143" s="340">
        <v>45875</v>
      </c>
      <c r="C143" s="332" t="s">
        <v>737</v>
      </c>
      <c r="D143" s="128" t="s">
        <v>683</v>
      </c>
      <c r="E143" s="334">
        <v>100</v>
      </c>
      <c r="F143" s="335"/>
    </row>
    <row r="144" spans="2:6" ht="24.75" thickTop="1" thickBot="1" x14ac:dyDescent="0.3">
      <c r="B144" s="340">
        <v>45875</v>
      </c>
      <c r="C144" s="128" t="s">
        <v>720</v>
      </c>
      <c r="D144" s="128" t="s">
        <v>883</v>
      </c>
      <c r="E144" s="334">
        <v>200</v>
      </c>
      <c r="F144" s="335"/>
    </row>
    <row r="145" spans="2:6" s="120" customFormat="1" ht="32.25" customHeight="1" thickTop="1" thickBot="1" x14ac:dyDescent="0.3">
      <c r="B145" s="1067" t="s">
        <v>1</v>
      </c>
      <c r="C145" s="1067"/>
      <c r="D145" s="1067"/>
      <c r="E145" s="430">
        <f>SUM(E141:E144)</f>
        <v>2323</v>
      </c>
      <c r="F145" s="430">
        <f>SUM(F141:F144)</f>
        <v>0</v>
      </c>
    </row>
    <row r="146" spans="2:6" ht="26.1" customHeight="1" thickTop="1" x14ac:dyDescent="0.25">
      <c r="B146" s="337"/>
      <c r="C146" s="337"/>
      <c r="D146" s="337"/>
      <c r="E146" s="338"/>
    </row>
    <row r="147" spans="2:6" s="114" customFormat="1" ht="54" customHeight="1" x14ac:dyDescent="0.25">
      <c r="B147" s="1066" t="s">
        <v>1108</v>
      </c>
      <c r="C147" s="1066"/>
      <c r="D147" s="1066"/>
      <c r="E147" s="1066"/>
    </row>
    <row r="148" spans="2:6" ht="15" customHeight="1" thickBot="1" x14ac:dyDescent="0.3"/>
    <row r="149" spans="2:6" ht="42" thickTop="1" thickBot="1" x14ac:dyDescent="0.3">
      <c r="B149" s="436" t="s">
        <v>51</v>
      </c>
      <c r="C149" s="436" t="s">
        <v>57</v>
      </c>
      <c r="D149" s="436" t="s">
        <v>717</v>
      </c>
      <c r="E149" s="436" t="s">
        <v>1102</v>
      </c>
      <c r="F149" s="436" t="s">
        <v>1103</v>
      </c>
    </row>
    <row r="150" spans="2:6" ht="24.95" customHeight="1" thickTop="1" thickBot="1" x14ac:dyDescent="0.3">
      <c r="B150" s="431">
        <v>45904</v>
      </c>
      <c r="C150" s="432" t="s">
        <v>735</v>
      </c>
      <c r="D150" s="433" t="s">
        <v>736</v>
      </c>
      <c r="E150" s="434">
        <v>5000</v>
      </c>
      <c r="F150" s="435"/>
    </row>
    <row r="151" spans="2:6" ht="24.95" customHeight="1" thickBot="1" x14ac:dyDescent="0.3">
      <c r="B151" s="431">
        <v>45904</v>
      </c>
      <c r="C151" s="610" t="s">
        <v>1007</v>
      </c>
      <c r="D151" s="611" t="s">
        <v>1008</v>
      </c>
      <c r="E151" s="434">
        <f>5600*1%</f>
        <v>56</v>
      </c>
      <c r="F151" s="435"/>
    </row>
    <row r="152" spans="2:6" ht="24.95" customHeight="1" thickTop="1" thickBot="1" x14ac:dyDescent="0.3">
      <c r="B152" s="431">
        <v>45904</v>
      </c>
      <c r="C152" s="332" t="s">
        <v>737</v>
      </c>
      <c r="D152" s="128" t="s">
        <v>683</v>
      </c>
      <c r="E152" s="334">
        <v>100</v>
      </c>
      <c r="F152" s="335"/>
    </row>
    <row r="153" spans="2:6" s="120" customFormat="1" ht="32.25" customHeight="1" thickTop="1" thickBot="1" x14ac:dyDescent="0.3">
      <c r="B153" s="1067" t="s">
        <v>1</v>
      </c>
      <c r="C153" s="1067"/>
      <c r="D153" s="1067"/>
      <c r="E153" s="430">
        <f>SUM(E150:E152)</f>
        <v>5156</v>
      </c>
      <c r="F153" s="430">
        <f>SUM(F150:F152)</f>
        <v>0</v>
      </c>
    </row>
    <row r="154" spans="2:6" ht="26.1" customHeight="1" thickTop="1" x14ac:dyDescent="0.25">
      <c r="B154" s="337"/>
      <c r="C154" s="337"/>
      <c r="D154" s="337"/>
      <c r="E154" s="338"/>
    </row>
    <row r="155" spans="2:6" s="114" customFormat="1" ht="54" customHeight="1" x14ac:dyDescent="0.25">
      <c r="B155" s="1066" t="s">
        <v>1109</v>
      </c>
      <c r="C155" s="1066"/>
      <c r="D155" s="1066"/>
      <c r="E155" s="1066"/>
    </row>
    <row r="156" spans="2:6" ht="15" customHeight="1" thickBot="1" x14ac:dyDescent="0.3"/>
    <row r="157" spans="2:6" ht="42" thickTop="1" thickBot="1" x14ac:dyDescent="0.3">
      <c r="B157" s="436" t="s">
        <v>51</v>
      </c>
      <c r="C157" s="436" t="s">
        <v>57</v>
      </c>
      <c r="D157" s="436" t="s">
        <v>717</v>
      </c>
      <c r="E157" s="436" t="s">
        <v>1102</v>
      </c>
      <c r="F157" s="436" t="s">
        <v>1103</v>
      </c>
    </row>
    <row r="158" spans="2:6" ht="24.95" customHeight="1" thickTop="1" thickBot="1" x14ac:dyDescent="0.3">
      <c r="B158" s="431">
        <v>46008</v>
      </c>
      <c r="C158" s="432" t="s">
        <v>735</v>
      </c>
      <c r="D158" s="433" t="s">
        <v>736</v>
      </c>
      <c r="E158" s="434">
        <v>3600</v>
      </c>
      <c r="F158" s="435"/>
    </row>
    <row r="159" spans="2:6" ht="24.95" customHeight="1" thickBot="1" x14ac:dyDescent="0.3">
      <c r="B159" s="431">
        <v>46008</v>
      </c>
      <c r="C159" s="610" t="s">
        <v>1007</v>
      </c>
      <c r="D159" s="611" t="s">
        <v>1008</v>
      </c>
      <c r="E159" s="434">
        <f>3700*1%</f>
        <v>37</v>
      </c>
      <c r="F159" s="435"/>
    </row>
    <row r="160" spans="2:6" ht="24.95" customHeight="1" thickTop="1" thickBot="1" x14ac:dyDescent="0.3">
      <c r="B160" s="340">
        <v>46008</v>
      </c>
      <c r="C160" s="332" t="s">
        <v>737</v>
      </c>
      <c r="D160" s="128" t="s">
        <v>683</v>
      </c>
      <c r="E160" s="334">
        <v>100</v>
      </c>
      <c r="F160" s="335"/>
    </row>
    <row r="161" spans="2:6" s="120" customFormat="1" ht="32.25" customHeight="1" thickTop="1" thickBot="1" x14ac:dyDescent="0.3">
      <c r="B161" s="1067" t="s">
        <v>1</v>
      </c>
      <c r="C161" s="1067"/>
      <c r="D161" s="1067"/>
      <c r="E161" s="430">
        <f>SUM(E158:E160)</f>
        <v>3737</v>
      </c>
      <c r="F161" s="430">
        <f>SUM(F158:F160)</f>
        <v>0</v>
      </c>
    </row>
    <row r="162" spans="2:6" ht="26.1" customHeight="1" thickTop="1" x14ac:dyDescent="0.25">
      <c r="B162" s="337"/>
      <c r="C162" s="337"/>
      <c r="D162" s="337"/>
      <c r="E162" s="338"/>
    </row>
    <row r="163" spans="2:6" s="114" customFormat="1" ht="54" customHeight="1" x14ac:dyDescent="0.25">
      <c r="B163" s="1066" t="s">
        <v>1110</v>
      </c>
      <c r="C163" s="1066"/>
      <c r="D163" s="1066"/>
      <c r="E163" s="1066"/>
    </row>
    <row r="164" spans="2:6" ht="15" customHeight="1" thickBot="1" x14ac:dyDescent="0.3"/>
    <row r="165" spans="2:6" ht="42" thickTop="1" thickBot="1" x14ac:dyDescent="0.3">
      <c r="B165" s="436" t="s">
        <v>51</v>
      </c>
      <c r="C165" s="436" t="s">
        <v>57</v>
      </c>
      <c r="D165" s="436" t="s">
        <v>717</v>
      </c>
      <c r="E165" s="436" t="s">
        <v>1102</v>
      </c>
      <c r="F165" s="436" t="s">
        <v>1103</v>
      </c>
    </row>
    <row r="166" spans="2:6" ht="24.95" customHeight="1" thickTop="1" thickBot="1" x14ac:dyDescent="0.3">
      <c r="B166" s="431">
        <v>46041</v>
      </c>
      <c r="C166" s="432" t="s">
        <v>735</v>
      </c>
      <c r="D166" s="433" t="s">
        <v>736</v>
      </c>
      <c r="E166" s="434">
        <v>3000</v>
      </c>
      <c r="F166" s="435"/>
    </row>
    <row r="167" spans="2:6" ht="24.95" customHeight="1" thickBot="1" x14ac:dyDescent="0.3">
      <c r="B167" s="431">
        <v>46041</v>
      </c>
      <c r="C167" s="610" t="s">
        <v>1007</v>
      </c>
      <c r="D167" s="611" t="s">
        <v>1008</v>
      </c>
      <c r="E167" s="434">
        <f>3400*1%</f>
        <v>34</v>
      </c>
      <c r="F167" s="435"/>
    </row>
    <row r="168" spans="2:6" ht="24.95" customHeight="1" thickTop="1" thickBot="1" x14ac:dyDescent="0.3">
      <c r="B168" s="340">
        <v>46041</v>
      </c>
      <c r="C168" s="332" t="s">
        <v>737</v>
      </c>
      <c r="D168" s="128" t="s">
        <v>683</v>
      </c>
      <c r="E168" s="334">
        <v>100</v>
      </c>
      <c r="F168" s="335"/>
    </row>
    <row r="169" spans="2:6" s="120" customFormat="1" ht="32.25" customHeight="1" thickTop="1" thickBot="1" x14ac:dyDescent="0.3">
      <c r="B169" s="1067" t="s">
        <v>1</v>
      </c>
      <c r="C169" s="1067"/>
      <c r="D169" s="1067"/>
      <c r="E169" s="430">
        <f>SUM(E166:E168)</f>
        <v>3134</v>
      </c>
      <c r="F169" s="430">
        <f>SUM(F166:F168)</f>
        <v>0</v>
      </c>
    </row>
    <row r="170" spans="2:6" ht="26.1" customHeight="1" thickTop="1" x14ac:dyDescent="0.25"/>
    <row r="171" spans="2:6" s="114" customFormat="1" ht="54" customHeight="1" x14ac:dyDescent="0.25">
      <c r="B171" s="1066" t="s">
        <v>1111</v>
      </c>
      <c r="C171" s="1066"/>
      <c r="D171" s="1066"/>
      <c r="E171" s="1066"/>
    </row>
    <row r="172" spans="2:6" ht="15" customHeight="1" thickBot="1" x14ac:dyDescent="0.3"/>
    <row r="173" spans="2:6" ht="42" thickTop="1" thickBot="1" x14ac:dyDescent="0.3">
      <c r="B173" s="436" t="s">
        <v>51</v>
      </c>
      <c r="C173" s="436" t="s">
        <v>57</v>
      </c>
      <c r="D173" s="436" t="s">
        <v>717</v>
      </c>
      <c r="E173" s="436" t="s">
        <v>1102</v>
      </c>
      <c r="F173" s="436" t="s">
        <v>1103</v>
      </c>
    </row>
    <row r="174" spans="2:6" ht="24.95" customHeight="1" thickTop="1" thickBot="1" x14ac:dyDescent="0.3">
      <c r="B174" s="431">
        <v>46086</v>
      </c>
      <c r="C174" s="432" t="s">
        <v>735</v>
      </c>
      <c r="D174" s="433" t="s">
        <v>736</v>
      </c>
      <c r="E174" s="434">
        <v>2000</v>
      </c>
      <c r="F174" s="435"/>
    </row>
    <row r="175" spans="2:6" ht="24.95" customHeight="1" thickTop="1" thickBot="1" x14ac:dyDescent="0.3">
      <c r="B175" s="340">
        <v>46086</v>
      </c>
      <c r="C175" s="332" t="s">
        <v>737</v>
      </c>
      <c r="D175" s="128" t="s">
        <v>683</v>
      </c>
      <c r="E175" s="334">
        <v>100</v>
      </c>
      <c r="F175" s="335"/>
    </row>
    <row r="176" spans="2:6" ht="24.95" customHeight="1" thickBot="1" x14ac:dyDescent="0.3">
      <c r="B176" s="340">
        <v>46086</v>
      </c>
      <c r="C176" s="332" t="s">
        <v>1007</v>
      </c>
      <c r="D176" s="611" t="s">
        <v>1008</v>
      </c>
      <c r="E176" s="334">
        <f>2100*1%</f>
        <v>21</v>
      </c>
      <c r="F176" s="335"/>
    </row>
    <row r="177" spans="2:8" s="423" customFormat="1" ht="24" thickBot="1" x14ac:dyDescent="0.3">
      <c r="B177" s="340">
        <v>46092</v>
      </c>
      <c r="C177" s="432" t="s">
        <v>735</v>
      </c>
      <c r="D177" s="433" t="s">
        <v>736</v>
      </c>
      <c r="E177" s="334">
        <v>2000</v>
      </c>
      <c r="F177" s="335"/>
    </row>
    <row r="178" spans="2:8" s="423" customFormat="1" ht="24.75" thickTop="1" thickBot="1" x14ac:dyDescent="0.3">
      <c r="B178" s="340">
        <v>46092</v>
      </c>
      <c r="C178" s="332" t="s">
        <v>737</v>
      </c>
      <c r="D178" s="128" t="s">
        <v>683</v>
      </c>
      <c r="E178" s="334">
        <v>100</v>
      </c>
      <c r="F178" s="335"/>
    </row>
    <row r="179" spans="2:8" s="423" customFormat="1" ht="24.75" thickTop="1" thickBot="1" x14ac:dyDescent="0.3">
      <c r="B179" s="340">
        <v>46092</v>
      </c>
      <c r="C179" s="332" t="s">
        <v>720</v>
      </c>
      <c r="D179" s="128" t="s">
        <v>740</v>
      </c>
      <c r="E179" s="334">
        <v>100</v>
      </c>
      <c r="F179" s="335"/>
    </row>
    <row r="180" spans="2:8" s="423" customFormat="1" ht="24" thickBot="1" x14ac:dyDescent="0.3">
      <c r="B180" s="340">
        <v>46093</v>
      </c>
      <c r="C180" s="610" t="s">
        <v>1007</v>
      </c>
      <c r="D180" s="611" t="s">
        <v>1008</v>
      </c>
      <c r="E180" s="428">
        <f>2200*1%</f>
        <v>22</v>
      </c>
      <c r="F180" s="1030"/>
    </row>
    <row r="181" spans="2:8" s="423" customFormat="1" ht="24.75" thickTop="1" thickBot="1" x14ac:dyDescent="0.3">
      <c r="B181" s="340">
        <v>46107</v>
      </c>
      <c r="C181" s="332" t="s">
        <v>737</v>
      </c>
      <c r="D181" s="128" t="s">
        <v>683</v>
      </c>
      <c r="E181" s="428">
        <v>100</v>
      </c>
      <c r="F181" s="1030"/>
    </row>
    <row r="182" spans="2:8" s="423" customFormat="1" ht="24" thickBot="1" x14ac:dyDescent="0.3">
      <c r="B182" s="340">
        <v>46107</v>
      </c>
      <c r="C182" s="332" t="s">
        <v>720</v>
      </c>
      <c r="D182" s="611" t="s">
        <v>740</v>
      </c>
      <c r="E182" s="428">
        <v>100</v>
      </c>
      <c r="F182" s="1030"/>
    </row>
    <row r="183" spans="2:8" s="423" customFormat="1" ht="24" thickBot="1" x14ac:dyDescent="0.3">
      <c r="B183" s="340">
        <v>46107</v>
      </c>
      <c r="C183" s="332" t="s">
        <v>1007</v>
      </c>
      <c r="D183" s="611" t="s">
        <v>1008</v>
      </c>
      <c r="E183" s="428">
        <f>200*1%</f>
        <v>2</v>
      </c>
      <c r="F183" s="1030"/>
      <c r="H183" s="804"/>
    </row>
    <row r="184" spans="2:8" s="423" customFormat="1" ht="24" thickBot="1" x14ac:dyDescent="0.3">
      <c r="B184" s="340">
        <v>46109</v>
      </c>
      <c r="C184" s="332" t="s">
        <v>1279</v>
      </c>
      <c r="D184" s="332" t="s">
        <v>1278</v>
      </c>
      <c r="E184" s="428"/>
      <c r="F184" s="1030">
        <v>62000</v>
      </c>
      <c r="H184" s="804"/>
    </row>
    <row r="185" spans="2:8" s="423" customFormat="1" ht="24" thickBot="1" x14ac:dyDescent="0.3">
      <c r="B185" s="340">
        <v>46109</v>
      </c>
      <c r="C185" s="332" t="s">
        <v>1279</v>
      </c>
      <c r="D185" s="332" t="s">
        <v>1278</v>
      </c>
      <c r="E185" s="428">
        <v>4000</v>
      </c>
      <c r="F185" s="1030"/>
      <c r="H185" s="804"/>
    </row>
    <row r="186" spans="2:8" s="423" customFormat="1" ht="24" thickBot="1" x14ac:dyDescent="0.3">
      <c r="B186" s="340">
        <v>46109</v>
      </c>
      <c r="C186" s="332" t="s">
        <v>737</v>
      </c>
      <c r="D186" s="611" t="s">
        <v>683</v>
      </c>
      <c r="E186" s="428">
        <v>100</v>
      </c>
      <c r="F186" s="1030"/>
    </row>
    <row r="187" spans="2:8" s="423" customFormat="1" ht="24.75" thickTop="1" thickBot="1" x14ac:dyDescent="0.3">
      <c r="B187" s="340">
        <v>46110</v>
      </c>
      <c r="C187" s="332" t="s">
        <v>720</v>
      </c>
      <c r="D187" s="128" t="s">
        <v>740</v>
      </c>
      <c r="E187" s="428">
        <v>100</v>
      </c>
      <c r="F187" s="1030"/>
    </row>
    <row r="188" spans="2:8" s="423" customFormat="1" ht="24" thickBot="1" x14ac:dyDescent="0.3">
      <c r="B188" s="340">
        <v>46111</v>
      </c>
      <c r="C188" s="332" t="s">
        <v>1044</v>
      </c>
      <c r="D188" s="611" t="s">
        <v>1043</v>
      </c>
      <c r="E188" s="428">
        <v>200</v>
      </c>
      <c r="F188" s="1030"/>
    </row>
    <row r="189" spans="2:8" s="120" customFormat="1" ht="32.25" customHeight="1" thickTop="1" thickBot="1" x14ac:dyDescent="0.3">
      <c r="B189" s="1067" t="s">
        <v>1</v>
      </c>
      <c r="C189" s="1067"/>
      <c r="D189" s="1067"/>
      <c r="E189" s="430">
        <f>SUM(E174:E188)</f>
        <v>8945</v>
      </c>
      <c r="F189" s="430">
        <f>SUM(F174:F188)</f>
        <v>62000</v>
      </c>
    </row>
    <row r="190" spans="2:8" ht="26.1" customHeight="1" thickTop="1" x14ac:dyDescent="0.25"/>
    <row r="191" spans="2:8" s="114" customFormat="1" ht="54" customHeight="1" x14ac:dyDescent="0.25">
      <c r="B191" s="1066" t="s">
        <v>1112</v>
      </c>
      <c r="C191" s="1066"/>
      <c r="D191" s="1066"/>
      <c r="E191" s="1066"/>
    </row>
    <row r="192" spans="2:8" ht="15" customHeight="1" thickBot="1" x14ac:dyDescent="0.3"/>
    <row r="193" spans="2:6" ht="42" thickTop="1" thickBot="1" x14ac:dyDescent="0.3">
      <c r="B193" s="436" t="s">
        <v>51</v>
      </c>
      <c r="C193" s="436" t="s">
        <v>57</v>
      </c>
      <c r="D193" s="436" t="s">
        <v>717</v>
      </c>
      <c r="E193" s="436" t="s">
        <v>1102</v>
      </c>
      <c r="F193" s="436" t="s">
        <v>1103</v>
      </c>
    </row>
    <row r="194" spans="2:6" ht="24.95" customHeight="1" thickTop="1" thickBot="1" x14ac:dyDescent="0.3">
      <c r="B194" s="431">
        <v>46129</v>
      </c>
      <c r="C194" s="432" t="s">
        <v>735</v>
      </c>
      <c r="D194" s="433" t="s">
        <v>736</v>
      </c>
      <c r="E194" s="434">
        <v>4000</v>
      </c>
      <c r="F194" s="435"/>
    </row>
    <row r="195" spans="2:6" ht="24.95" customHeight="1" thickTop="1" thickBot="1" x14ac:dyDescent="0.3">
      <c r="B195" s="431">
        <v>46130</v>
      </c>
      <c r="C195" s="332" t="s">
        <v>737</v>
      </c>
      <c r="D195" s="128" t="s">
        <v>683</v>
      </c>
      <c r="E195" s="334">
        <v>100</v>
      </c>
      <c r="F195" s="335"/>
    </row>
    <row r="196" spans="2:6" s="423" customFormat="1" ht="21" thickBot="1" x14ac:dyDescent="0.3">
      <c r="B196" s="431">
        <v>46131</v>
      </c>
      <c r="C196" s="332" t="s">
        <v>1007</v>
      </c>
      <c r="D196" s="611" t="s">
        <v>1008</v>
      </c>
      <c r="E196" s="421">
        <f>4100*1%</f>
        <v>41</v>
      </c>
      <c r="F196" s="422"/>
    </row>
    <row r="197" spans="2:6" s="120" customFormat="1" ht="32.25" customHeight="1" thickTop="1" thickBot="1" x14ac:dyDescent="0.3">
      <c r="B197" s="1067" t="s">
        <v>1</v>
      </c>
      <c r="C197" s="1067"/>
      <c r="D197" s="1067"/>
      <c r="E197" s="430">
        <f>SUM(E194:E196)</f>
        <v>4141</v>
      </c>
      <c r="F197" s="430">
        <f>SUM(F194:F196)</f>
        <v>0</v>
      </c>
    </row>
    <row r="198" spans="2:6" ht="26.1" customHeight="1" thickTop="1" x14ac:dyDescent="0.25"/>
    <row r="199" spans="2:6" s="114" customFormat="1" ht="54" customHeight="1" x14ac:dyDescent="0.25">
      <c r="B199" s="1066" t="s">
        <v>1287</v>
      </c>
      <c r="C199" s="1066"/>
      <c r="D199" s="1066"/>
      <c r="E199" s="1066"/>
    </row>
    <row r="200" spans="2:6" ht="15" customHeight="1" thickBot="1" x14ac:dyDescent="0.3"/>
    <row r="201" spans="2:6" ht="42" thickTop="1" thickBot="1" x14ac:dyDescent="0.3">
      <c r="B201" s="436" t="s">
        <v>51</v>
      </c>
      <c r="C201" s="436" t="s">
        <v>57</v>
      </c>
      <c r="D201" s="436" t="s">
        <v>717</v>
      </c>
      <c r="E201" s="436" t="s">
        <v>1102</v>
      </c>
      <c r="F201" s="436" t="s">
        <v>1103</v>
      </c>
    </row>
    <row r="202" spans="2:6" ht="24.95" customHeight="1" thickTop="1" thickBot="1" x14ac:dyDescent="0.3">
      <c r="B202" s="431">
        <v>46255</v>
      </c>
      <c r="C202" s="432" t="s">
        <v>735</v>
      </c>
      <c r="D202" s="433" t="s">
        <v>736</v>
      </c>
      <c r="E202" s="434">
        <v>4500</v>
      </c>
      <c r="F202" s="435"/>
    </row>
    <row r="203" spans="2:6" ht="24.95" customHeight="1" thickTop="1" thickBot="1" x14ac:dyDescent="0.3">
      <c r="B203" s="431">
        <v>46255</v>
      </c>
      <c r="C203" s="332" t="s">
        <v>737</v>
      </c>
      <c r="D203" s="128" t="s">
        <v>683</v>
      </c>
      <c r="E203" s="334">
        <v>100</v>
      </c>
      <c r="F203" s="335"/>
    </row>
    <row r="204" spans="2:6" s="423" customFormat="1" ht="21" thickBot="1" x14ac:dyDescent="0.3">
      <c r="B204" s="431">
        <v>46255</v>
      </c>
      <c r="C204" s="332" t="s">
        <v>1007</v>
      </c>
      <c r="D204" s="611" t="s">
        <v>1008</v>
      </c>
      <c r="E204" s="421">
        <f>(E202+E203)*1%</f>
        <v>46</v>
      </c>
      <c r="F204" s="422"/>
    </row>
    <row r="205" spans="2:6" s="120" customFormat="1" ht="32.25" customHeight="1" thickTop="1" thickBot="1" x14ac:dyDescent="0.3">
      <c r="B205" s="1067" t="s">
        <v>1</v>
      </c>
      <c r="C205" s="1067"/>
      <c r="D205" s="1067"/>
      <c r="E205" s="430">
        <f>SUM(E202:E204)</f>
        <v>4646</v>
      </c>
      <c r="F205" s="430">
        <f>SUM(F202:F204)</f>
        <v>0</v>
      </c>
    </row>
    <row r="206" spans="2:6" ht="26.1" customHeight="1" thickTop="1" x14ac:dyDescent="0.25"/>
    <row r="207" spans="2:6" s="114" customFormat="1" ht="54" customHeight="1" x14ac:dyDescent="0.25">
      <c r="B207" s="1066" t="s">
        <v>1290</v>
      </c>
      <c r="C207" s="1066"/>
      <c r="D207" s="1066"/>
      <c r="E207" s="1066"/>
    </row>
    <row r="208" spans="2:6" ht="15" customHeight="1" thickBot="1" x14ac:dyDescent="0.3"/>
    <row r="209" spans="2:6" ht="42" thickTop="1" thickBot="1" x14ac:dyDescent="0.3">
      <c r="B209" s="436" t="s">
        <v>51</v>
      </c>
      <c r="C209" s="436" t="s">
        <v>57</v>
      </c>
      <c r="D209" s="436" t="s">
        <v>717</v>
      </c>
      <c r="E209" s="436" t="s">
        <v>1102</v>
      </c>
      <c r="F209" s="436" t="s">
        <v>1103</v>
      </c>
    </row>
    <row r="210" spans="2:6" ht="24.95" customHeight="1" thickTop="1" thickBot="1" x14ac:dyDescent="0.3">
      <c r="B210" s="431">
        <v>46289</v>
      </c>
      <c r="C210" s="432" t="s">
        <v>735</v>
      </c>
      <c r="D210" s="433" t="s">
        <v>736</v>
      </c>
      <c r="E210" s="434">
        <v>2000</v>
      </c>
      <c r="F210" s="435"/>
    </row>
    <row r="211" spans="2:6" ht="24.95" customHeight="1" thickTop="1" thickBot="1" x14ac:dyDescent="0.3">
      <c r="B211" s="431">
        <v>46289</v>
      </c>
      <c r="C211" s="332" t="s">
        <v>737</v>
      </c>
      <c r="D211" s="128" t="s">
        <v>683</v>
      </c>
      <c r="E211" s="334">
        <v>100</v>
      </c>
      <c r="F211" s="335"/>
    </row>
    <row r="212" spans="2:6" s="423" customFormat="1" ht="21" thickBot="1" x14ac:dyDescent="0.3">
      <c r="B212" s="431">
        <v>46289</v>
      </c>
      <c r="C212" s="332" t="s">
        <v>1007</v>
      </c>
      <c r="D212" s="611" t="s">
        <v>1008</v>
      </c>
      <c r="E212" s="421">
        <f>(E210+E211)*1%</f>
        <v>21</v>
      </c>
      <c r="F212" s="422"/>
    </row>
    <row r="213" spans="2:6" s="423" customFormat="1" ht="21.75" thickTop="1" thickBot="1" x14ac:dyDescent="0.3">
      <c r="B213" s="340"/>
      <c r="C213" s="128"/>
      <c r="D213" s="128"/>
      <c r="E213" s="421"/>
      <c r="F213" s="422"/>
    </row>
    <row r="214" spans="2:6" s="423" customFormat="1" ht="21" thickBot="1" x14ac:dyDescent="0.3">
      <c r="B214" s="340"/>
      <c r="C214" s="332"/>
      <c r="D214" s="333"/>
      <c r="E214" s="421"/>
      <c r="F214" s="424"/>
    </row>
    <row r="215" spans="2:6" s="423" customFormat="1" ht="24.95" customHeight="1" thickBot="1" x14ac:dyDescent="0.3">
      <c r="B215" s="340"/>
      <c r="C215" s="332"/>
      <c r="D215" s="333"/>
      <c r="E215" s="421"/>
      <c r="F215" s="424"/>
    </row>
    <row r="216" spans="2:6" s="423" customFormat="1" ht="24.95" customHeight="1" thickBot="1" x14ac:dyDescent="0.3">
      <c r="B216" s="340"/>
      <c r="C216" s="332"/>
      <c r="D216" s="333"/>
      <c r="E216" s="421"/>
      <c r="F216" s="424"/>
    </row>
    <row r="217" spans="2:6" ht="24.95" customHeight="1" thickBot="1" x14ac:dyDescent="0.3">
      <c r="B217" s="425"/>
      <c r="C217" s="426"/>
      <c r="D217" s="427"/>
      <c r="E217" s="428"/>
      <c r="F217" s="429"/>
    </row>
    <row r="218" spans="2:6" s="120" customFormat="1" ht="32.25" customHeight="1" thickTop="1" thickBot="1" x14ac:dyDescent="0.3">
      <c r="B218" s="1067" t="s">
        <v>1</v>
      </c>
      <c r="C218" s="1067"/>
      <c r="D218" s="1067"/>
      <c r="E218" s="430">
        <f>SUM(E210:E217)</f>
        <v>2121</v>
      </c>
      <c r="F218" s="430">
        <f>SUM(F210:F217)</f>
        <v>0</v>
      </c>
    </row>
    <row r="219" spans="2:6" ht="26.1" customHeight="1" thickTop="1" x14ac:dyDescent="0.25"/>
  </sheetData>
  <mergeCells count="43">
    <mergeCell ref="B207:E207"/>
    <mergeCell ref="B218:D218"/>
    <mergeCell ref="B199:E199"/>
    <mergeCell ref="B205:D205"/>
    <mergeCell ref="B191:E191"/>
    <mergeCell ref="B197:D197"/>
    <mergeCell ref="B189:D189"/>
    <mergeCell ref="B145:D145"/>
    <mergeCell ref="B147:E147"/>
    <mergeCell ref="B153:D153"/>
    <mergeCell ref="B103:E103"/>
    <mergeCell ref="B131:E131"/>
    <mergeCell ref="B129:D129"/>
    <mergeCell ref="B137:D137"/>
    <mergeCell ref="B163:E163"/>
    <mergeCell ref="B169:D169"/>
    <mergeCell ref="B155:E155"/>
    <mergeCell ref="B161:D161"/>
    <mergeCell ref="B171:E171"/>
    <mergeCell ref="B101:D101"/>
    <mergeCell ref="B139:E139"/>
    <mergeCell ref="B112:E112"/>
    <mergeCell ref="B110:D110"/>
    <mergeCell ref="B120:E120"/>
    <mergeCell ref="B118:D118"/>
    <mergeCell ref="B74:D74"/>
    <mergeCell ref="B84:E84"/>
    <mergeCell ref="B82:D82"/>
    <mergeCell ref="B92:E92"/>
    <mergeCell ref="B90:D90"/>
    <mergeCell ref="B76:E76"/>
    <mergeCell ref="B2:C2"/>
    <mergeCell ref="B57:E57"/>
    <mergeCell ref="B55:D55"/>
    <mergeCell ref="B16:E16"/>
    <mergeCell ref="B20:D20"/>
    <mergeCell ref="B22:E22"/>
    <mergeCell ref="B32:D32"/>
    <mergeCell ref="B34:E34"/>
    <mergeCell ref="B4:E4"/>
    <mergeCell ref="B14:D14"/>
    <mergeCell ref="B42:E42"/>
    <mergeCell ref="B40:D40"/>
  </mergeCells>
  <conditionalFormatting sqref="D3:F3">
    <cfRule type="cellIs" dxfId="72" priority="76" operator="equal">
      <formula>0</formula>
    </cfRule>
  </conditionalFormatting>
  <conditionalFormatting sqref="D14:F15 D40:F41 D55:F56 D74:F75 D82:F83 D90:F91 D101:F102 D110:F111 D118:F119 D129:F130 D137:F146">
    <cfRule type="cellIs" dxfId="71" priority="25" operator="equal">
      <formula>0</formula>
    </cfRule>
  </conditionalFormatting>
  <conditionalFormatting sqref="D20:F21">
    <cfRule type="cellIs" dxfId="70" priority="73" operator="equal">
      <formula>0</formula>
    </cfRule>
  </conditionalFormatting>
  <conditionalFormatting sqref="D32:F33">
    <cfRule type="cellIs" dxfId="69" priority="70" operator="equal">
      <formula>0</formula>
    </cfRule>
  </conditionalFormatting>
  <conditionalFormatting sqref="D153:F154">
    <cfRule type="cellIs" dxfId="68" priority="19" operator="equal">
      <formula>0</formula>
    </cfRule>
  </conditionalFormatting>
  <conditionalFormatting sqref="D161:F162">
    <cfRule type="cellIs" dxfId="67" priority="16" operator="equal">
      <formula>0</formula>
    </cfRule>
  </conditionalFormatting>
  <conditionalFormatting sqref="D169:F169">
    <cfRule type="cellIs" dxfId="66" priority="13" operator="equal">
      <formula>0</formula>
    </cfRule>
  </conditionalFormatting>
  <conditionalFormatting sqref="D189:F189">
    <cfRule type="cellIs" dxfId="65" priority="10" operator="equal">
      <formula>0</formula>
    </cfRule>
  </conditionalFormatting>
  <conditionalFormatting sqref="D197:F197">
    <cfRule type="cellIs" dxfId="64" priority="7" operator="equal">
      <formula>0</formula>
    </cfRule>
  </conditionalFormatting>
  <conditionalFormatting sqref="D205:F205">
    <cfRule type="cellIs" dxfId="63" priority="4" operator="equal">
      <formula>0</formula>
    </cfRule>
  </conditionalFormatting>
  <conditionalFormatting sqref="D218:F218">
    <cfRule type="cellIs" dxfId="62" priority="1" operator="equal">
      <formula>0</formula>
    </cfRule>
  </conditionalFormatting>
  <conditionalFormatting sqref="E3:F3 E40:F41 E55:F56 E74:F75 E82:F83 E90:F91 E101:F102 E110:F111 E118:F119 E129:F130 E137:F146">
    <cfRule type="cellIs" dxfId="61" priority="81" operator="equal">
      <formula>0</formula>
    </cfRule>
  </conditionalFormatting>
  <conditionalFormatting sqref="E14:F15">
    <cfRule type="cellIs" dxfId="60" priority="27" operator="equal">
      <formula>0</formula>
    </cfRule>
  </conditionalFormatting>
  <conditionalFormatting sqref="E20:F21">
    <cfRule type="cellIs" dxfId="59" priority="75" operator="equal">
      <formula>0</formula>
    </cfRule>
  </conditionalFormatting>
  <conditionalFormatting sqref="E32:F33">
    <cfRule type="cellIs" dxfId="58" priority="72" operator="equal">
      <formula>0</formula>
    </cfRule>
  </conditionalFormatting>
  <conditionalFormatting sqref="E153:F154">
    <cfRule type="cellIs" dxfId="57" priority="21" operator="equal">
      <formula>0</formula>
    </cfRule>
  </conditionalFormatting>
  <conditionalFormatting sqref="E161:F162">
    <cfRule type="cellIs" dxfId="56" priority="18" operator="equal">
      <formula>0</formula>
    </cfRule>
  </conditionalFormatting>
  <conditionalFormatting sqref="E169:F169">
    <cfRule type="cellIs" dxfId="55" priority="15" operator="equal">
      <formula>0</formula>
    </cfRule>
  </conditionalFormatting>
  <conditionalFormatting sqref="E189:F189">
    <cfRule type="cellIs" dxfId="54" priority="12" operator="equal">
      <formula>0</formula>
    </cfRule>
  </conditionalFormatting>
  <conditionalFormatting sqref="E197:F197">
    <cfRule type="cellIs" dxfId="53" priority="9" operator="equal">
      <formula>0</formula>
    </cfRule>
  </conditionalFormatting>
  <conditionalFormatting sqref="E205:F205">
    <cfRule type="cellIs" dxfId="52" priority="6" operator="equal">
      <formula>0</formula>
    </cfRule>
  </conditionalFormatting>
  <conditionalFormatting sqref="E218:F218">
    <cfRule type="cellIs" dxfId="51" priority="3" operator="equal">
      <formula>0</formula>
    </cfRule>
  </conditionalFormatting>
  <conditionalFormatting sqref="G3:S3 G7:S15 G19:S21 G25:S33 G37:S41 G45:S56 G60:S75 G79:S83 G87:S91 G95:S102 G106:S111 G115:S119 G123:S130 G134:S146 G150:S154 G158:S162 G166:S169 G174:S189 G194:S197 G202:S205">
    <cfRule type="cellIs" dxfId="50" priority="77" operator="equal">
      <formula>0</formula>
    </cfRule>
  </conditionalFormatting>
  <conditionalFormatting sqref="G210:S218">
    <cfRule type="cellIs" dxfId="49" priority="2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</sheetPr>
  <dimension ref="B1:X151"/>
  <sheetViews>
    <sheetView zoomScaleNormal="100" workbookViewId="0">
      <pane xSplit="7" ySplit="4" topLeftCell="O22" activePane="bottomRight" state="frozen"/>
      <selection pane="topRight" activeCell="H1" sqref="H1"/>
      <selection pane="bottomLeft" activeCell="A5" sqref="A5"/>
      <selection pane="bottomRight" activeCell="O132" sqref="O132"/>
    </sheetView>
  </sheetViews>
  <sheetFormatPr defaultColWidth="9.140625" defaultRowHeight="20.100000000000001" customHeight="1" x14ac:dyDescent="0.25"/>
  <cols>
    <col min="1" max="1" width="1.7109375" style="9" customWidth="1"/>
    <col min="2" max="2" width="17.5703125" style="8" bestFit="1" customWidth="1"/>
    <col min="3" max="3" width="68.7109375" style="9" bestFit="1" customWidth="1"/>
    <col min="4" max="4" width="16.7109375" style="8" customWidth="1"/>
    <col min="5" max="5" width="24" style="10" bestFit="1" customWidth="1"/>
    <col min="6" max="7" width="24" style="9" bestFit="1" customWidth="1"/>
    <col min="8" max="8" width="24.7109375" style="9" bestFit="1" customWidth="1"/>
    <col min="9" max="9" width="21.7109375" style="9" bestFit="1" customWidth="1"/>
    <col min="10" max="14" width="22.7109375" style="9" customWidth="1"/>
    <col min="15" max="15" width="20.140625" style="9" customWidth="1"/>
    <col min="16" max="17" width="22.7109375" style="9" customWidth="1"/>
    <col min="18" max="18" width="20.140625" style="9" customWidth="1"/>
    <col min="19" max="20" width="22.7109375" style="9" customWidth="1"/>
    <col min="21" max="21" width="21.5703125" style="9" customWidth="1"/>
    <col min="22" max="22" width="20.42578125" style="9" customWidth="1"/>
    <col min="23" max="23" width="19" style="9" bestFit="1" customWidth="1"/>
    <col min="24" max="24" width="22.7109375" style="9" customWidth="1"/>
    <col min="25" max="16384" width="9.140625" style="9"/>
  </cols>
  <sheetData>
    <row r="1" spans="2:24" s="216" customFormat="1" ht="28.5" customHeight="1" x14ac:dyDescent="0.35">
      <c r="B1" s="36"/>
    </row>
    <row r="2" spans="2:24" s="70" customFormat="1" ht="46.5" customHeight="1" thickBot="1" x14ac:dyDescent="0.85">
      <c r="B2" s="1065" t="s">
        <v>938</v>
      </c>
      <c r="C2" s="1065"/>
      <c r="D2" s="342"/>
      <c r="E2" s="94"/>
      <c r="F2" s="93"/>
      <c r="G2" s="82"/>
      <c r="H2" s="82"/>
      <c r="I2" s="82"/>
      <c r="J2" s="82"/>
      <c r="K2" s="82"/>
      <c r="L2" s="82"/>
      <c r="M2" s="82"/>
      <c r="N2" s="82"/>
      <c r="O2" s="93"/>
      <c r="P2" s="82"/>
      <c r="Q2" s="82"/>
      <c r="R2" s="82"/>
      <c r="S2" s="93"/>
      <c r="V2" s="82"/>
      <c r="W2" s="93"/>
    </row>
    <row r="3" spans="2:24" ht="62.25" customHeight="1" thickTop="1" thickBot="1" x14ac:dyDescent="0.3">
      <c r="B3" s="620" t="s">
        <v>51</v>
      </c>
      <c r="C3" s="620" t="s">
        <v>52</v>
      </c>
      <c r="D3" s="620" t="s">
        <v>753</v>
      </c>
      <c r="E3" s="622" t="s">
        <v>53</v>
      </c>
      <c r="F3" s="623" t="s">
        <v>54</v>
      </c>
      <c r="G3" s="623" t="s">
        <v>55</v>
      </c>
      <c r="H3" s="131"/>
      <c r="I3" s="131"/>
      <c r="J3" s="1071" t="s">
        <v>53</v>
      </c>
      <c r="K3" s="1072"/>
      <c r="L3" s="1072"/>
      <c r="M3" s="1072"/>
      <c r="N3" s="1073"/>
      <c r="O3" s="633"/>
      <c r="P3" s="1068" t="s">
        <v>1024</v>
      </c>
      <c r="Q3" s="1069"/>
      <c r="R3" s="1069"/>
      <c r="S3" s="1069"/>
      <c r="T3" s="1069"/>
      <c r="U3" s="1069"/>
      <c r="V3" s="1069"/>
      <c r="W3" s="1069"/>
      <c r="X3" s="1070"/>
    </row>
    <row r="4" spans="2:24" s="120" customFormat="1" ht="62.25" thickTop="1" thickBot="1" x14ac:dyDescent="0.3">
      <c r="B4" s="621"/>
      <c r="C4" s="621"/>
      <c r="D4" s="621"/>
      <c r="E4" s="624" t="s">
        <v>56</v>
      </c>
      <c r="F4" s="625" t="s">
        <v>56</v>
      </c>
      <c r="G4" s="625" t="s">
        <v>56</v>
      </c>
      <c r="H4" s="632" t="s">
        <v>930</v>
      </c>
      <c r="I4" s="632" t="s">
        <v>931</v>
      </c>
      <c r="J4" s="632" t="s">
        <v>555</v>
      </c>
      <c r="K4" s="632" t="s">
        <v>751</v>
      </c>
      <c r="L4" s="632" t="s">
        <v>750</v>
      </c>
      <c r="M4" s="632" t="s">
        <v>542</v>
      </c>
      <c r="N4" s="632" t="s">
        <v>1125</v>
      </c>
      <c r="O4" s="106" t="s">
        <v>1022</v>
      </c>
      <c r="P4" s="106" t="s">
        <v>554</v>
      </c>
      <c r="Q4" s="106" t="s">
        <v>744</v>
      </c>
      <c r="R4" s="106" t="s">
        <v>1023</v>
      </c>
      <c r="S4" s="106" t="s">
        <v>770</v>
      </c>
      <c r="T4" s="106" t="s">
        <v>493</v>
      </c>
      <c r="U4" s="106" t="s">
        <v>1026</v>
      </c>
      <c r="V4" s="106" t="s">
        <v>643</v>
      </c>
      <c r="W4" s="106" t="s">
        <v>1128</v>
      </c>
      <c r="X4" s="106" t="s">
        <v>1281</v>
      </c>
    </row>
    <row r="5" spans="2:24" ht="26.1" customHeight="1" thickTop="1" thickBot="1" x14ac:dyDescent="0.4">
      <c r="B5" s="345">
        <v>45021</v>
      </c>
      <c r="C5" s="643" t="s">
        <v>932</v>
      </c>
      <c r="D5" s="499">
        <v>1</v>
      </c>
      <c r="E5" s="531">
        <f t="shared" ref="E5:E65" si="0">SUM(H5:N5)</f>
        <v>5813</v>
      </c>
      <c r="F5" s="110"/>
      <c r="G5" s="533">
        <f>E5</f>
        <v>5813</v>
      </c>
      <c r="H5" s="636">
        <f>'PAYMENT VOUCHERS'!E14</f>
        <v>5813</v>
      </c>
      <c r="I5" s="344"/>
      <c r="J5" s="344"/>
      <c r="K5" s="344"/>
      <c r="L5" s="344"/>
      <c r="M5" s="344"/>
      <c r="N5" s="637"/>
      <c r="O5" s="634"/>
      <c r="P5" s="626"/>
      <c r="Q5" s="627"/>
      <c r="R5" s="626"/>
      <c r="S5" s="626"/>
      <c r="T5" s="626"/>
      <c r="U5" s="626"/>
      <c r="V5" s="626"/>
      <c r="W5" s="628"/>
      <c r="X5" s="628"/>
    </row>
    <row r="6" spans="2:24" ht="26.1" customHeight="1" thickTop="1" thickBot="1" x14ac:dyDescent="0.4">
      <c r="B6" s="431">
        <v>45066</v>
      </c>
      <c r="C6" s="643" t="s">
        <v>672</v>
      </c>
      <c r="D6" s="499">
        <v>1</v>
      </c>
      <c r="E6" s="531">
        <f t="shared" si="0"/>
        <v>0</v>
      </c>
      <c r="F6" s="110">
        <f>SUM(O6:X6)</f>
        <v>5400</v>
      </c>
      <c r="G6" s="533">
        <f t="shared" ref="G6:G71" si="1">G5+E6-F6</f>
        <v>413</v>
      </c>
      <c r="H6" s="638"/>
      <c r="I6" s="218"/>
      <c r="J6" s="218"/>
      <c r="K6" s="218"/>
      <c r="L6" s="218"/>
      <c r="M6" s="218"/>
      <c r="N6" s="639"/>
      <c r="O6" s="634"/>
      <c r="P6" s="626"/>
      <c r="Q6" s="627">
        <f>'PAYMENT VOUCHERS'!E7</f>
        <v>5400</v>
      </c>
      <c r="R6" s="626"/>
      <c r="S6" s="626"/>
      <c r="T6" s="626"/>
      <c r="U6" s="626"/>
      <c r="V6" s="626"/>
      <c r="W6" s="628"/>
      <c r="X6" s="628"/>
    </row>
    <row r="7" spans="2:24" ht="26.1" customHeight="1" thickTop="1" thickBot="1" x14ac:dyDescent="0.4">
      <c r="B7" s="340">
        <v>45066</v>
      </c>
      <c r="C7" s="643" t="s">
        <v>671</v>
      </c>
      <c r="D7" s="499">
        <v>1</v>
      </c>
      <c r="E7" s="531">
        <f t="shared" si="0"/>
        <v>0</v>
      </c>
      <c r="F7" s="110">
        <f>SUM(O7:X7)</f>
        <v>100</v>
      </c>
      <c r="G7" s="533">
        <f t="shared" si="1"/>
        <v>313</v>
      </c>
      <c r="H7" s="638"/>
      <c r="I7" s="218"/>
      <c r="J7" s="218"/>
      <c r="K7" s="218"/>
      <c r="L7" s="218"/>
      <c r="M7" s="218"/>
      <c r="N7" s="639"/>
      <c r="O7" s="634"/>
      <c r="P7" s="626"/>
      <c r="Q7" s="627">
        <f>'PAYMENT VOUCHERS'!E8</f>
        <v>100</v>
      </c>
      <c r="R7" s="626"/>
      <c r="S7" s="626"/>
      <c r="T7" s="626"/>
      <c r="U7" s="626"/>
      <c r="V7" s="626"/>
      <c r="W7" s="628"/>
      <c r="X7" s="628"/>
    </row>
    <row r="8" spans="2:24" ht="26.1" customHeight="1" thickTop="1" thickBot="1" x14ac:dyDescent="0.4">
      <c r="B8" s="340">
        <v>45066</v>
      </c>
      <c r="C8" s="643" t="s">
        <v>1021</v>
      </c>
      <c r="D8" s="499">
        <v>1</v>
      </c>
      <c r="E8" s="531">
        <f t="shared" si="0"/>
        <v>0</v>
      </c>
      <c r="F8" s="110">
        <f>SUM(O8:X8)</f>
        <v>110</v>
      </c>
      <c r="G8" s="533">
        <f t="shared" si="1"/>
        <v>203</v>
      </c>
      <c r="H8" s="638"/>
      <c r="I8" s="218"/>
      <c r="J8" s="218"/>
      <c r="K8" s="218"/>
      <c r="L8" s="218"/>
      <c r="M8" s="218"/>
      <c r="N8" s="639"/>
      <c r="O8" s="634">
        <f>'PAYMENT VOUCHERS'!E9</f>
        <v>110</v>
      </c>
      <c r="P8" s="626"/>
      <c r="Q8" s="627"/>
      <c r="R8" s="626"/>
      <c r="S8" s="626"/>
      <c r="T8" s="626"/>
      <c r="U8" s="626"/>
      <c r="V8" s="626"/>
      <c r="W8" s="628"/>
      <c r="X8" s="628"/>
    </row>
    <row r="9" spans="2:24" ht="26.1" customHeight="1" thickTop="1" thickBot="1" x14ac:dyDescent="0.4">
      <c r="B9" s="340">
        <v>45066</v>
      </c>
      <c r="C9" s="643" t="s">
        <v>727</v>
      </c>
      <c r="D9" s="499">
        <v>1</v>
      </c>
      <c r="E9" s="531">
        <f t="shared" ref="E9:E16" si="2">SUM(H9:N9)</f>
        <v>0</v>
      </c>
      <c r="F9" s="110">
        <f t="shared" ref="F9:F16" si="3">SUM(O9:X9)</f>
        <v>50</v>
      </c>
      <c r="G9" s="533">
        <f t="shared" ref="G9:G16" si="4">G8+E9-F9</f>
        <v>153</v>
      </c>
      <c r="H9" s="638"/>
      <c r="I9" s="218"/>
      <c r="J9" s="218"/>
      <c r="K9" s="218"/>
      <c r="L9" s="218"/>
      <c r="M9" s="218"/>
      <c r="N9" s="639"/>
      <c r="O9" s="634"/>
      <c r="P9" s="626"/>
      <c r="Q9" s="627"/>
      <c r="R9" s="626">
        <f>'PAYMENT VOUCHERS'!E10</f>
        <v>50</v>
      </c>
      <c r="S9" s="626"/>
      <c r="T9" s="626"/>
      <c r="U9" s="626"/>
      <c r="V9" s="626"/>
      <c r="W9" s="628"/>
      <c r="X9" s="628"/>
    </row>
    <row r="10" spans="2:24" ht="26.1" customHeight="1" thickTop="1" thickBot="1" x14ac:dyDescent="0.4">
      <c r="B10" s="340">
        <v>45073</v>
      </c>
      <c r="C10" s="643" t="s">
        <v>672</v>
      </c>
      <c r="D10" s="499">
        <v>1</v>
      </c>
      <c r="E10" s="531">
        <f t="shared" si="2"/>
        <v>0</v>
      </c>
      <c r="F10" s="110">
        <f t="shared" si="3"/>
        <v>100</v>
      </c>
      <c r="G10" s="533">
        <f t="shared" si="4"/>
        <v>53</v>
      </c>
      <c r="H10" s="638"/>
      <c r="I10" s="218"/>
      <c r="J10" s="218"/>
      <c r="K10" s="218"/>
      <c r="L10" s="218"/>
      <c r="M10" s="218"/>
      <c r="N10" s="639"/>
      <c r="O10" s="634"/>
      <c r="P10" s="626"/>
      <c r="Q10" s="627">
        <f>'PAYMENT VOUCHERS'!E11</f>
        <v>100</v>
      </c>
      <c r="R10" s="626"/>
      <c r="S10" s="626"/>
      <c r="T10" s="626"/>
      <c r="U10" s="626"/>
      <c r="V10" s="626"/>
      <c r="W10" s="628"/>
      <c r="X10" s="628"/>
    </row>
    <row r="11" spans="2:24" ht="26.1" customHeight="1" thickTop="1" thickBot="1" x14ac:dyDescent="0.4">
      <c r="B11" s="340">
        <v>45073</v>
      </c>
      <c r="C11" s="643" t="s">
        <v>1021</v>
      </c>
      <c r="D11" s="499">
        <v>1</v>
      </c>
      <c r="E11" s="531">
        <f t="shared" si="2"/>
        <v>0</v>
      </c>
      <c r="F11" s="110">
        <f t="shared" si="3"/>
        <v>3</v>
      </c>
      <c r="G11" s="533">
        <f t="shared" si="4"/>
        <v>50</v>
      </c>
      <c r="H11" s="638"/>
      <c r="I11" s="218"/>
      <c r="J11" s="218"/>
      <c r="K11" s="218"/>
      <c r="L11" s="218"/>
      <c r="M11" s="218"/>
      <c r="N11" s="639"/>
      <c r="O11" s="634">
        <f>'PAYMENT VOUCHERS'!E12</f>
        <v>3</v>
      </c>
      <c r="P11" s="626"/>
      <c r="Q11" s="627"/>
      <c r="R11" s="626"/>
      <c r="S11" s="626"/>
      <c r="T11" s="626"/>
      <c r="U11" s="626"/>
      <c r="V11" s="626"/>
      <c r="W11" s="628"/>
      <c r="X11" s="628"/>
    </row>
    <row r="12" spans="2:24" ht="26.1" customHeight="1" thickTop="1" thickBot="1" x14ac:dyDescent="0.4">
      <c r="B12" s="340">
        <v>45073</v>
      </c>
      <c r="C12" s="643" t="s">
        <v>727</v>
      </c>
      <c r="D12" s="499">
        <v>1</v>
      </c>
      <c r="E12" s="531">
        <f t="shared" si="2"/>
        <v>0</v>
      </c>
      <c r="F12" s="110">
        <f t="shared" si="3"/>
        <v>50</v>
      </c>
      <c r="G12" s="533">
        <f t="shared" si="4"/>
        <v>0</v>
      </c>
      <c r="H12" s="638"/>
      <c r="I12" s="218"/>
      <c r="J12" s="218"/>
      <c r="K12" s="218"/>
      <c r="L12" s="218"/>
      <c r="M12" s="218"/>
      <c r="N12" s="639"/>
      <c r="O12" s="634"/>
      <c r="P12" s="626"/>
      <c r="Q12" s="627"/>
      <c r="R12" s="626">
        <f>'PAYMENT VOUCHERS'!E13</f>
        <v>50</v>
      </c>
      <c r="S12" s="626"/>
      <c r="T12" s="626"/>
      <c r="U12" s="626"/>
      <c r="V12" s="626"/>
      <c r="W12" s="628"/>
      <c r="X12" s="628"/>
    </row>
    <row r="13" spans="2:24" ht="26.1" customHeight="1" thickTop="1" thickBot="1" x14ac:dyDescent="0.4">
      <c r="B13" s="340">
        <v>45158</v>
      </c>
      <c r="C13" s="643" t="s">
        <v>1126</v>
      </c>
      <c r="D13" s="499">
        <v>2</v>
      </c>
      <c r="E13" s="531">
        <f t="shared" si="2"/>
        <v>400</v>
      </c>
      <c r="F13" s="110">
        <f t="shared" si="3"/>
        <v>0</v>
      </c>
      <c r="G13" s="533">
        <f t="shared" si="4"/>
        <v>400</v>
      </c>
      <c r="H13" s="638"/>
      <c r="I13" s="218"/>
      <c r="J13" s="218"/>
      <c r="K13" s="218"/>
      <c r="L13" s="218"/>
      <c r="M13" s="218"/>
      <c r="N13" s="639">
        <f>'MTN MOMO ACCOUNT'!E32</f>
        <v>400</v>
      </c>
      <c r="O13" s="634"/>
      <c r="P13" s="626"/>
      <c r="Q13" s="627"/>
      <c r="R13" s="626"/>
      <c r="S13" s="626"/>
      <c r="T13" s="626"/>
      <c r="U13" s="626"/>
      <c r="V13" s="626"/>
      <c r="W13" s="628"/>
      <c r="X13" s="628"/>
    </row>
    <row r="14" spans="2:24" ht="26.1" customHeight="1" thickTop="1" thickBot="1" x14ac:dyDescent="0.4">
      <c r="B14" s="340">
        <v>45158</v>
      </c>
      <c r="C14" s="643" t="s">
        <v>1127</v>
      </c>
      <c r="D14" s="499">
        <v>2</v>
      </c>
      <c r="E14" s="531">
        <f t="shared" si="2"/>
        <v>0</v>
      </c>
      <c r="F14" s="110">
        <f t="shared" si="3"/>
        <v>400</v>
      </c>
      <c r="G14" s="533">
        <f t="shared" si="4"/>
        <v>0</v>
      </c>
      <c r="H14" s="638"/>
      <c r="I14" s="218"/>
      <c r="J14" s="218"/>
      <c r="K14" s="218"/>
      <c r="L14" s="218"/>
      <c r="M14" s="218"/>
      <c r="N14" s="639"/>
      <c r="O14" s="634"/>
      <c r="P14" s="626"/>
      <c r="Q14" s="627"/>
      <c r="R14" s="626"/>
      <c r="S14" s="626"/>
      <c r="T14" s="626"/>
      <c r="U14" s="626"/>
      <c r="V14" s="626"/>
      <c r="W14" s="628">
        <f>'MTN MOMO ACCOUNT'!E32</f>
        <v>400</v>
      </c>
      <c r="X14" s="628"/>
    </row>
    <row r="15" spans="2:24" ht="26.1" customHeight="1" thickTop="1" thickBot="1" x14ac:dyDescent="0.4">
      <c r="B15" s="340">
        <v>45204</v>
      </c>
      <c r="C15" s="343" t="s">
        <v>932</v>
      </c>
      <c r="D15" s="500">
        <v>3</v>
      </c>
      <c r="E15" s="531">
        <f t="shared" si="2"/>
        <v>1734</v>
      </c>
      <c r="F15" s="110">
        <f t="shared" si="3"/>
        <v>0</v>
      </c>
      <c r="G15" s="533">
        <f t="shared" si="4"/>
        <v>1734</v>
      </c>
      <c r="H15" s="638">
        <f>'PAYMENT VOUCHERS'!E32</f>
        <v>1734</v>
      </c>
      <c r="I15" s="218"/>
      <c r="J15" s="218"/>
      <c r="K15" s="218"/>
      <c r="L15" s="218"/>
      <c r="M15" s="218"/>
      <c r="N15" s="639"/>
      <c r="O15" s="634"/>
      <c r="P15" s="626"/>
      <c r="Q15" s="627"/>
      <c r="R15" s="626"/>
      <c r="S15" s="626"/>
      <c r="T15" s="626"/>
      <c r="U15" s="626"/>
      <c r="V15" s="626"/>
      <c r="W15" s="628"/>
      <c r="X15" s="628"/>
    </row>
    <row r="16" spans="2:24" ht="26.1" customHeight="1" thickTop="1" thickBot="1" x14ac:dyDescent="0.4">
      <c r="B16" s="346">
        <v>45205</v>
      </c>
      <c r="C16" s="643" t="s">
        <v>519</v>
      </c>
      <c r="D16" s="500">
        <v>3</v>
      </c>
      <c r="E16" s="531">
        <f t="shared" si="2"/>
        <v>0</v>
      </c>
      <c r="F16" s="110">
        <f t="shared" si="3"/>
        <v>1300</v>
      </c>
      <c r="G16" s="533">
        <f t="shared" si="4"/>
        <v>434</v>
      </c>
      <c r="H16" s="638"/>
      <c r="I16" s="218"/>
      <c r="J16" s="218"/>
      <c r="K16" s="218"/>
      <c r="L16" s="218"/>
      <c r="M16" s="218"/>
      <c r="N16" s="639"/>
      <c r="O16" s="634"/>
      <c r="P16" s="626"/>
      <c r="Q16" s="627"/>
      <c r="R16" s="626"/>
      <c r="S16" s="626"/>
      <c r="T16" s="626"/>
      <c r="U16" s="626"/>
      <c r="V16" s="626">
        <f>'PAYMENT VOUCHERS'!E25</f>
        <v>1300</v>
      </c>
      <c r="W16" s="628"/>
      <c r="X16" s="628"/>
    </row>
    <row r="17" spans="2:24" ht="26.1" customHeight="1" thickTop="1" thickBot="1" x14ac:dyDescent="0.4">
      <c r="B17" s="346">
        <v>45205</v>
      </c>
      <c r="C17" s="643" t="s">
        <v>1021</v>
      </c>
      <c r="D17" s="500">
        <v>3</v>
      </c>
      <c r="E17" s="531">
        <f t="shared" si="0"/>
        <v>0</v>
      </c>
      <c r="F17" s="110">
        <f t="shared" ref="F17:F48" si="5">SUM(O17:X17)</f>
        <v>28</v>
      </c>
      <c r="G17" s="533">
        <f t="shared" si="1"/>
        <v>406</v>
      </c>
      <c r="H17" s="638"/>
      <c r="I17" s="218"/>
      <c r="J17" s="218"/>
      <c r="K17" s="218"/>
      <c r="L17" s="218"/>
      <c r="M17" s="218"/>
      <c r="N17" s="639"/>
      <c r="O17" s="634">
        <f>'PAYMENT VOUCHERS'!E26</f>
        <v>28</v>
      </c>
      <c r="P17" s="626"/>
      <c r="Q17" s="627"/>
      <c r="R17" s="626"/>
      <c r="S17" s="626"/>
      <c r="T17" s="626"/>
      <c r="U17" s="626"/>
      <c r="V17" s="626"/>
      <c r="W17" s="628"/>
      <c r="X17" s="628"/>
    </row>
    <row r="18" spans="2:24" ht="26.1" customHeight="1" thickTop="1" thickBot="1" x14ac:dyDescent="0.4">
      <c r="B18" s="346">
        <v>45205</v>
      </c>
      <c r="C18" s="643" t="s">
        <v>752</v>
      </c>
      <c r="D18" s="500">
        <v>3</v>
      </c>
      <c r="E18" s="531">
        <f t="shared" si="0"/>
        <v>0</v>
      </c>
      <c r="F18" s="110">
        <f t="shared" si="5"/>
        <v>100</v>
      </c>
      <c r="G18" s="533">
        <f t="shared" si="1"/>
        <v>306</v>
      </c>
      <c r="H18" s="638"/>
      <c r="I18" s="218"/>
      <c r="J18" s="218"/>
      <c r="K18" s="218"/>
      <c r="L18" s="218"/>
      <c r="M18" s="218"/>
      <c r="N18" s="639"/>
      <c r="O18" s="634"/>
      <c r="P18" s="626"/>
      <c r="Q18" s="627"/>
      <c r="R18" s="626">
        <f>'PAYMENT VOUCHERS'!E27</f>
        <v>100</v>
      </c>
      <c r="S18" s="626"/>
      <c r="T18" s="626"/>
      <c r="U18" s="626"/>
      <c r="V18" s="626"/>
      <c r="W18" s="628"/>
      <c r="X18" s="628"/>
    </row>
    <row r="19" spans="2:24" ht="26.1" customHeight="1" thickTop="1" thickBot="1" x14ac:dyDescent="0.4">
      <c r="B19" s="346">
        <v>45208</v>
      </c>
      <c r="C19" s="128" t="s">
        <v>520</v>
      </c>
      <c r="D19" s="500">
        <v>3</v>
      </c>
      <c r="E19" s="531">
        <f t="shared" si="0"/>
        <v>0</v>
      </c>
      <c r="F19" s="110">
        <f t="shared" si="5"/>
        <v>100</v>
      </c>
      <c r="G19" s="533">
        <f t="shared" si="1"/>
        <v>206</v>
      </c>
      <c r="H19" s="638"/>
      <c r="I19" s="218"/>
      <c r="J19" s="218"/>
      <c r="K19" s="218"/>
      <c r="L19" s="218"/>
      <c r="M19" s="218"/>
      <c r="N19" s="639"/>
      <c r="O19" s="634"/>
      <c r="P19" s="626"/>
      <c r="Q19" s="627"/>
      <c r="R19" s="626">
        <f>'PAYMENT VOUCHERS'!E28</f>
        <v>100</v>
      </c>
      <c r="S19" s="626"/>
      <c r="T19" s="626"/>
      <c r="U19" s="626"/>
      <c r="V19" s="626"/>
      <c r="W19" s="628"/>
      <c r="X19" s="628"/>
    </row>
    <row r="20" spans="2:24" ht="26.1" customHeight="1" thickTop="1" thickBot="1" x14ac:dyDescent="0.4">
      <c r="B20" s="346">
        <v>45208</v>
      </c>
      <c r="C20" s="643" t="s">
        <v>1021</v>
      </c>
      <c r="D20" s="500">
        <v>3</v>
      </c>
      <c r="E20" s="531">
        <f t="shared" si="0"/>
        <v>0</v>
      </c>
      <c r="F20" s="110">
        <f t="shared" si="5"/>
        <v>6</v>
      </c>
      <c r="G20" s="533">
        <f t="shared" si="1"/>
        <v>200</v>
      </c>
      <c r="H20" s="638"/>
      <c r="I20" s="218"/>
      <c r="J20" s="218"/>
      <c r="K20" s="218"/>
      <c r="L20" s="218"/>
      <c r="M20" s="218"/>
      <c r="N20" s="639"/>
      <c r="O20" s="634">
        <f>'PAYMENT VOUCHERS'!E29</f>
        <v>6</v>
      </c>
      <c r="P20" s="626"/>
      <c r="Q20" s="627"/>
      <c r="R20" s="626"/>
      <c r="S20" s="626"/>
      <c r="T20" s="626"/>
      <c r="U20" s="626"/>
      <c r="V20" s="626"/>
      <c r="W20" s="628"/>
      <c r="X20" s="628"/>
    </row>
    <row r="21" spans="2:24" ht="26.1" customHeight="1" thickTop="1" thickBot="1" x14ac:dyDescent="0.4">
      <c r="B21" s="346">
        <v>45209</v>
      </c>
      <c r="C21" s="128" t="s">
        <v>520</v>
      </c>
      <c r="D21" s="500">
        <v>3</v>
      </c>
      <c r="E21" s="531">
        <f t="shared" si="0"/>
        <v>0</v>
      </c>
      <c r="F21" s="110">
        <f t="shared" si="5"/>
        <v>100</v>
      </c>
      <c r="G21" s="533">
        <f t="shared" si="1"/>
        <v>100</v>
      </c>
      <c r="H21" s="638"/>
      <c r="I21" s="218"/>
      <c r="J21" s="218"/>
      <c r="K21" s="218"/>
      <c r="L21" s="218"/>
      <c r="M21" s="218"/>
      <c r="N21" s="639"/>
      <c r="O21" s="634"/>
      <c r="P21" s="626"/>
      <c r="Q21" s="627"/>
      <c r="R21" s="626">
        <f>'PAYMENT VOUCHERS'!E30</f>
        <v>100</v>
      </c>
      <c r="S21" s="626"/>
      <c r="T21" s="626"/>
      <c r="U21" s="626"/>
      <c r="V21" s="626"/>
      <c r="W21" s="628"/>
      <c r="X21" s="628"/>
    </row>
    <row r="22" spans="2:24" ht="26.1" customHeight="1" thickTop="1" thickBot="1" x14ac:dyDescent="0.4">
      <c r="B22" s="346">
        <v>45211</v>
      </c>
      <c r="C22" s="128" t="s">
        <v>530</v>
      </c>
      <c r="D22" s="500">
        <v>3</v>
      </c>
      <c r="E22" s="531">
        <f t="shared" si="0"/>
        <v>0</v>
      </c>
      <c r="F22" s="110">
        <f t="shared" si="5"/>
        <v>100</v>
      </c>
      <c r="G22" s="533">
        <f t="shared" si="1"/>
        <v>0</v>
      </c>
      <c r="H22" s="638"/>
      <c r="I22" s="218"/>
      <c r="J22" s="218"/>
      <c r="K22" s="218"/>
      <c r="L22" s="218"/>
      <c r="M22" s="218"/>
      <c r="N22" s="639"/>
      <c r="O22" s="634"/>
      <c r="P22" s="626"/>
      <c r="Q22" s="627"/>
      <c r="R22" s="626">
        <f>'PAYMENT VOUCHERS'!E31</f>
        <v>100</v>
      </c>
      <c r="S22" s="626"/>
      <c r="T22" s="626"/>
      <c r="U22" s="626"/>
      <c r="V22" s="626"/>
      <c r="W22" s="628"/>
      <c r="X22" s="628"/>
    </row>
    <row r="23" spans="2:24" ht="26.1" customHeight="1" thickTop="1" thickBot="1" x14ac:dyDescent="0.4">
      <c r="B23" s="345">
        <v>44957</v>
      </c>
      <c r="C23" s="643" t="s">
        <v>932</v>
      </c>
      <c r="D23" s="499">
        <v>4</v>
      </c>
      <c r="E23" s="531">
        <f t="shared" si="0"/>
        <v>153</v>
      </c>
      <c r="F23" s="110">
        <f t="shared" si="5"/>
        <v>0</v>
      </c>
      <c r="G23" s="533">
        <f t="shared" si="1"/>
        <v>153</v>
      </c>
      <c r="H23" s="638">
        <f>'PAYMENT VOUCHERS'!E40</f>
        <v>153</v>
      </c>
      <c r="I23" s="218"/>
      <c r="J23" s="218"/>
      <c r="K23" s="218"/>
      <c r="L23" s="218"/>
      <c r="M23" s="218"/>
      <c r="N23" s="639"/>
      <c r="O23" s="634"/>
      <c r="P23" s="626"/>
      <c r="Q23" s="627"/>
      <c r="R23" s="626"/>
      <c r="S23" s="626"/>
      <c r="T23" s="626"/>
      <c r="U23" s="626"/>
      <c r="V23" s="626"/>
      <c r="W23" s="628"/>
      <c r="X23" s="628"/>
    </row>
    <row r="24" spans="2:24" ht="26.1" customHeight="1" thickTop="1" thickBot="1" x14ac:dyDescent="0.4">
      <c r="B24" s="346">
        <v>45349</v>
      </c>
      <c r="C24" s="128" t="s">
        <v>741</v>
      </c>
      <c r="D24" s="500">
        <v>4</v>
      </c>
      <c r="E24" s="531">
        <f t="shared" si="0"/>
        <v>0</v>
      </c>
      <c r="F24" s="110">
        <f t="shared" si="5"/>
        <v>100</v>
      </c>
      <c r="G24" s="533">
        <f t="shared" si="1"/>
        <v>53</v>
      </c>
      <c r="H24" s="638"/>
      <c r="I24" s="218"/>
      <c r="J24" s="218"/>
      <c r="K24" s="218"/>
      <c r="L24" s="218"/>
      <c r="M24" s="218"/>
      <c r="N24" s="639"/>
      <c r="O24" s="634"/>
      <c r="P24" s="626"/>
      <c r="Q24" s="627"/>
      <c r="R24" s="626">
        <f>'PAYMENT VOUCHERS'!E37</f>
        <v>100</v>
      </c>
      <c r="S24" s="626"/>
      <c r="T24" s="626"/>
      <c r="U24" s="626"/>
      <c r="V24" s="626"/>
      <c r="W24" s="628"/>
      <c r="X24" s="628"/>
    </row>
    <row r="25" spans="2:24" ht="26.1" customHeight="1" thickTop="1" thickBot="1" x14ac:dyDescent="0.4">
      <c r="B25" s="346">
        <v>45349</v>
      </c>
      <c r="C25" s="643" t="s">
        <v>1021</v>
      </c>
      <c r="D25" s="500">
        <v>4</v>
      </c>
      <c r="E25" s="531"/>
      <c r="F25" s="110">
        <f t="shared" si="5"/>
        <v>0</v>
      </c>
      <c r="G25" s="533">
        <f t="shared" si="1"/>
        <v>53</v>
      </c>
      <c r="H25" s="638"/>
      <c r="I25" s="218"/>
      <c r="J25" s="218"/>
      <c r="K25" s="218"/>
      <c r="L25" s="218"/>
      <c r="M25" s="218"/>
      <c r="N25" s="639"/>
      <c r="O25" s="634"/>
      <c r="P25" s="626"/>
      <c r="Q25" s="627"/>
      <c r="R25" s="626"/>
      <c r="S25" s="626"/>
      <c r="T25" s="626"/>
      <c r="U25" s="626"/>
      <c r="V25" s="626"/>
      <c r="W25" s="628"/>
      <c r="X25" s="628"/>
    </row>
    <row r="26" spans="2:24" ht="26.1" customHeight="1" thickTop="1" thickBot="1" x14ac:dyDescent="0.4">
      <c r="B26" s="346">
        <v>45349</v>
      </c>
      <c r="C26" s="643" t="s">
        <v>727</v>
      </c>
      <c r="D26" s="500">
        <v>4</v>
      </c>
      <c r="E26" s="531">
        <f t="shared" si="0"/>
        <v>0</v>
      </c>
      <c r="F26" s="110">
        <f t="shared" si="5"/>
        <v>50</v>
      </c>
      <c r="G26" s="533">
        <f t="shared" si="1"/>
        <v>3</v>
      </c>
      <c r="H26" s="638"/>
      <c r="I26" s="218"/>
      <c r="J26" s="218"/>
      <c r="K26" s="218"/>
      <c r="L26" s="218"/>
      <c r="M26" s="218"/>
      <c r="N26" s="639"/>
      <c r="O26" s="634"/>
      <c r="P26" s="626"/>
      <c r="Q26" s="627"/>
      <c r="R26" s="626">
        <f>'PAYMENT VOUCHERS'!E39</f>
        <v>50</v>
      </c>
      <c r="S26" s="626"/>
      <c r="T26" s="626"/>
      <c r="U26" s="626"/>
      <c r="V26" s="626"/>
      <c r="W26" s="628"/>
      <c r="X26" s="628"/>
    </row>
    <row r="27" spans="2:24" ht="26.1" customHeight="1" thickTop="1" thickBot="1" x14ac:dyDescent="0.4">
      <c r="B27" s="346">
        <v>45397</v>
      </c>
      <c r="C27" s="643" t="s">
        <v>932</v>
      </c>
      <c r="D27" s="500">
        <v>5</v>
      </c>
      <c r="E27" s="531">
        <f t="shared" si="0"/>
        <v>1581</v>
      </c>
      <c r="F27" s="110">
        <f t="shared" si="5"/>
        <v>3</v>
      </c>
      <c r="G27" s="533">
        <f t="shared" si="1"/>
        <v>1581</v>
      </c>
      <c r="H27" s="638">
        <f>'PAYMENT VOUCHERS'!E55</f>
        <v>1581</v>
      </c>
      <c r="I27" s="218"/>
      <c r="J27" s="218"/>
      <c r="K27" s="218"/>
      <c r="L27" s="218"/>
      <c r="M27" s="218"/>
      <c r="N27" s="639"/>
      <c r="O27" s="634">
        <f>'PAYMENT VOUCHERS'!E38</f>
        <v>3</v>
      </c>
      <c r="P27" s="626"/>
      <c r="Q27" s="627"/>
      <c r="R27" s="626"/>
      <c r="S27" s="626"/>
      <c r="T27" s="626"/>
      <c r="U27" s="626"/>
      <c r="V27" s="626"/>
      <c r="W27" s="628"/>
      <c r="X27" s="628"/>
    </row>
    <row r="28" spans="2:24" ht="26.1" customHeight="1" thickTop="1" thickBot="1" x14ac:dyDescent="0.4">
      <c r="B28" s="346">
        <v>45398</v>
      </c>
      <c r="C28" s="128" t="s">
        <v>1027</v>
      </c>
      <c r="D28" s="500">
        <v>5</v>
      </c>
      <c r="E28" s="531">
        <f t="shared" si="0"/>
        <v>0</v>
      </c>
      <c r="F28" s="110">
        <f t="shared" si="5"/>
        <v>80</v>
      </c>
      <c r="G28" s="533">
        <f t="shared" si="1"/>
        <v>1501</v>
      </c>
      <c r="H28" s="638"/>
      <c r="I28" s="218"/>
      <c r="J28" s="218"/>
      <c r="K28" s="218"/>
      <c r="L28" s="218"/>
      <c r="M28" s="218"/>
      <c r="N28" s="639"/>
      <c r="O28" s="634"/>
      <c r="P28" s="626"/>
      <c r="Q28" s="627"/>
      <c r="R28" s="626"/>
      <c r="S28" s="626"/>
      <c r="T28" s="626">
        <f>'PAYMENT VOUCHERS'!E45</f>
        <v>80</v>
      </c>
      <c r="U28" s="626"/>
      <c r="V28" s="626"/>
      <c r="W28" s="628"/>
      <c r="X28" s="628"/>
    </row>
    <row r="29" spans="2:24" ht="26.1" customHeight="1" thickTop="1" thickBot="1" x14ac:dyDescent="0.4">
      <c r="B29" s="346">
        <v>45398</v>
      </c>
      <c r="C29" s="128" t="s">
        <v>730</v>
      </c>
      <c r="D29" s="500">
        <v>5</v>
      </c>
      <c r="E29" s="531">
        <f t="shared" si="0"/>
        <v>0</v>
      </c>
      <c r="F29" s="110">
        <f t="shared" si="5"/>
        <v>120</v>
      </c>
      <c r="G29" s="533">
        <f t="shared" si="1"/>
        <v>1381</v>
      </c>
      <c r="H29" s="638"/>
      <c r="I29" s="218"/>
      <c r="J29" s="218"/>
      <c r="K29" s="218"/>
      <c r="L29" s="218"/>
      <c r="M29" s="218"/>
      <c r="N29" s="639"/>
      <c r="O29" s="634"/>
      <c r="P29" s="626"/>
      <c r="Q29" s="627"/>
      <c r="R29" s="626"/>
      <c r="S29" s="626"/>
      <c r="T29" s="626">
        <f>'PAYMENT VOUCHERS'!E46</f>
        <v>120</v>
      </c>
      <c r="U29" s="626"/>
      <c r="V29" s="626"/>
      <c r="W29" s="628"/>
      <c r="X29" s="628"/>
    </row>
    <row r="30" spans="2:24" ht="26.1" customHeight="1" thickTop="1" thickBot="1" x14ac:dyDescent="0.4">
      <c r="B30" s="346">
        <v>45398</v>
      </c>
      <c r="C30" s="128" t="s">
        <v>739</v>
      </c>
      <c r="D30" s="500">
        <v>5</v>
      </c>
      <c r="E30" s="531">
        <f t="shared" si="0"/>
        <v>0</v>
      </c>
      <c r="F30" s="110">
        <f t="shared" si="5"/>
        <v>300</v>
      </c>
      <c r="G30" s="533">
        <f t="shared" si="1"/>
        <v>1081</v>
      </c>
      <c r="H30" s="638"/>
      <c r="I30" s="218"/>
      <c r="J30" s="218"/>
      <c r="K30" s="218"/>
      <c r="L30" s="218"/>
      <c r="M30" s="218"/>
      <c r="N30" s="639"/>
      <c r="O30" s="634"/>
      <c r="P30" s="626"/>
      <c r="Q30" s="627"/>
      <c r="R30" s="626">
        <f>'PAYMENT VOUCHERS'!E47</f>
        <v>300</v>
      </c>
      <c r="S30" s="626"/>
      <c r="T30" s="626"/>
      <c r="U30" s="626"/>
      <c r="V30" s="626"/>
      <c r="W30" s="628"/>
      <c r="X30" s="628"/>
    </row>
    <row r="31" spans="2:24" ht="26.1" customHeight="1" thickTop="1" thickBot="1" x14ac:dyDescent="0.4">
      <c r="B31" s="346">
        <v>45398</v>
      </c>
      <c r="C31" s="128" t="s">
        <v>748</v>
      </c>
      <c r="D31" s="500">
        <v>5</v>
      </c>
      <c r="E31" s="531">
        <f t="shared" si="0"/>
        <v>0</v>
      </c>
      <c r="F31" s="110">
        <f t="shared" si="5"/>
        <v>150</v>
      </c>
      <c r="G31" s="533">
        <f t="shared" si="1"/>
        <v>931</v>
      </c>
      <c r="H31" s="638"/>
      <c r="I31" s="218"/>
      <c r="J31" s="218"/>
      <c r="K31" s="218"/>
      <c r="L31" s="218"/>
      <c r="M31" s="218"/>
      <c r="N31" s="639"/>
      <c r="O31" s="634"/>
      <c r="P31" s="626"/>
      <c r="Q31" s="627"/>
      <c r="R31" s="626">
        <f>'PAYMENT VOUCHERS'!E48</f>
        <v>150</v>
      </c>
      <c r="S31" s="626"/>
      <c r="T31" s="626"/>
      <c r="U31" s="626"/>
      <c r="V31" s="626"/>
      <c r="W31" s="628"/>
      <c r="X31" s="628"/>
    </row>
    <row r="32" spans="2:24" ht="26.1" customHeight="1" thickTop="1" thickBot="1" x14ac:dyDescent="0.4">
      <c r="B32" s="346">
        <v>45398</v>
      </c>
      <c r="C32" s="128" t="s">
        <v>740</v>
      </c>
      <c r="D32" s="500">
        <v>5</v>
      </c>
      <c r="E32" s="531">
        <f t="shared" si="0"/>
        <v>0</v>
      </c>
      <c r="F32" s="110">
        <f t="shared" si="5"/>
        <v>150</v>
      </c>
      <c r="G32" s="533">
        <f t="shared" si="1"/>
        <v>781</v>
      </c>
      <c r="H32" s="638"/>
      <c r="I32" s="218"/>
      <c r="J32" s="218"/>
      <c r="K32" s="218"/>
      <c r="L32" s="218"/>
      <c r="M32" s="218"/>
      <c r="N32" s="639"/>
      <c r="O32" s="634"/>
      <c r="P32" s="626"/>
      <c r="Q32" s="627"/>
      <c r="R32" s="626">
        <f>'PAYMENT VOUCHERS'!E49</f>
        <v>150</v>
      </c>
      <c r="S32" s="626"/>
      <c r="T32" s="626"/>
      <c r="U32" s="626"/>
      <c r="V32" s="626"/>
      <c r="W32" s="628"/>
      <c r="X32" s="628"/>
    </row>
    <row r="33" spans="2:24" ht="26.1" customHeight="1" thickTop="1" thickBot="1" x14ac:dyDescent="0.4">
      <c r="B33" s="346">
        <v>45398</v>
      </c>
      <c r="C33" s="643" t="s">
        <v>1021</v>
      </c>
      <c r="D33" s="500">
        <v>5</v>
      </c>
      <c r="E33" s="531"/>
      <c r="F33" s="110">
        <f t="shared" si="5"/>
        <v>16</v>
      </c>
      <c r="G33" s="533">
        <f t="shared" si="1"/>
        <v>765</v>
      </c>
      <c r="H33" s="638"/>
      <c r="I33" s="218"/>
      <c r="J33" s="218"/>
      <c r="K33" s="218"/>
      <c r="L33" s="218"/>
      <c r="M33" s="218"/>
      <c r="N33" s="639"/>
      <c r="O33" s="634">
        <f>'PAYMENT VOUCHERS'!E50</f>
        <v>16</v>
      </c>
      <c r="P33" s="626"/>
      <c r="Q33" s="627"/>
      <c r="R33" s="626"/>
      <c r="S33" s="626"/>
      <c r="T33" s="626"/>
      <c r="U33" s="626"/>
      <c r="V33" s="626"/>
      <c r="W33" s="628"/>
      <c r="X33" s="628"/>
    </row>
    <row r="34" spans="2:24" ht="26.1" customHeight="1" thickTop="1" thickBot="1" x14ac:dyDescent="0.4">
      <c r="B34" s="346">
        <v>45406</v>
      </c>
      <c r="C34" s="128" t="s">
        <v>556</v>
      </c>
      <c r="D34" s="500">
        <v>5</v>
      </c>
      <c r="E34" s="531">
        <f t="shared" si="0"/>
        <v>0</v>
      </c>
      <c r="F34" s="110">
        <f t="shared" si="5"/>
        <v>500</v>
      </c>
      <c r="G34" s="533">
        <f t="shared" si="1"/>
        <v>265</v>
      </c>
      <c r="H34" s="638"/>
      <c r="I34" s="218"/>
      <c r="J34" s="218"/>
      <c r="K34" s="218"/>
      <c r="L34" s="218"/>
      <c r="M34" s="218"/>
      <c r="N34" s="639"/>
      <c r="O34" s="634"/>
      <c r="P34" s="626"/>
      <c r="Q34" s="627"/>
      <c r="R34" s="626"/>
      <c r="S34" s="626"/>
      <c r="T34" s="626"/>
      <c r="U34" s="626">
        <f>'PAYMENT VOUCHERS'!E51</f>
        <v>500</v>
      </c>
      <c r="V34" s="626"/>
      <c r="W34" s="628"/>
      <c r="X34" s="628"/>
    </row>
    <row r="35" spans="2:24" ht="26.1" customHeight="1" thickTop="1" thickBot="1" x14ac:dyDescent="0.4">
      <c r="B35" s="346">
        <v>45406</v>
      </c>
      <c r="C35" s="128" t="s">
        <v>749</v>
      </c>
      <c r="D35" s="500">
        <v>5</v>
      </c>
      <c r="E35" s="531">
        <f t="shared" si="0"/>
        <v>0</v>
      </c>
      <c r="F35" s="110">
        <f t="shared" si="5"/>
        <v>15</v>
      </c>
      <c r="G35" s="533">
        <f t="shared" si="1"/>
        <v>250</v>
      </c>
      <c r="H35" s="638"/>
      <c r="I35" s="218"/>
      <c r="J35" s="218"/>
      <c r="K35" s="218"/>
      <c r="L35" s="218"/>
      <c r="M35" s="218"/>
      <c r="N35" s="639"/>
      <c r="O35" s="634">
        <f>'PAYMENT VOUCHERS'!E52</f>
        <v>15</v>
      </c>
      <c r="P35" s="626"/>
      <c r="Q35" s="627"/>
      <c r="R35" s="626"/>
      <c r="S35" s="626"/>
      <c r="T35" s="626"/>
      <c r="U35" s="626"/>
      <c r="V35" s="626"/>
      <c r="W35" s="628"/>
      <c r="X35" s="628"/>
    </row>
    <row r="36" spans="2:24" ht="26.1" customHeight="1" thickTop="1" thickBot="1" x14ac:dyDescent="0.4">
      <c r="B36" s="346">
        <v>45406</v>
      </c>
      <c r="C36" s="643" t="s">
        <v>1021</v>
      </c>
      <c r="D36" s="500">
        <v>5</v>
      </c>
      <c r="E36" s="531"/>
      <c r="F36" s="110">
        <f t="shared" si="5"/>
        <v>150</v>
      </c>
      <c r="G36" s="533">
        <f t="shared" si="1"/>
        <v>100</v>
      </c>
      <c r="H36" s="638"/>
      <c r="I36" s="218"/>
      <c r="J36" s="218"/>
      <c r="K36" s="218"/>
      <c r="L36" s="218"/>
      <c r="M36" s="218"/>
      <c r="N36" s="639"/>
      <c r="O36" s="634"/>
      <c r="P36" s="626"/>
      <c r="Q36" s="627"/>
      <c r="R36" s="626">
        <f>'PAYMENT VOUCHERS'!E53</f>
        <v>150</v>
      </c>
      <c r="S36" s="626"/>
      <c r="T36" s="626"/>
      <c r="U36" s="626"/>
      <c r="V36" s="626"/>
      <c r="W36" s="628"/>
      <c r="X36" s="628"/>
    </row>
    <row r="37" spans="2:24" ht="26.1" customHeight="1" thickTop="1" thickBot="1" x14ac:dyDescent="0.4">
      <c r="B37" s="346">
        <v>45406</v>
      </c>
      <c r="C37" s="128" t="s">
        <v>1028</v>
      </c>
      <c r="D37" s="500">
        <v>5</v>
      </c>
      <c r="E37" s="531">
        <f t="shared" si="0"/>
        <v>0</v>
      </c>
      <c r="F37" s="110">
        <f t="shared" si="5"/>
        <v>100</v>
      </c>
      <c r="G37" s="533">
        <f t="shared" si="1"/>
        <v>0</v>
      </c>
      <c r="H37" s="638"/>
      <c r="I37" s="218"/>
      <c r="J37" s="218"/>
      <c r="K37" s="218"/>
      <c r="L37" s="218"/>
      <c r="M37" s="218"/>
      <c r="N37" s="639"/>
      <c r="O37" s="634"/>
      <c r="P37" s="626"/>
      <c r="Q37" s="627"/>
      <c r="R37" s="626">
        <f>'PAYMENT VOUCHERS'!E54</f>
        <v>100</v>
      </c>
      <c r="S37" s="626"/>
      <c r="T37" s="626"/>
      <c r="U37" s="626"/>
      <c r="V37" s="626"/>
      <c r="W37" s="628"/>
      <c r="X37" s="628"/>
    </row>
    <row r="38" spans="2:24" ht="26.1" customHeight="1" thickTop="1" thickBot="1" x14ac:dyDescent="0.4">
      <c r="B38" s="346">
        <v>45419</v>
      </c>
      <c r="C38" s="128" t="s">
        <v>932</v>
      </c>
      <c r="D38" s="500">
        <v>6</v>
      </c>
      <c r="E38" s="531">
        <f t="shared" si="0"/>
        <v>16610.7</v>
      </c>
      <c r="F38" s="110">
        <f t="shared" si="5"/>
        <v>0</v>
      </c>
      <c r="G38" s="533">
        <f t="shared" si="1"/>
        <v>16610.7</v>
      </c>
      <c r="H38" s="638">
        <f>'PAYMENT VOUCHERS'!E74</f>
        <v>16610.7</v>
      </c>
      <c r="I38" s="218"/>
      <c r="J38" s="218"/>
      <c r="K38" s="218"/>
      <c r="L38" s="218"/>
      <c r="M38" s="218"/>
      <c r="N38" s="639"/>
      <c r="O38" s="634"/>
      <c r="P38" s="626"/>
      <c r="Q38" s="627"/>
      <c r="R38" s="626"/>
      <c r="S38" s="626"/>
      <c r="T38" s="626"/>
      <c r="U38" s="626"/>
      <c r="V38" s="626"/>
      <c r="W38" s="628"/>
      <c r="X38" s="628"/>
    </row>
    <row r="39" spans="2:24" ht="26.1" customHeight="1" thickTop="1" thickBot="1" x14ac:dyDescent="0.4">
      <c r="B39" s="346">
        <v>45420</v>
      </c>
      <c r="C39" s="128" t="s">
        <v>540</v>
      </c>
      <c r="D39" s="500">
        <v>6</v>
      </c>
      <c r="E39" s="531">
        <f t="shared" si="0"/>
        <v>0</v>
      </c>
      <c r="F39" s="110">
        <f t="shared" si="5"/>
        <v>40</v>
      </c>
      <c r="G39" s="533">
        <f t="shared" si="1"/>
        <v>16570.7</v>
      </c>
      <c r="H39" s="638"/>
      <c r="I39" s="218"/>
      <c r="J39" s="218"/>
      <c r="K39" s="218"/>
      <c r="L39" s="218"/>
      <c r="M39" s="218"/>
      <c r="N39" s="639"/>
      <c r="O39" s="634"/>
      <c r="P39" s="626"/>
      <c r="Q39" s="627"/>
      <c r="R39" s="626"/>
      <c r="S39" s="626"/>
      <c r="T39" s="626">
        <f>'PAYMENT VOUCHERS'!E60</f>
        <v>40</v>
      </c>
      <c r="U39" s="626"/>
      <c r="V39" s="626"/>
      <c r="W39" s="628"/>
      <c r="X39" s="628"/>
    </row>
    <row r="40" spans="2:24" ht="26.1" customHeight="1" thickTop="1" thickBot="1" x14ac:dyDescent="0.4">
      <c r="B40" s="346">
        <v>45420</v>
      </c>
      <c r="C40" s="128" t="s">
        <v>739</v>
      </c>
      <c r="D40" s="500">
        <v>6</v>
      </c>
      <c r="E40" s="531">
        <f t="shared" si="0"/>
        <v>0</v>
      </c>
      <c r="F40" s="110">
        <f t="shared" si="5"/>
        <v>300</v>
      </c>
      <c r="G40" s="533">
        <f t="shared" si="1"/>
        <v>16270.7</v>
      </c>
      <c r="H40" s="638"/>
      <c r="I40" s="218"/>
      <c r="J40" s="218"/>
      <c r="K40" s="218"/>
      <c r="L40" s="218"/>
      <c r="M40" s="218"/>
      <c r="N40" s="639"/>
      <c r="O40" s="634"/>
      <c r="P40" s="626"/>
      <c r="Q40" s="627"/>
      <c r="R40" s="626">
        <f>'PAYMENT VOUCHERS'!E61</f>
        <v>300</v>
      </c>
      <c r="S40" s="626"/>
      <c r="T40" s="626"/>
      <c r="U40" s="626"/>
      <c r="V40" s="626"/>
      <c r="W40" s="628"/>
      <c r="X40" s="628"/>
    </row>
    <row r="41" spans="2:24" ht="26.1" customHeight="1" thickTop="1" thickBot="1" x14ac:dyDescent="0.4">
      <c r="B41" s="346">
        <v>45420</v>
      </c>
      <c r="C41" s="128" t="s">
        <v>748</v>
      </c>
      <c r="D41" s="500">
        <v>6</v>
      </c>
      <c r="E41" s="531">
        <f t="shared" si="0"/>
        <v>0</v>
      </c>
      <c r="F41" s="110">
        <f t="shared" si="5"/>
        <v>150</v>
      </c>
      <c r="G41" s="533">
        <f t="shared" si="1"/>
        <v>16120.7</v>
      </c>
      <c r="H41" s="638"/>
      <c r="I41" s="218"/>
      <c r="J41" s="218"/>
      <c r="K41" s="218"/>
      <c r="L41" s="218"/>
      <c r="M41" s="218"/>
      <c r="N41" s="639"/>
      <c r="O41" s="634"/>
      <c r="P41" s="626"/>
      <c r="Q41" s="627"/>
      <c r="R41" s="626">
        <f>'PAYMENT VOUCHERS'!E62</f>
        <v>150</v>
      </c>
      <c r="S41" s="626"/>
      <c r="T41" s="626"/>
      <c r="U41" s="626"/>
      <c r="V41" s="626"/>
      <c r="W41" s="628"/>
      <c r="X41" s="628"/>
    </row>
    <row r="42" spans="2:24" ht="26.1" customHeight="1" thickTop="1" thickBot="1" x14ac:dyDescent="0.4">
      <c r="B42" s="346">
        <v>45420</v>
      </c>
      <c r="C42" s="128" t="s">
        <v>740</v>
      </c>
      <c r="D42" s="500">
        <v>6</v>
      </c>
      <c r="E42" s="531">
        <f t="shared" si="0"/>
        <v>0</v>
      </c>
      <c r="F42" s="110">
        <f t="shared" si="5"/>
        <v>150</v>
      </c>
      <c r="G42" s="533">
        <f t="shared" si="1"/>
        <v>15970.7</v>
      </c>
      <c r="H42" s="638"/>
      <c r="I42" s="218"/>
      <c r="J42" s="218"/>
      <c r="K42" s="218"/>
      <c r="L42" s="218"/>
      <c r="M42" s="218"/>
      <c r="N42" s="639"/>
      <c r="O42" s="634"/>
      <c r="P42" s="626"/>
      <c r="Q42" s="627"/>
      <c r="R42" s="626">
        <f>'PAYMENT VOUCHERS'!E63</f>
        <v>150</v>
      </c>
      <c r="S42" s="626"/>
      <c r="T42" s="626"/>
      <c r="U42" s="626"/>
      <c r="V42" s="626"/>
      <c r="W42" s="628"/>
      <c r="X42" s="628"/>
    </row>
    <row r="43" spans="2:24" ht="26.1" customHeight="1" thickTop="1" thickBot="1" x14ac:dyDescent="0.4">
      <c r="B43" s="346">
        <v>45420</v>
      </c>
      <c r="C43" s="644" t="s">
        <v>1021</v>
      </c>
      <c r="D43" s="500">
        <v>6</v>
      </c>
      <c r="E43" s="531"/>
      <c r="F43" s="110">
        <f t="shared" si="5"/>
        <v>12.8</v>
      </c>
      <c r="G43" s="533">
        <f t="shared" si="1"/>
        <v>15957.900000000001</v>
      </c>
      <c r="H43" s="638"/>
      <c r="I43" s="218"/>
      <c r="J43" s="218"/>
      <c r="K43" s="218"/>
      <c r="L43" s="218"/>
      <c r="M43" s="218"/>
      <c r="N43" s="639"/>
      <c r="O43" s="634">
        <f>'PAYMENT VOUCHERS'!E64</f>
        <v>12.8</v>
      </c>
      <c r="P43" s="626"/>
      <c r="Q43" s="627"/>
      <c r="R43" s="626"/>
      <c r="S43" s="626"/>
      <c r="T43" s="626"/>
      <c r="U43" s="626"/>
      <c r="V43" s="626"/>
      <c r="W43" s="628"/>
      <c r="X43" s="628"/>
    </row>
    <row r="44" spans="2:24" ht="26.1" customHeight="1" thickTop="1" thickBot="1" x14ac:dyDescent="0.4">
      <c r="B44" s="346">
        <v>45421</v>
      </c>
      <c r="C44" s="128" t="s">
        <v>682</v>
      </c>
      <c r="D44" s="500">
        <v>6</v>
      </c>
      <c r="E44" s="531">
        <f t="shared" si="0"/>
        <v>0</v>
      </c>
      <c r="F44" s="110">
        <f t="shared" si="5"/>
        <v>15200</v>
      </c>
      <c r="G44" s="533">
        <f t="shared" si="1"/>
        <v>757.90000000000146</v>
      </c>
      <c r="H44" s="638"/>
      <c r="I44" s="218"/>
      <c r="J44" s="218"/>
      <c r="K44" s="218"/>
      <c r="L44" s="218"/>
      <c r="M44" s="218"/>
      <c r="N44" s="639"/>
      <c r="O44" s="634"/>
      <c r="P44" s="626">
        <f>'PAYMENT VOUCHERS'!E65</f>
        <v>15200</v>
      </c>
      <c r="Q44" s="627"/>
      <c r="R44" s="626"/>
      <c r="S44" s="626"/>
      <c r="T44" s="626"/>
      <c r="U44" s="626"/>
      <c r="V44" s="626"/>
      <c r="W44" s="628"/>
      <c r="X44" s="628"/>
    </row>
    <row r="45" spans="2:24" ht="26.1" customHeight="1" thickTop="1" thickBot="1" x14ac:dyDescent="0.4">
      <c r="B45" s="346">
        <v>45421</v>
      </c>
      <c r="C45" s="128" t="s">
        <v>1021</v>
      </c>
      <c r="D45" s="500">
        <v>6</v>
      </c>
      <c r="E45" s="531">
        <f t="shared" ref="E45:E47" si="6">SUM(H45:N45)</f>
        <v>0</v>
      </c>
      <c r="F45" s="110">
        <f t="shared" si="5"/>
        <v>304</v>
      </c>
      <c r="G45" s="533">
        <f t="shared" si="1"/>
        <v>453.90000000000146</v>
      </c>
      <c r="H45" s="638"/>
      <c r="I45" s="218"/>
      <c r="J45" s="218"/>
      <c r="K45" s="218"/>
      <c r="L45" s="218"/>
      <c r="M45" s="218"/>
      <c r="N45" s="639"/>
      <c r="O45" s="634">
        <f>'PAYMENT VOUCHERS'!E66</f>
        <v>304</v>
      </c>
      <c r="P45" s="626"/>
      <c r="Q45" s="627"/>
      <c r="R45" s="626"/>
      <c r="S45" s="626"/>
      <c r="T45" s="626"/>
      <c r="U45" s="626"/>
      <c r="V45" s="626"/>
      <c r="W45" s="628"/>
      <c r="X45" s="628"/>
    </row>
    <row r="46" spans="2:24" ht="26.1" customHeight="1" thickTop="1" thickBot="1" x14ac:dyDescent="0.4">
      <c r="B46" s="346">
        <v>45421</v>
      </c>
      <c r="C46" s="128" t="s">
        <v>683</v>
      </c>
      <c r="D46" s="500">
        <v>6</v>
      </c>
      <c r="E46" s="531">
        <f t="shared" si="6"/>
        <v>0</v>
      </c>
      <c r="F46" s="110">
        <f t="shared" si="5"/>
        <v>100</v>
      </c>
      <c r="G46" s="533">
        <f t="shared" si="1"/>
        <v>353.90000000000146</v>
      </c>
      <c r="H46" s="638"/>
      <c r="I46" s="218"/>
      <c r="J46" s="218"/>
      <c r="K46" s="218"/>
      <c r="L46" s="218"/>
      <c r="M46" s="218"/>
      <c r="N46" s="639"/>
      <c r="O46" s="634"/>
      <c r="P46" s="626"/>
      <c r="Q46" s="627"/>
      <c r="R46" s="626">
        <f>'PAYMENT VOUCHERS'!E67</f>
        <v>100</v>
      </c>
      <c r="S46" s="626"/>
      <c r="T46" s="626"/>
      <c r="U46" s="626"/>
      <c r="V46" s="626"/>
      <c r="W46" s="628"/>
      <c r="X46" s="628"/>
    </row>
    <row r="47" spans="2:24" ht="26.1" customHeight="1" thickTop="1" thickBot="1" x14ac:dyDescent="0.4">
      <c r="B47" s="346">
        <v>45421</v>
      </c>
      <c r="C47" s="128" t="s">
        <v>740</v>
      </c>
      <c r="D47" s="500">
        <v>6</v>
      </c>
      <c r="E47" s="531">
        <f t="shared" si="6"/>
        <v>0</v>
      </c>
      <c r="F47" s="110">
        <f t="shared" si="5"/>
        <v>100</v>
      </c>
      <c r="G47" s="533">
        <f t="shared" si="1"/>
        <v>253.90000000000146</v>
      </c>
      <c r="H47" s="638"/>
      <c r="I47" s="218"/>
      <c r="J47" s="218"/>
      <c r="K47" s="218"/>
      <c r="L47" s="218"/>
      <c r="M47" s="218"/>
      <c r="N47" s="639"/>
      <c r="O47" s="634"/>
      <c r="P47" s="626"/>
      <c r="Q47" s="627"/>
      <c r="R47" s="626">
        <f>'PAYMENT VOUCHERS'!E68</f>
        <v>100</v>
      </c>
      <c r="S47" s="626"/>
      <c r="T47" s="626"/>
      <c r="U47" s="626"/>
      <c r="V47" s="626"/>
      <c r="W47" s="628"/>
      <c r="X47" s="628"/>
    </row>
    <row r="48" spans="2:24" ht="26.1" customHeight="1" thickTop="1" thickBot="1" x14ac:dyDescent="0.4">
      <c r="B48" s="346">
        <v>45421</v>
      </c>
      <c r="C48" s="644" t="s">
        <v>1021</v>
      </c>
      <c r="D48" s="500">
        <v>6</v>
      </c>
      <c r="E48" s="531"/>
      <c r="F48" s="110">
        <f t="shared" si="5"/>
        <v>4</v>
      </c>
      <c r="G48" s="533">
        <f t="shared" si="1"/>
        <v>249.90000000000146</v>
      </c>
      <c r="H48" s="638"/>
      <c r="I48" s="218"/>
      <c r="J48" s="218"/>
      <c r="K48" s="218"/>
      <c r="L48" s="218"/>
      <c r="M48" s="218"/>
      <c r="N48" s="639"/>
      <c r="O48" s="634">
        <f>'PAYMENT VOUCHERS'!E69</f>
        <v>4</v>
      </c>
      <c r="P48" s="626"/>
      <c r="Q48" s="627"/>
      <c r="R48" s="626"/>
      <c r="S48" s="626"/>
      <c r="T48" s="626"/>
      <c r="U48" s="626"/>
      <c r="V48" s="626"/>
      <c r="W48" s="628"/>
      <c r="X48" s="628"/>
    </row>
    <row r="49" spans="2:24" ht="26.1" customHeight="1" thickTop="1" thickBot="1" x14ac:dyDescent="0.4">
      <c r="B49" s="346">
        <v>45440</v>
      </c>
      <c r="C49" s="128" t="s">
        <v>540</v>
      </c>
      <c r="D49" s="500">
        <v>6</v>
      </c>
      <c r="E49" s="531">
        <f t="shared" si="0"/>
        <v>0</v>
      </c>
      <c r="F49" s="110">
        <f t="shared" ref="F49:F80" si="7">SUM(O49:X49)</f>
        <v>45</v>
      </c>
      <c r="G49" s="533">
        <f t="shared" si="1"/>
        <v>204.90000000000146</v>
      </c>
      <c r="H49" s="638"/>
      <c r="I49" s="218"/>
      <c r="J49" s="218"/>
      <c r="K49" s="218"/>
      <c r="L49" s="218"/>
      <c r="M49" s="218"/>
      <c r="N49" s="639"/>
      <c r="O49" s="634"/>
      <c r="P49" s="626"/>
      <c r="Q49" s="627"/>
      <c r="R49" s="626"/>
      <c r="S49" s="626"/>
      <c r="T49" s="626">
        <f>'PAYMENT VOUCHERS'!E70</f>
        <v>45</v>
      </c>
      <c r="U49" s="626"/>
      <c r="V49" s="626"/>
      <c r="W49" s="628"/>
      <c r="X49" s="628"/>
    </row>
    <row r="50" spans="2:24" ht="26.1" customHeight="1" thickTop="1" thickBot="1" x14ac:dyDescent="0.4">
      <c r="B50" s="346">
        <v>45440</v>
      </c>
      <c r="C50" s="644" t="s">
        <v>1021</v>
      </c>
      <c r="D50" s="500">
        <v>6</v>
      </c>
      <c r="E50" s="531">
        <f t="shared" ref="E50:E51" si="8">SUM(H50:N50)</f>
        <v>0</v>
      </c>
      <c r="F50" s="110">
        <f t="shared" si="7"/>
        <v>4.9000000000000004</v>
      </c>
      <c r="G50" s="533">
        <f t="shared" si="1"/>
        <v>200.00000000000145</v>
      </c>
      <c r="H50" s="638"/>
      <c r="I50" s="218"/>
      <c r="J50" s="218"/>
      <c r="K50" s="218"/>
      <c r="L50" s="218"/>
      <c r="M50" s="218"/>
      <c r="N50" s="639"/>
      <c r="O50" s="634">
        <f>'PAYMENT VOUCHERS'!E71</f>
        <v>4.9000000000000004</v>
      </c>
      <c r="P50" s="626"/>
      <c r="Q50" s="627"/>
      <c r="R50" s="626"/>
      <c r="S50" s="626"/>
      <c r="T50" s="626"/>
      <c r="U50" s="626"/>
      <c r="V50" s="626"/>
      <c r="W50" s="628"/>
      <c r="X50" s="628"/>
    </row>
    <row r="51" spans="2:24" ht="26.1" customHeight="1" thickTop="1" thickBot="1" x14ac:dyDescent="0.4">
      <c r="B51" s="346">
        <v>45440</v>
      </c>
      <c r="C51" s="128" t="s">
        <v>740</v>
      </c>
      <c r="D51" s="500">
        <v>6</v>
      </c>
      <c r="E51" s="531">
        <f t="shared" si="8"/>
        <v>0</v>
      </c>
      <c r="F51" s="110">
        <f t="shared" si="7"/>
        <v>100</v>
      </c>
      <c r="G51" s="533">
        <f t="shared" si="1"/>
        <v>100.00000000000145</v>
      </c>
      <c r="H51" s="638"/>
      <c r="I51" s="218"/>
      <c r="J51" s="218"/>
      <c r="K51" s="218"/>
      <c r="L51" s="218"/>
      <c r="M51" s="218"/>
      <c r="N51" s="639"/>
      <c r="O51" s="634"/>
      <c r="P51" s="626"/>
      <c r="Q51" s="627"/>
      <c r="R51" s="626">
        <f>'PAYMENT VOUCHERS'!E72</f>
        <v>100</v>
      </c>
      <c r="S51" s="626"/>
      <c r="T51" s="626"/>
      <c r="U51" s="626"/>
      <c r="V51" s="626"/>
      <c r="W51" s="628"/>
      <c r="X51" s="628"/>
    </row>
    <row r="52" spans="2:24" ht="26.1" customHeight="1" thickTop="1" thickBot="1" x14ac:dyDescent="0.4">
      <c r="B52" s="346">
        <v>45440</v>
      </c>
      <c r="C52" s="128" t="s">
        <v>683</v>
      </c>
      <c r="D52" s="500">
        <v>6</v>
      </c>
      <c r="E52" s="531">
        <f t="shared" si="0"/>
        <v>0</v>
      </c>
      <c r="F52" s="110">
        <f t="shared" si="7"/>
        <v>100</v>
      </c>
      <c r="G52" s="533">
        <f t="shared" si="1"/>
        <v>1.4495071809506044E-12</v>
      </c>
      <c r="H52" s="638"/>
      <c r="I52" s="218"/>
      <c r="J52" s="218"/>
      <c r="K52" s="218"/>
      <c r="L52" s="218"/>
      <c r="M52" s="218"/>
      <c r="N52" s="639"/>
      <c r="O52" s="634"/>
      <c r="P52" s="626"/>
      <c r="Q52" s="627"/>
      <c r="R52" s="626">
        <f>'PAYMENT VOUCHERS'!E73</f>
        <v>100</v>
      </c>
      <c r="S52" s="626"/>
      <c r="T52" s="626"/>
      <c r="U52" s="626"/>
      <c r="V52" s="626"/>
      <c r="W52" s="628"/>
      <c r="X52" s="628"/>
    </row>
    <row r="53" spans="2:24" ht="26.1" customHeight="1" thickTop="1" thickBot="1" x14ac:dyDescent="0.4">
      <c r="B53" s="346">
        <v>45466</v>
      </c>
      <c r="C53" s="128" t="s">
        <v>932</v>
      </c>
      <c r="D53" s="500">
        <v>7</v>
      </c>
      <c r="E53" s="531">
        <f t="shared" si="0"/>
        <v>2652</v>
      </c>
      <c r="F53" s="110">
        <f t="shared" si="7"/>
        <v>0</v>
      </c>
      <c r="G53" s="533">
        <f t="shared" si="1"/>
        <v>2652.0000000000014</v>
      </c>
      <c r="H53" s="638">
        <f>'PAYMENT VOUCHERS'!E82</f>
        <v>2652</v>
      </c>
      <c r="I53" s="218"/>
      <c r="J53" s="218"/>
      <c r="K53" s="218"/>
      <c r="L53" s="218"/>
      <c r="M53" s="218"/>
      <c r="N53" s="639"/>
      <c r="O53" s="634"/>
      <c r="P53" s="626"/>
      <c r="Q53" s="627"/>
      <c r="R53" s="626"/>
      <c r="S53" s="626"/>
      <c r="T53" s="626"/>
      <c r="U53" s="626"/>
      <c r="V53" s="626"/>
      <c r="W53" s="628"/>
      <c r="X53" s="628"/>
    </row>
    <row r="54" spans="2:24" ht="26.1" customHeight="1" thickTop="1" thickBot="1" x14ac:dyDescent="0.4">
      <c r="B54" s="346">
        <v>45467</v>
      </c>
      <c r="C54" s="645" t="s">
        <v>682</v>
      </c>
      <c r="D54" s="501">
        <v>7</v>
      </c>
      <c r="E54" s="531">
        <f t="shared" ref="E54:E57" si="9">SUM(H54:N54)</f>
        <v>0</v>
      </c>
      <c r="F54" s="110">
        <f t="shared" si="7"/>
        <v>2500</v>
      </c>
      <c r="G54" s="533">
        <f t="shared" si="1"/>
        <v>152.00000000000136</v>
      </c>
      <c r="H54" s="638"/>
      <c r="I54" s="218"/>
      <c r="J54" s="218"/>
      <c r="K54" s="218"/>
      <c r="L54" s="218"/>
      <c r="M54" s="218"/>
      <c r="N54" s="639"/>
      <c r="O54" s="634"/>
      <c r="P54" s="626">
        <f>'PAYMENT VOUCHERS'!E79</f>
        <v>2500</v>
      </c>
      <c r="Q54" s="627"/>
      <c r="R54" s="626"/>
      <c r="S54" s="626"/>
      <c r="T54" s="626"/>
      <c r="U54" s="626"/>
      <c r="V54" s="626"/>
      <c r="W54" s="628"/>
      <c r="X54" s="628"/>
    </row>
    <row r="55" spans="2:24" ht="26.1" customHeight="1" thickTop="1" thickBot="1" x14ac:dyDescent="0.4">
      <c r="B55" s="346">
        <v>45467</v>
      </c>
      <c r="C55" s="644" t="s">
        <v>1021</v>
      </c>
      <c r="D55" s="501">
        <v>7</v>
      </c>
      <c r="E55" s="531">
        <f t="shared" si="9"/>
        <v>0</v>
      </c>
      <c r="F55" s="110">
        <f t="shared" si="7"/>
        <v>52</v>
      </c>
      <c r="G55" s="533">
        <f t="shared" si="1"/>
        <v>100.00000000000136</v>
      </c>
      <c r="H55" s="638"/>
      <c r="I55" s="218"/>
      <c r="J55" s="218"/>
      <c r="K55" s="218"/>
      <c r="L55" s="218"/>
      <c r="M55" s="218"/>
      <c r="N55" s="639"/>
      <c r="O55" s="634">
        <f>'PAYMENT VOUCHERS'!E80</f>
        <v>52</v>
      </c>
      <c r="P55" s="626"/>
      <c r="Q55" s="627"/>
      <c r="R55" s="626"/>
      <c r="S55" s="626"/>
      <c r="T55" s="626"/>
      <c r="U55" s="626"/>
      <c r="V55" s="626"/>
      <c r="W55" s="628"/>
      <c r="X55" s="628"/>
    </row>
    <row r="56" spans="2:24" ht="26.1" customHeight="1" thickTop="1" thickBot="1" x14ac:dyDescent="0.4">
      <c r="B56" s="346">
        <v>45467</v>
      </c>
      <c r="C56" s="128" t="s">
        <v>683</v>
      </c>
      <c r="D56" s="500">
        <v>7</v>
      </c>
      <c r="E56" s="531">
        <f t="shared" si="9"/>
        <v>0</v>
      </c>
      <c r="F56" s="110">
        <f t="shared" si="7"/>
        <v>100</v>
      </c>
      <c r="G56" s="533">
        <f t="shared" si="1"/>
        <v>1.3642420526593924E-12</v>
      </c>
      <c r="H56" s="638"/>
      <c r="I56" s="218"/>
      <c r="J56" s="218"/>
      <c r="K56" s="218"/>
      <c r="L56" s="218"/>
      <c r="M56" s="218"/>
      <c r="N56" s="639"/>
      <c r="O56" s="634"/>
      <c r="P56" s="626"/>
      <c r="Q56" s="627"/>
      <c r="R56" s="626">
        <f>'PAYMENT VOUCHERS'!E81</f>
        <v>100</v>
      </c>
      <c r="S56" s="626"/>
      <c r="T56" s="626"/>
      <c r="U56" s="626"/>
      <c r="V56" s="626"/>
      <c r="W56" s="628"/>
      <c r="X56" s="628"/>
    </row>
    <row r="57" spans="2:24" ht="26.1" customHeight="1" thickTop="1" thickBot="1" x14ac:dyDescent="0.4">
      <c r="B57" s="346">
        <v>45524</v>
      </c>
      <c r="C57" s="128" t="s">
        <v>932</v>
      </c>
      <c r="D57" s="500">
        <v>8</v>
      </c>
      <c r="E57" s="531">
        <f t="shared" si="9"/>
        <v>3672</v>
      </c>
      <c r="F57" s="110">
        <f t="shared" si="7"/>
        <v>0</v>
      </c>
      <c r="G57" s="533">
        <f t="shared" si="1"/>
        <v>3672.0000000000014</v>
      </c>
      <c r="H57" s="638">
        <f>'PAYMENT VOUCHERS'!E90</f>
        <v>3672</v>
      </c>
      <c r="I57" s="218"/>
      <c r="J57" s="218"/>
      <c r="K57" s="218"/>
      <c r="L57" s="218"/>
      <c r="M57" s="218"/>
      <c r="N57" s="639"/>
      <c r="O57" s="634"/>
      <c r="P57" s="626"/>
      <c r="Q57" s="627"/>
      <c r="R57" s="626"/>
      <c r="S57" s="626"/>
      <c r="T57" s="626"/>
      <c r="U57" s="626"/>
      <c r="V57" s="626"/>
      <c r="W57" s="628"/>
      <c r="X57" s="628"/>
    </row>
    <row r="58" spans="2:24" ht="26.1" customHeight="1" thickTop="1" thickBot="1" x14ac:dyDescent="0.4">
      <c r="B58" s="346">
        <v>45525</v>
      </c>
      <c r="C58" s="645" t="s">
        <v>682</v>
      </c>
      <c r="D58" s="500">
        <v>8</v>
      </c>
      <c r="E58" s="531">
        <f t="shared" si="0"/>
        <v>0</v>
      </c>
      <c r="F58" s="110">
        <f t="shared" si="7"/>
        <v>3500</v>
      </c>
      <c r="G58" s="533">
        <f t="shared" si="1"/>
        <v>172.00000000000136</v>
      </c>
      <c r="H58" s="638"/>
      <c r="I58" s="218"/>
      <c r="J58" s="218"/>
      <c r="K58" s="218"/>
      <c r="L58" s="218"/>
      <c r="M58" s="218"/>
      <c r="N58" s="639"/>
      <c r="O58" s="634"/>
      <c r="P58" s="626">
        <f>'PAYMENT VOUCHERS'!E87</f>
        <v>3500</v>
      </c>
      <c r="Q58" s="627"/>
      <c r="R58" s="626"/>
      <c r="S58" s="626"/>
      <c r="T58" s="626"/>
      <c r="U58" s="626"/>
      <c r="V58" s="626"/>
      <c r="W58" s="628"/>
      <c r="X58" s="628"/>
    </row>
    <row r="59" spans="2:24" ht="26.1" customHeight="1" thickTop="1" thickBot="1" x14ac:dyDescent="0.4">
      <c r="B59" s="346">
        <v>45525</v>
      </c>
      <c r="C59" s="644" t="s">
        <v>1021</v>
      </c>
      <c r="D59" s="500">
        <v>8</v>
      </c>
      <c r="E59" s="531"/>
      <c r="F59" s="110">
        <f t="shared" si="7"/>
        <v>72</v>
      </c>
      <c r="G59" s="533">
        <f t="shared" si="1"/>
        <v>100.00000000000136</v>
      </c>
      <c r="H59" s="638"/>
      <c r="I59" s="218"/>
      <c r="J59" s="218"/>
      <c r="K59" s="218"/>
      <c r="L59" s="218"/>
      <c r="M59" s="218"/>
      <c r="N59" s="639"/>
      <c r="O59" s="634">
        <f>'PAYMENT VOUCHERS'!E88</f>
        <v>72</v>
      </c>
      <c r="P59" s="626"/>
      <c r="Q59" s="627"/>
      <c r="R59" s="626"/>
      <c r="S59" s="626"/>
      <c r="T59" s="626"/>
      <c r="U59" s="626"/>
      <c r="V59" s="626"/>
      <c r="W59" s="628"/>
      <c r="X59" s="628"/>
    </row>
    <row r="60" spans="2:24" ht="26.1" customHeight="1" thickTop="1" thickBot="1" x14ac:dyDescent="0.4">
      <c r="B60" s="346">
        <v>45525</v>
      </c>
      <c r="C60" s="128" t="s">
        <v>683</v>
      </c>
      <c r="D60" s="500">
        <v>8</v>
      </c>
      <c r="E60" s="531">
        <f t="shared" si="0"/>
        <v>0</v>
      </c>
      <c r="F60" s="110">
        <f t="shared" si="7"/>
        <v>100</v>
      </c>
      <c r="G60" s="533">
        <f t="shared" si="1"/>
        <v>1.3642420526593924E-12</v>
      </c>
      <c r="H60" s="638"/>
      <c r="I60" s="218"/>
      <c r="J60" s="218"/>
      <c r="K60" s="218"/>
      <c r="L60" s="218"/>
      <c r="M60" s="218"/>
      <c r="N60" s="639"/>
      <c r="O60" s="634"/>
      <c r="P60" s="626"/>
      <c r="Q60" s="627"/>
      <c r="R60" s="626">
        <f>'PAYMENT VOUCHERS'!E89</f>
        <v>100</v>
      </c>
      <c r="S60" s="626"/>
      <c r="T60" s="626"/>
      <c r="U60" s="626"/>
      <c r="V60" s="626"/>
      <c r="W60" s="628"/>
      <c r="X60" s="628"/>
    </row>
    <row r="61" spans="2:24" ht="26.1" customHeight="1" thickTop="1" thickBot="1" x14ac:dyDescent="0.4">
      <c r="B61" s="346">
        <v>45664</v>
      </c>
      <c r="C61" s="343" t="s">
        <v>932</v>
      </c>
      <c r="D61" s="500">
        <v>9</v>
      </c>
      <c r="E61" s="531">
        <f t="shared" ref="E61" si="10">SUM(H61:N61)</f>
        <v>3837</v>
      </c>
      <c r="F61" s="110">
        <f t="shared" si="7"/>
        <v>0</v>
      </c>
      <c r="G61" s="533">
        <f t="shared" si="1"/>
        <v>3837.0000000000014</v>
      </c>
      <c r="H61" s="638">
        <f>'PAYMENT VOUCHERS'!E101</f>
        <v>3837</v>
      </c>
      <c r="I61" s="218"/>
      <c r="J61" s="218"/>
      <c r="K61" s="218"/>
      <c r="L61" s="218"/>
      <c r="M61" s="218"/>
      <c r="N61" s="639"/>
      <c r="O61" s="634"/>
      <c r="P61" s="626"/>
      <c r="Q61" s="627"/>
      <c r="R61" s="626"/>
      <c r="S61" s="626"/>
      <c r="T61" s="626"/>
      <c r="U61" s="626"/>
      <c r="V61" s="626"/>
      <c r="W61" s="628"/>
      <c r="X61" s="628"/>
    </row>
    <row r="62" spans="2:24" ht="26.1" customHeight="1" thickTop="1" thickBot="1" x14ac:dyDescent="0.4">
      <c r="B62" s="346">
        <v>45665</v>
      </c>
      <c r="C62" s="645" t="s">
        <v>682</v>
      </c>
      <c r="D62" s="500">
        <v>9</v>
      </c>
      <c r="E62" s="531">
        <f t="shared" si="0"/>
        <v>0</v>
      </c>
      <c r="F62" s="110">
        <f t="shared" si="7"/>
        <v>2100</v>
      </c>
      <c r="G62" s="533">
        <f t="shared" si="1"/>
        <v>1737.0000000000014</v>
      </c>
      <c r="H62" s="638"/>
      <c r="I62" s="218"/>
      <c r="J62" s="218"/>
      <c r="K62" s="218"/>
      <c r="L62" s="218"/>
      <c r="M62" s="218"/>
      <c r="N62" s="639"/>
      <c r="O62" s="634"/>
      <c r="P62" s="626">
        <f>'PAYMENT VOUCHERS'!E95</f>
        <v>2100</v>
      </c>
      <c r="Q62" s="627"/>
      <c r="R62" s="626"/>
      <c r="S62" s="626"/>
      <c r="T62" s="626"/>
      <c r="U62" s="626"/>
      <c r="V62" s="626"/>
      <c r="W62" s="628"/>
      <c r="X62" s="628"/>
    </row>
    <row r="63" spans="2:24" ht="26.1" customHeight="1" thickTop="1" thickBot="1" x14ac:dyDescent="0.4">
      <c r="B63" s="346">
        <v>45665</v>
      </c>
      <c r="C63" s="128" t="s">
        <v>683</v>
      </c>
      <c r="D63" s="500">
        <v>9</v>
      </c>
      <c r="E63" s="531">
        <f t="shared" si="0"/>
        <v>0</v>
      </c>
      <c r="F63" s="110">
        <f t="shared" si="7"/>
        <v>100</v>
      </c>
      <c r="G63" s="533">
        <f t="shared" si="1"/>
        <v>1637.0000000000014</v>
      </c>
      <c r="H63" s="638"/>
      <c r="I63" s="218"/>
      <c r="J63" s="218"/>
      <c r="K63" s="218"/>
      <c r="L63" s="218"/>
      <c r="M63" s="218"/>
      <c r="N63" s="639"/>
      <c r="O63" s="634"/>
      <c r="P63" s="626"/>
      <c r="Q63" s="627"/>
      <c r="R63" s="626">
        <f>'PAYMENT VOUCHERS'!E96</f>
        <v>100</v>
      </c>
      <c r="S63" s="626"/>
      <c r="T63" s="626"/>
      <c r="U63" s="626"/>
      <c r="V63" s="626"/>
      <c r="W63" s="628"/>
      <c r="X63" s="628"/>
    </row>
    <row r="64" spans="2:24" ht="26.1" customHeight="1" thickTop="1" thickBot="1" x14ac:dyDescent="0.4">
      <c r="B64" s="346">
        <v>45665</v>
      </c>
      <c r="C64" s="644" t="s">
        <v>1021</v>
      </c>
      <c r="D64" s="500">
        <v>9</v>
      </c>
      <c r="E64" s="531"/>
      <c r="F64" s="110">
        <f t="shared" si="7"/>
        <v>21</v>
      </c>
      <c r="G64" s="533">
        <f t="shared" si="1"/>
        <v>1616.0000000000014</v>
      </c>
      <c r="H64" s="638"/>
      <c r="I64" s="218"/>
      <c r="J64" s="218"/>
      <c r="K64" s="218"/>
      <c r="L64" s="218"/>
      <c r="M64" s="218"/>
      <c r="N64" s="639"/>
      <c r="O64" s="634">
        <f>'PAYMENT VOUCHERS'!E97</f>
        <v>21</v>
      </c>
      <c r="P64" s="626"/>
      <c r="Q64" s="627"/>
      <c r="R64" s="626"/>
      <c r="S64" s="626"/>
      <c r="T64" s="626"/>
      <c r="U64" s="626"/>
      <c r="V64" s="626"/>
      <c r="W64" s="628"/>
      <c r="X64" s="628"/>
    </row>
    <row r="65" spans="2:24" ht="26.1" customHeight="1" thickTop="1" thickBot="1" x14ac:dyDescent="0.4">
      <c r="B65" s="346">
        <v>45674</v>
      </c>
      <c r="C65" s="645" t="s">
        <v>682</v>
      </c>
      <c r="D65" s="500">
        <v>9</v>
      </c>
      <c r="E65" s="531">
        <f t="shared" si="0"/>
        <v>0</v>
      </c>
      <c r="F65" s="110">
        <f t="shared" si="7"/>
        <v>1500</v>
      </c>
      <c r="G65" s="533">
        <f t="shared" si="1"/>
        <v>116.00000000000136</v>
      </c>
      <c r="H65" s="638"/>
      <c r="I65" s="218"/>
      <c r="J65" s="218"/>
      <c r="K65" s="218"/>
      <c r="L65" s="218"/>
      <c r="M65" s="218"/>
      <c r="N65" s="639"/>
      <c r="O65" s="634"/>
      <c r="P65" s="626">
        <f>'PAYMENT VOUCHERS'!E98</f>
        <v>1500</v>
      </c>
      <c r="Q65" s="627"/>
      <c r="R65" s="626"/>
      <c r="S65" s="626"/>
      <c r="T65" s="626"/>
      <c r="U65" s="626"/>
      <c r="V65" s="626"/>
      <c r="W65" s="628"/>
      <c r="X65" s="628"/>
    </row>
    <row r="66" spans="2:24" ht="26.1" customHeight="1" thickTop="1" thickBot="1" x14ac:dyDescent="0.4">
      <c r="B66" s="346">
        <v>45674</v>
      </c>
      <c r="C66" s="644" t="s">
        <v>1021</v>
      </c>
      <c r="D66" s="500">
        <v>9</v>
      </c>
      <c r="E66" s="531"/>
      <c r="F66" s="110">
        <f t="shared" si="7"/>
        <v>16</v>
      </c>
      <c r="G66" s="533">
        <f t="shared" si="1"/>
        <v>100.00000000000136</v>
      </c>
      <c r="H66" s="638"/>
      <c r="I66" s="218"/>
      <c r="J66" s="218"/>
      <c r="K66" s="218"/>
      <c r="L66" s="218"/>
      <c r="M66" s="218"/>
      <c r="N66" s="639"/>
      <c r="O66" s="634">
        <f>'PAYMENT VOUCHERS'!E99</f>
        <v>16</v>
      </c>
      <c r="P66" s="626"/>
      <c r="Q66" s="627"/>
      <c r="R66" s="626"/>
      <c r="S66" s="626"/>
      <c r="T66" s="626"/>
      <c r="U66" s="626"/>
      <c r="V66" s="626"/>
      <c r="W66" s="628"/>
      <c r="X66" s="628"/>
    </row>
    <row r="67" spans="2:24" ht="26.1" customHeight="1" thickTop="1" thickBot="1" x14ac:dyDescent="0.4">
      <c r="B67" s="346">
        <v>45674</v>
      </c>
      <c r="C67" s="128" t="s">
        <v>683</v>
      </c>
      <c r="D67" s="500">
        <v>9</v>
      </c>
      <c r="E67" s="531">
        <f t="shared" ref="E67:E92" si="11">SUM(H67:N67)</f>
        <v>0</v>
      </c>
      <c r="F67" s="110">
        <f t="shared" si="7"/>
        <v>100</v>
      </c>
      <c r="G67" s="533">
        <f t="shared" si="1"/>
        <v>1.3642420526593924E-12</v>
      </c>
      <c r="H67" s="638"/>
      <c r="I67" s="218"/>
      <c r="J67" s="218"/>
      <c r="K67" s="218"/>
      <c r="L67" s="218"/>
      <c r="M67" s="218"/>
      <c r="N67" s="639"/>
      <c r="O67" s="634"/>
      <c r="P67" s="626"/>
      <c r="Q67" s="627"/>
      <c r="R67" s="626">
        <f>'PAYMENT VOUCHERS'!E100</f>
        <v>100</v>
      </c>
      <c r="S67" s="626"/>
      <c r="T67" s="626"/>
      <c r="U67" s="626"/>
      <c r="V67" s="626"/>
      <c r="W67" s="628"/>
      <c r="X67" s="628"/>
    </row>
    <row r="68" spans="2:24" ht="26.1" customHeight="1" thickTop="1" thickBot="1" x14ac:dyDescent="0.4">
      <c r="B68" s="346">
        <v>45690</v>
      </c>
      <c r="C68" s="128" t="s">
        <v>932</v>
      </c>
      <c r="D68" s="500">
        <v>10</v>
      </c>
      <c r="E68" s="531">
        <f t="shared" si="11"/>
        <v>1717</v>
      </c>
      <c r="F68" s="110">
        <f t="shared" si="7"/>
        <v>0</v>
      </c>
      <c r="G68" s="533">
        <f t="shared" si="1"/>
        <v>1717.0000000000014</v>
      </c>
      <c r="H68" s="638">
        <f>'PAYMENT VOUCHERS'!E110</f>
        <v>1717</v>
      </c>
      <c r="I68" s="218"/>
      <c r="J68" s="218"/>
      <c r="K68" s="218"/>
      <c r="L68" s="218"/>
      <c r="M68" s="218"/>
      <c r="N68" s="639"/>
      <c r="O68" s="634"/>
      <c r="P68" s="626"/>
      <c r="Q68" s="627"/>
      <c r="R68" s="626"/>
      <c r="S68" s="626"/>
      <c r="T68" s="626"/>
      <c r="U68" s="626"/>
      <c r="V68" s="626"/>
      <c r="W68" s="628"/>
      <c r="X68" s="628"/>
    </row>
    <row r="69" spans="2:24" ht="26.1" customHeight="1" thickTop="1" thickBot="1" x14ac:dyDescent="0.4">
      <c r="B69" s="346">
        <v>45691</v>
      </c>
      <c r="C69" s="645" t="s">
        <v>682</v>
      </c>
      <c r="D69" s="500">
        <v>10</v>
      </c>
      <c r="E69" s="531">
        <f t="shared" ref="E69:E71" si="12">SUM(H69:N69)</f>
        <v>0</v>
      </c>
      <c r="F69" s="110">
        <f t="shared" si="7"/>
        <v>1500</v>
      </c>
      <c r="G69" s="533">
        <f t="shared" si="1"/>
        <v>217.00000000000136</v>
      </c>
      <c r="H69" s="638"/>
      <c r="I69" s="218"/>
      <c r="J69" s="218"/>
      <c r="K69" s="218"/>
      <c r="L69" s="218"/>
      <c r="M69" s="218"/>
      <c r="N69" s="639"/>
      <c r="O69" s="634"/>
      <c r="P69" s="626">
        <f>'PAYMENT VOUCHERS'!E106</f>
        <v>1500</v>
      </c>
      <c r="Q69" s="627"/>
      <c r="R69" s="626"/>
      <c r="S69" s="626"/>
      <c r="T69" s="626"/>
      <c r="U69" s="626"/>
      <c r="V69" s="626"/>
      <c r="W69" s="628"/>
      <c r="X69" s="628"/>
    </row>
    <row r="70" spans="2:24" ht="26.1" customHeight="1" thickTop="1" thickBot="1" x14ac:dyDescent="0.4">
      <c r="B70" s="346">
        <v>45691</v>
      </c>
      <c r="C70" s="644" t="s">
        <v>1021</v>
      </c>
      <c r="D70" s="500">
        <v>10</v>
      </c>
      <c r="E70" s="531">
        <f t="shared" si="12"/>
        <v>0</v>
      </c>
      <c r="F70" s="110">
        <f t="shared" si="7"/>
        <v>17</v>
      </c>
      <c r="G70" s="533">
        <f t="shared" si="1"/>
        <v>200.00000000000136</v>
      </c>
      <c r="H70" s="638"/>
      <c r="I70" s="218"/>
      <c r="J70" s="218"/>
      <c r="K70" s="218"/>
      <c r="L70" s="218"/>
      <c r="M70" s="218"/>
      <c r="N70" s="639"/>
      <c r="O70" s="634">
        <f>'PAYMENT VOUCHERS'!E107</f>
        <v>17</v>
      </c>
      <c r="P70" s="626"/>
      <c r="Q70" s="627"/>
      <c r="R70" s="626"/>
      <c r="S70" s="626"/>
      <c r="T70" s="626"/>
      <c r="U70" s="626"/>
      <c r="V70" s="626"/>
      <c r="W70" s="628"/>
      <c r="X70" s="628"/>
    </row>
    <row r="71" spans="2:24" ht="26.1" customHeight="1" thickTop="1" thickBot="1" x14ac:dyDescent="0.4">
      <c r="B71" s="346">
        <v>45691</v>
      </c>
      <c r="C71" s="128" t="s">
        <v>748</v>
      </c>
      <c r="D71" s="500">
        <v>10</v>
      </c>
      <c r="E71" s="531">
        <f t="shared" si="12"/>
        <v>0</v>
      </c>
      <c r="F71" s="110">
        <f t="shared" si="7"/>
        <v>100</v>
      </c>
      <c r="G71" s="533">
        <f t="shared" si="1"/>
        <v>100.00000000000136</v>
      </c>
      <c r="H71" s="638"/>
      <c r="I71" s="218"/>
      <c r="J71" s="218"/>
      <c r="K71" s="218"/>
      <c r="L71" s="218"/>
      <c r="M71" s="218"/>
      <c r="N71" s="639"/>
      <c r="O71" s="634"/>
      <c r="P71" s="626"/>
      <c r="Q71" s="627"/>
      <c r="R71" s="626">
        <f>'PAYMENT VOUCHERS'!E108</f>
        <v>100</v>
      </c>
      <c r="S71" s="626"/>
      <c r="T71" s="626"/>
      <c r="U71" s="626"/>
      <c r="V71" s="626"/>
      <c r="W71" s="628"/>
      <c r="X71" s="628"/>
    </row>
    <row r="72" spans="2:24" ht="26.1" customHeight="1" thickTop="1" thickBot="1" x14ac:dyDescent="0.4">
      <c r="B72" s="346">
        <v>45691</v>
      </c>
      <c r="C72" s="128" t="s">
        <v>740</v>
      </c>
      <c r="D72" s="500">
        <v>10</v>
      </c>
      <c r="E72" s="531">
        <f t="shared" si="11"/>
        <v>0</v>
      </c>
      <c r="F72" s="110">
        <f t="shared" si="7"/>
        <v>100</v>
      </c>
      <c r="G72" s="533">
        <f t="shared" ref="G72:G127" si="13">G71+E72-F72</f>
        <v>1.3642420526593924E-12</v>
      </c>
      <c r="H72" s="638"/>
      <c r="I72" s="218"/>
      <c r="J72" s="218"/>
      <c r="K72" s="218"/>
      <c r="L72" s="218"/>
      <c r="M72" s="218"/>
      <c r="N72" s="639"/>
      <c r="O72" s="634"/>
      <c r="P72" s="626"/>
      <c r="Q72" s="627"/>
      <c r="R72" s="626">
        <f>'PAYMENT VOUCHERS'!E109</f>
        <v>100</v>
      </c>
      <c r="S72" s="626"/>
      <c r="T72" s="626"/>
      <c r="U72" s="626"/>
      <c r="V72" s="626"/>
      <c r="W72" s="628"/>
      <c r="X72" s="628"/>
    </row>
    <row r="73" spans="2:24" ht="26.1" customHeight="1" thickTop="1" thickBot="1" x14ac:dyDescent="0.4">
      <c r="B73" s="346">
        <v>45750</v>
      </c>
      <c r="C73" s="128" t="s">
        <v>932</v>
      </c>
      <c r="D73" s="500">
        <v>11</v>
      </c>
      <c r="E73" s="531">
        <f t="shared" si="11"/>
        <v>4141</v>
      </c>
      <c r="F73" s="110">
        <f t="shared" si="7"/>
        <v>0</v>
      </c>
      <c r="G73" s="533">
        <f t="shared" si="13"/>
        <v>4141.0000000000018</v>
      </c>
      <c r="H73" s="638">
        <f>'PAYMENT VOUCHERS'!E118</f>
        <v>4141</v>
      </c>
      <c r="I73" s="218"/>
      <c r="J73" s="218"/>
      <c r="K73" s="218"/>
      <c r="L73" s="218"/>
      <c r="M73" s="218"/>
      <c r="N73" s="639"/>
      <c r="O73" s="634"/>
      <c r="P73" s="626"/>
      <c r="Q73" s="627"/>
      <c r="R73" s="626"/>
      <c r="S73" s="626"/>
      <c r="T73" s="626"/>
      <c r="U73" s="626"/>
      <c r="V73" s="626"/>
      <c r="W73" s="628"/>
      <c r="X73" s="628"/>
    </row>
    <row r="74" spans="2:24" ht="26.1" customHeight="1" thickTop="1" thickBot="1" x14ac:dyDescent="0.4">
      <c r="B74" s="346">
        <v>45751</v>
      </c>
      <c r="C74" s="645" t="s">
        <v>682</v>
      </c>
      <c r="D74" s="501">
        <v>11</v>
      </c>
      <c r="E74" s="531">
        <f t="shared" si="11"/>
        <v>0</v>
      </c>
      <c r="F74" s="110">
        <f t="shared" si="7"/>
        <v>4000</v>
      </c>
      <c r="G74" s="533">
        <f t="shared" si="13"/>
        <v>141.00000000000182</v>
      </c>
      <c r="H74" s="638"/>
      <c r="I74" s="218"/>
      <c r="J74" s="218"/>
      <c r="K74" s="218"/>
      <c r="L74" s="218"/>
      <c r="M74" s="218"/>
      <c r="N74" s="639"/>
      <c r="O74" s="634"/>
      <c r="P74" s="626">
        <f>'PAYMENT VOUCHERS'!E115</f>
        <v>4000</v>
      </c>
      <c r="Q74" s="627"/>
      <c r="R74" s="626"/>
      <c r="S74" s="626"/>
      <c r="T74" s="626"/>
      <c r="U74" s="626"/>
      <c r="V74" s="626"/>
      <c r="W74" s="628"/>
      <c r="X74" s="628"/>
    </row>
    <row r="75" spans="2:24" ht="26.1" customHeight="1" thickTop="1" thickBot="1" x14ac:dyDescent="0.4">
      <c r="B75" s="346">
        <v>45751</v>
      </c>
      <c r="C75" s="644" t="s">
        <v>1021</v>
      </c>
      <c r="D75" s="501">
        <v>11</v>
      </c>
      <c r="E75" s="531">
        <f t="shared" si="11"/>
        <v>0</v>
      </c>
      <c r="F75" s="110">
        <f t="shared" si="7"/>
        <v>41</v>
      </c>
      <c r="G75" s="533">
        <f t="shared" si="13"/>
        <v>100.00000000000182</v>
      </c>
      <c r="H75" s="646"/>
      <c r="I75" s="218"/>
      <c r="J75" s="218"/>
      <c r="K75" s="218"/>
      <c r="L75" s="218"/>
      <c r="M75" s="218"/>
      <c r="N75" s="639"/>
      <c r="O75" s="634">
        <f>'PAYMENT VOUCHERS'!E116</f>
        <v>41</v>
      </c>
      <c r="P75" s="626"/>
      <c r="Q75" s="627"/>
      <c r="R75" s="626"/>
      <c r="S75" s="626"/>
      <c r="T75" s="626"/>
      <c r="U75" s="626"/>
      <c r="V75" s="626"/>
      <c r="W75" s="628"/>
      <c r="X75" s="628"/>
    </row>
    <row r="76" spans="2:24" ht="26.1" customHeight="1" thickTop="1" thickBot="1" x14ac:dyDescent="0.4">
      <c r="B76" s="346">
        <v>45751</v>
      </c>
      <c r="C76" s="128" t="s">
        <v>683</v>
      </c>
      <c r="D76" s="500">
        <v>11</v>
      </c>
      <c r="E76" s="531">
        <f t="shared" si="11"/>
        <v>0</v>
      </c>
      <c r="F76" s="110">
        <f t="shared" si="7"/>
        <v>100</v>
      </c>
      <c r="G76" s="533">
        <f t="shared" si="13"/>
        <v>1.8189894035458565E-12</v>
      </c>
      <c r="H76" s="646"/>
      <c r="I76" s="218"/>
      <c r="J76" s="218"/>
      <c r="K76" s="218"/>
      <c r="L76" s="218"/>
      <c r="M76" s="218"/>
      <c r="N76" s="639"/>
      <c r="O76" s="634"/>
      <c r="P76" s="626"/>
      <c r="Q76" s="627"/>
      <c r="R76" s="626">
        <f>'PAYMENT VOUCHERS'!E117</f>
        <v>100</v>
      </c>
      <c r="S76" s="626"/>
      <c r="T76" s="626"/>
      <c r="U76" s="626"/>
      <c r="V76" s="626"/>
      <c r="W76" s="628"/>
      <c r="X76" s="628"/>
    </row>
    <row r="77" spans="2:24" ht="26.1" customHeight="1" thickTop="1" thickBot="1" x14ac:dyDescent="0.4">
      <c r="B77" s="346">
        <v>45798</v>
      </c>
      <c r="C77" s="128" t="s">
        <v>932</v>
      </c>
      <c r="D77" s="500">
        <v>12</v>
      </c>
      <c r="E77" s="531">
        <f t="shared" si="11"/>
        <v>3039.1</v>
      </c>
      <c r="F77" s="110">
        <f t="shared" si="7"/>
        <v>0</v>
      </c>
      <c r="G77" s="533">
        <f t="shared" si="13"/>
        <v>3039.1000000000017</v>
      </c>
      <c r="H77" s="646">
        <f>'PAYMENT VOUCHERS'!E129</f>
        <v>3039.1</v>
      </c>
      <c r="I77" s="218"/>
      <c r="J77" s="218"/>
      <c r="K77" s="218"/>
      <c r="L77" s="218"/>
      <c r="M77" s="218"/>
      <c r="N77" s="639"/>
      <c r="O77" s="634"/>
      <c r="P77" s="626"/>
      <c r="Q77" s="627"/>
      <c r="R77" s="626"/>
      <c r="S77" s="626"/>
      <c r="T77" s="626"/>
      <c r="U77" s="626"/>
      <c r="V77" s="626"/>
      <c r="W77" s="628"/>
      <c r="X77" s="628"/>
    </row>
    <row r="78" spans="2:24" ht="26.1" customHeight="1" thickTop="1" thickBot="1" x14ac:dyDescent="0.4">
      <c r="B78" s="346">
        <v>45799</v>
      </c>
      <c r="C78" s="128" t="s">
        <v>764</v>
      </c>
      <c r="D78" s="500">
        <v>12</v>
      </c>
      <c r="E78" s="531">
        <f t="shared" si="11"/>
        <v>0</v>
      </c>
      <c r="F78" s="110">
        <f t="shared" si="7"/>
        <v>100</v>
      </c>
      <c r="G78" s="533">
        <f t="shared" si="13"/>
        <v>2939.1000000000017</v>
      </c>
      <c r="H78" s="646"/>
      <c r="I78" s="218"/>
      <c r="J78" s="218"/>
      <c r="K78" s="218"/>
      <c r="L78" s="218"/>
      <c r="M78" s="218"/>
      <c r="N78" s="639"/>
      <c r="O78" s="634"/>
      <c r="P78" s="626"/>
      <c r="Q78" s="627"/>
      <c r="R78" s="626">
        <f>'PAYMENT VOUCHERS'!E123</f>
        <v>100</v>
      </c>
      <c r="S78" s="626"/>
      <c r="T78" s="626"/>
      <c r="U78" s="626"/>
      <c r="V78" s="626"/>
      <c r="W78" s="628"/>
      <c r="X78" s="628"/>
    </row>
    <row r="79" spans="2:24" ht="26.1" customHeight="1" thickTop="1" thickBot="1" x14ac:dyDescent="0.4">
      <c r="B79" s="346">
        <v>45799</v>
      </c>
      <c r="C79" s="645" t="s">
        <v>682</v>
      </c>
      <c r="D79" s="500">
        <v>12</v>
      </c>
      <c r="E79" s="531">
        <f t="shared" si="11"/>
        <v>0</v>
      </c>
      <c r="F79" s="110">
        <f t="shared" si="7"/>
        <v>2000</v>
      </c>
      <c r="G79" s="533">
        <f t="shared" si="13"/>
        <v>939.10000000000173</v>
      </c>
      <c r="H79" s="646"/>
      <c r="I79" s="218"/>
      <c r="J79" s="218"/>
      <c r="K79" s="218"/>
      <c r="L79" s="218"/>
      <c r="M79" s="218"/>
      <c r="N79" s="639"/>
      <c r="O79" s="634"/>
      <c r="P79" s="626">
        <f>'PAYMENT VOUCHERS'!E124</f>
        <v>2000</v>
      </c>
      <c r="Q79" s="627"/>
      <c r="R79" s="626"/>
      <c r="S79" s="626"/>
      <c r="T79" s="626"/>
      <c r="U79" s="626"/>
      <c r="V79" s="626"/>
      <c r="W79" s="628"/>
      <c r="X79" s="628"/>
    </row>
    <row r="80" spans="2:24" ht="26.1" customHeight="1" thickTop="1" thickBot="1" x14ac:dyDescent="0.4">
      <c r="B80" s="346">
        <v>45799</v>
      </c>
      <c r="C80" s="644" t="s">
        <v>1021</v>
      </c>
      <c r="D80" s="500">
        <v>12</v>
      </c>
      <c r="E80" s="531">
        <f t="shared" ref="E80" si="14">SUM(H80:N80)</f>
        <v>0</v>
      </c>
      <c r="F80" s="110">
        <f t="shared" si="7"/>
        <v>29.1</v>
      </c>
      <c r="G80" s="533">
        <f t="shared" si="13"/>
        <v>910.00000000000171</v>
      </c>
      <c r="H80" s="646"/>
      <c r="I80" s="218"/>
      <c r="J80" s="218"/>
      <c r="K80" s="218"/>
      <c r="L80" s="218"/>
      <c r="M80" s="218"/>
      <c r="N80" s="639"/>
      <c r="O80" s="634">
        <f>'PAYMENT VOUCHERS'!E125</f>
        <v>29.1</v>
      </c>
      <c r="P80" s="626"/>
      <c r="Q80" s="627"/>
      <c r="R80" s="626"/>
      <c r="S80" s="626"/>
      <c r="T80" s="626"/>
      <c r="U80" s="626"/>
      <c r="V80" s="626"/>
      <c r="W80" s="628"/>
      <c r="X80" s="628"/>
    </row>
    <row r="81" spans="2:24" ht="26.1" customHeight="1" thickTop="1" thickBot="1" x14ac:dyDescent="0.4">
      <c r="B81" s="346">
        <v>45799</v>
      </c>
      <c r="C81" s="128" t="s">
        <v>765</v>
      </c>
      <c r="D81" s="500">
        <v>12</v>
      </c>
      <c r="E81" s="531"/>
      <c r="F81" s="110">
        <f t="shared" ref="F81:F112" si="15">SUM(O81:X81)</f>
        <v>100</v>
      </c>
      <c r="G81" s="533">
        <f t="shared" si="13"/>
        <v>810.00000000000171</v>
      </c>
      <c r="H81" s="646"/>
      <c r="I81" s="218"/>
      <c r="J81" s="218"/>
      <c r="K81" s="218"/>
      <c r="L81" s="218"/>
      <c r="M81" s="218"/>
      <c r="N81" s="639"/>
      <c r="O81" s="634"/>
      <c r="P81" s="626"/>
      <c r="Q81" s="627"/>
      <c r="R81" s="626">
        <f>'PAYMENT VOUCHERS'!E126</f>
        <v>100</v>
      </c>
      <c r="S81" s="626"/>
      <c r="T81" s="626"/>
      <c r="U81" s="626"/>
      <c r="V81" s="626"/>
      <c r="W81" s="628"/>
      <c r="X81" s="628"/>
    </row>
    <row r="82" spans="2:24" ht="26.1" customHeight="1" thickTop="1" thickBot="1" x14ac:dyDescent="0.4">
      <c r="B82" s="346">
        <v>45799</v>
      </c>
      <c r="C82" s="333" t="s">
        <v>767</v>
      </c>
      <c r="D82" s="500">
        <v>12</v>
      </c>
      <c r="E82" s="531">
        <f t="shared" si="11"/>
        <v>0</v>
      </c>
      <c r="F82" s="110">
        <f t="shared" si="15"/>
        <v>10</v>
      </c>
      <c r="G82" s="533">
        <f t="shared" si="13"/>
        <v>800.00000000000171</v>
      </c>
      <c r="H82" s="646"/>
      <c r="I82" s="218"/>
      <c r="J82" s="218"/>
      <c r="K82" s="218"/>
      <c r="L82" s="218"/>
      <c r="M82" s="218"/>
      <c r="N82" s="639"/>
      <c r="O82" s="634"/>
      <c r="P82" s="626"/>
      <c r="Q82" s="627"/>
      <c r="R82" s="626"/>
      <c r="S82" s="626">
        <f>'PAYMENT VOUCHERS'!E127</f>
        <v>10</v>
      </c>
      <c r="T82" s="626"/>
      <c r="U82" s="626"/>
      <c r="V82" s="626"/>
      <c r="W82" s="628"/>
      <c r="X82" s="628"/>
    </row>
    <row r="83" spans="2:24" ht="26.1" customHeight="1" thickTop="1" thickBot="1" x14ac:dyDescent="0.4">
      <c r="B83" s="346">
        <v>45799</v>
      </c>
      <c r="C83" s="333" t="s">
        <v>769</v>
      </c>
      <c r="D83" s="500">
        <v>12</v>
      </c>
      <c r="E83" s="531">
        <f t="shared" si="11"/>
        <v>0</v>
      </c>
      <c r="F83" s="110">
        <f t="shared" si="15"/>
        <v>800</v>
      </c>
      <c r="G83" s="533">
        <f t="shared" si="13"/>
        <v>1.7053025658242404E-12</v>
      </c>
      <c r="H83" s="646"/>
      <c r="I83" s="218"/>
      <c r="J83" s="218"/>
      <c r="K83" s="218"/>
      <c r="L83" s="218"/>
      <c r="M83" s="218"/>
      <c r="N83" s="639"/>
      <c r="O83" s="634"/>
      <c r="P83" s="626"/>
      <c r="Q83" s="627"/>
      <c r="R83" s="626"/>
      <c r="S83" s="626">
        <f>'PAYMENT VOUCHERS'!E128</f>
        <v>800</v>
      </c>
      <c r="T83" s="626"/>
      <c r="U83" s="626"/>
      <c r="V83" s="626"/>
      <c r="W83" s="628"/>
      <c r="X83" s="628"/>
    </row>
    <row r="84" spans="2:24" ht="26.1" customHeight="1" thickTop="1" thickBot="1" x14ac:dyDescent="0.4">
      <c r="B84" s="346">
        <v>45823</v>
      </c>
      <c r="C84" s="128" t="s">
        <v>932</v>
      </c>
      <c r="D84" s="500">
        <v>13</v>
      </c>
      <c r="E84" s="531">
        <f t="shared" si="11"/>
        <v>2434</v>
      </c>
      <c r="F84" s="110">
        <f t="shared" si="15"/>
        <v>0</v>
      </c>
      <c r="G84" s="533">
        <f t="shared" si="13"/>
        <v>2434.0000000000018</v>
      </c>
      <c r="H84" s="638">
        <f>'PAYMENT VOUCHERS'!E137</f>
        <v>2434</v>
      </c>
      <c r="I84" s="218"/>
      <c r="J84" s="218"/>
      <c r="K84" s="218"/>
      <c r="L84" s="218"/>
      <c r="M84" s="218"/>
      <c r="N84" s="639"/>
      <c r="O84" s="634"/>
      <c r="P84" s="626"/>
      <c r="Q84" s="627"/>
      <c r="R84" s="626"/>
      <c r="S84" s="626"/>
      <c r="T84" s="626"/>
      <c r="U84" s="626"/>
      <c r="V84" s="626"/>
      <c r="W84" s="628"/>
      <c r="X84" s="628"/>
    </row>
    <row r="85" spans="2:24" ht="26.1" customHeight="1" thickTop="1" thickBot="1" x14ac:dyDescent="0.4">
      <c r="B85" s="346">
        <v>45824</v>
      </c>
      <c r="C85" s="645" t="s">
        <v>682</v>
      </c>
      <c r="D85" s="500">
        <v>13</v>
      </c>
      <c r="E85" s="531">
        <f t="shared" si="11"/>
        <v>0</v>
      </c>
      <c r="F85" s="110">
        <f t="shared" si="15"/>
        <v>2300</v>
      </c>
      <c r="G85" s="533">
        <f t="shared" si="13"/>
        <v>134.00000000000182</v>
      </c>
      <c r="H85" s="638"/>
      <c r="I85" s="218"/>
      <c r="J85" s="218"/>
      <c r="K85" s="218"/>
      <c r="L85" s="218"/>
      <c r="M85" s="218"/>
      <c r="N85" s="639"/>
      <c r="O85" s="634"/>
      <c r="P85" s="626">
        <f>'PAYMENT VOUCHERS'!E134</f>
        <v>2300</v>
      </c>
      <c r="Q85" s="627"/>
      <c r="R85" s="626"/>
      <c r="S85" s="626"/>
      <c r="T85" s="626"/>
      <c r="U85" s="626"/>
      <c r="V85" s="626"/>
      <c r="W85" s="628"/>
      <c r="X85" s="628"/>
    </row>
    <row r="86" spans="2:24" ht="26.1" customHeight="1" thickTop="1" thickBot="1" x14ac:dyDescent="0.4">
      <c r="B86" s="346">
        <v>45824</v>
      </c>
      <c r="C86" s="644" t="s">
        <v>1021</v>
      </c>
      <c r="D86" s="500">
        <v>13</v>
      </c>
      <c r="E86" s="531"/>
      <c r="F86" s="110">
        <f t="shared" si="15"/>
        <v>34</v>
      </c>
      <c r="G86" s="533">
        <f t="shared" si="13"/>
        <v>100.00000000000182</v>
      </c>
      <c r="H86" s="638"/>
      <c r="I86" s="218"/>
      <c r="J86" s="218"/>
      <c r="K86" s="218"/>
      <c r="L86" s="218"/>
      <c r="M86" s="218"/>
      <c r="N86" s="639"/>
      <c r="O86" s="634">
        <f>'PAYMENT VOUCHERS'!E135</f>
        <v>34</v>
      </c>
      <c r="P86" s="626"/>
      <c r="Q86" s="627"/>
      <c r="R86" s="626"/>
      <c r="S86" s="626"/>
      <c r="T86" s="626"/>
      <c r="U86" s="626"/>
      <c r="V86" s="626"/>
      <c r="W86" s="628"/>
      <c r="X86" s="628"/>
    </row>
    <row r="87" spans="2:24" ht="26.1" customHeight="1" thickTop="1" thickBot="1" x14ac:dyDescent="0.4">
      <c r="B87" s="346">
        <v>45824</v>
      </c>
      <c r="C87" s="128" t="s">
        <v>765</v>
      </c>
      <c r="D87" s="500">
        <v>13</v>
      </c>
      <c r="E87" s="531">
        <f t="shared" si="11"/>
        <v>0</v>
      </c>
      <c r="F87" s="110">
        <f t="shared" si="15"/>
        <v>100</v>
      </c>
      <c r="G87" s="533">
        <f t="shared" si="13"/>
        <v>1.8189894035458565E-12</v>
      </c>
      <c r="H87" s="638"/>
      <c r="I87" s="218"/>
      <c r="J87" s="218"/>
      <c r="K87" s="218"/>
      <c r="L87" s="218"/>
      <c r="M87" s="218"/>
      <c r="N87" s="639"/>
      <c r="O87" s="634"/>
      <c r="P87" s="626"/>
      <c r="Q87" s="627"/>
      <c r="R87" s="626">
        <f>'PAYMENT VOUCHERS'!E136</f>
        <v>100</v>
      </c>
      <c r="S87" s="626"/>
      <c r="T87" s="626"/>
      <c r="U87" s="626"/>
      <c r="V87" s="626"/>
      <c r="W87" s="628"/>
      <c r="X87" s="628"/>
    </row>
    <row r="88" spans="2:24" ht="26.1" customHeight="1" thickTop="1" thickBot="1" x14ac:dyDescent="0.4">
      <c r="B88" s="346">
        <v>45874</v>
      </c>
      <c r="C88" s="128" t="s">
        <v>932</v>
      </c>
      <c r="D88" s="500">
        <v>14</v>
      </c>
      <c r="E88" s="531">
        <f t="shared" ref="E88:E91" si="16">SUM(H88:N88)</f>
        <v>2323</v>
      </c>
      <c r="F88" s="110">
        <f t="shared" si="15"/>
        <v>0</v>
      </c>
      <c r="G88" s="533">
        <f t="shared" si="13"/>
        <v>2323.0000000000018</v>
      </c>
      <c r="H88" s="638">
        <f>'PAYMENT VOUCHERS'!E145</f>
        <v>2323</v>
      </c>
      <c r="I88" s="218"/>
      <c r="J88" s="218"/>
      <c r="K88" s="218"/>
      <c r="L88" s="218"/>
      <c r="M88" s="218"/>
      <c r="N88" s="639"/>
      <c r="O88" s="634"/>
      <c r="P88" s="626"/>
      <c r="Q88" s="627"/>
      <c r="R88" s="626"/>
      <c r="S88" s="626"/>
      <c r="T88" s="626"/>
      <c r="U88" s="626"/>
      <c r="V88" s="626"/>
      <c r="W88" s="628"/>
      <c r="X88" s="628"/>
    </row>
    <row r="89" spans="2:24" ht="26.1" customHeight="1" thickTop="1" thickBot="1" x14ac:dyDescent="0.4">
      <c r="B89" s="346">
        <v>45875</v>
      </c>
      <c r="C89" s="645" t="s">
        <v>682</v>
      </c>
      <c r="D89" s="500">
        <v>14</v>
      </c>
      <c r="E89" s="531">
        <f t="shared" si="16"/>
        <v>0</v>
      </c>
      <c r="F89" s="110">
        <f t="shared" si="15"/>
        <v>2000</v>
      </c>
      <c r="G89" s="533">
        <f t="shared" si="13"/>
        <v>323.00000000000182</v>
      </c>
      <c r="H89" s="638"/>
      <c r="I89" s="218"/>
      <c r="J89" s="218"/>
      <c r="K89" s="218"/>
      <c r="L89" s="218"/>
      <c r="M89" s="218"/>
      <c r="N89" s="639"/>
      <c r="O89" s="634"/>
      <c r="P89" s="626">
        <f>'PAYMENT VOUCHERS'!E141</f>
        <v>2000</v>
      </c>
      <c r="Q89" s="627"/>
      <c r="R89" s="626"/>
      <c r="S89" s="626"/>
      <c r="T89" s="626"/>
      <c r="U89" s="626"/>
      <c r="V89" s="626"/>
      <c r="W89" s="628"/>
      <c r="X89" s="628"/>
    </row>
    <row r="90" spans="2:24" ht="26.1" customHeight="1" thickTop="1" thickBot="1" x14ac:dyDescent="0.4">
      <c r="B90" s="346">
        <v>45875</v>
      </c>
      <c r="C90" s="644" t="s">
        <v>1021</v>
      </c>
      <c r="D90" s="500">
        <v>14</v>
      </c>
      <c r="E90" s="531">
        <f t="shared" si="16"/>
        <v>0</v>
      </c>
      <c r="F90" s="110">
        <f t="shared" si="15"/>
        <v>23</v>
      </c>
      <c r="G90" s="533">
        <f t="shared" si="13"/>
        <v>300.00000000000182</v>
      </c>
      <c r="H90" s="638"/>
      <c r="I90" s="218"/>
      <c r="J90" s="218"/>
      <c r="K90" s="218"/>
      <c r="L90" s="218"/>
      <c r="M90" s="218"/>
      <c r="N90" s="639"/>
      <c r="O90" s="634">
        <f>'PAYMENT VOUCHERS'!E142</f>
        <v>23</v>
      </c>
      <c r="P90" s="626"/>
      <c r="Q90" s="627"/>
      <c r="R90" s="626"/>
      <c r="S90" s="626"/>
      <c r="T90" s="626"/>
      <c r="U90" s="626"/>
      <c r="V90" s="626"/>
      <c r="W90" s="628"/>
      <c r="X90" s="628"/>
    </row>
    <row r="91" spans="2:24" ht="26.1" customHeight="1" thickTop="1" thickBot="1" x14ac:dyDescent="0.4">
      <c r="B91" s="346">
        <v>45875</v>
      </c>
      <c r="C91" s="128" t="s">
        <v>683</v>
      </c>
      <c r="D91" s="500">
        <v>14</v>
      </c>
      <c r="E91" s="531">
        <f t="shared" si="16"/>
        <v>0</v>
      </c>
      <c r="F91" s="110">
        <f t="shared" si="15"/>
        <v>100</v>
      </c>
      <c r="G91" s="533">
        <f t="shared" si="13"/>
        <v>200.00000000000182</v>
      </c>
      <c r="H91" s="638"/>
      <c r="I91" s="218"/>
      <c r="J91" s="218"/>
      <c r="K91" s="218"/>
      <c r="L91" s="218"/>
      <c r="M91" s="218"/>
      <c r="N91" s="639"/>
      <c r="O91" s="634"/>
      <c r="P91" s="626"/>
      <c r="Q91" s="627"/>
      <c r="R91" s="626">
        <f>'PAYMENT VOUCHERS'!E143</f>
        <v>100</v>
      </c>
      <c r="S91" s="626"/>
      <c r="T91" s="626"/>
      <c r="U91" s="626"/>
      <c r="V91" s="626"/>
      <c r="W91" s="628"/>
      <c r="X91" s="628"/>
    </row>
    <row r="92" spans="2:24" ht="26.1" customHeight="1" thickTop="1" thickBot="1" x14ac:dyDescent="0.4">
      <c r="B92" s="346">
        <v>45875</v>
      </c>
      <c r="C92" s="128" t="s">
        <v>883</v>
      </c>
      <c r="D92" s="500">
        <v>14</v>
      </c>
      <c r="E92" s="531">
        <f t="shared" si="11"/>
        <v>0</v>
      </c>
      <c r="F92" s="110">
        <f t="shared" si="15"/>
        <v>200</v>
      </c>
      <c r="G92" s="533">
        <f t="shared" si="13"/>
        <v>1.8189894035458565E-12</v>
      </c>
      <c r="H92" s="638"/>
      <c r="I92" s="218"/>
      <c r="J92" s="218"/>
      <c r="K92" s="218"/>
      <c r="L92" s="218"/>
      <c r="M92" s="218"/>
      <c r="N92" s="639"/>
      <c r="O92" s="634"/>
      <c r="P92" s="626"/>
      <c r="Q92" s="627"/>
      <c r="R92" s="626">
        <f>'PAYMENT VOUCHERS'!E144</f>
        <v>200</v>
      </c>
      <c r="S92" s="626"/>
      <c r="T92" s="626"/>
      <c r="U92" s="626"/>
      <c r="V92" s="626"/>
      <c r="W92" s="628"/>
      <c r="X92" s="628"/>
    </row>
    <row r="93" spans="2:24" ht="26.1" customHeight="1" thickTop="1" thickBot="1" x14ac:dyDescent="0.4">
      <c r="B93" s="346">
        <v>45903</v>
      </c>
      <c r="C93" s="128" t="s">
        <v>932</v>
      </c>
      <c r="D93" s="500">
        <v>15</v>
      </c>
      <c r="E93" s="531">
        <f t="shared" ref="E93:E96" si="17">SUM(H93:N93)</f>
        <v>5156</v>
      </c>
      <c r="F93" s="110">
        <f t="shared" si="15"/>
        <v>0</v>
      </c>
      <c r="G93" s="533">
        <f t="shared" si="13"/>
        <v>5156.0000000000018</v>
      </c>
      <c r="H93" s="638">
        <f>'PAYMENT VOUCHERS'!E153</f>
        <v>5156</v>
      </c>
      <c r="I93" s="218"/>
      <c r="J93" s="218"/>
      <c r="K93" s="218"/>
      <c r="L93" s="218"/>
      <c r="M93" s="218"/>
      <c r="N93" s="639"/>
      <c r="O93" s="634"/>
      <c r="P93" s="626"/>
      <c r="Q93" s="627"/>
      <c r="R93" s="626"/>
      <c r="S93" s="626"/>
      <c r="T93" s="626"/>
      <c r="U93" s="626"/>
      <c r="V93" s="626"/>
      <c r="W93" s="628"/>
      <c r="X93" s="628"/>
    </row>
    <row r="94" spans="2:24" ht="26.1" customHeight="1" thickTop="1" thickBot="1" x14ac:dyDescent="0.4">
      <c r="B94" s="346">
        <v>45904</v>
      </c>
      <c r="C94" s="645" t="s">
        <v>682</v>
      </c>
      <c r="D94" s="500">
        <v>15</v>
      </c>
      <c r="E94" s="531">
        <f t="shared" si="17"/>
        <v>0</v>
      </c>
      <c r="F94" s="110">
        <f t="shared" si="15"/>
        <v>5000</v>
      </c>
      <c r="G94" s="533">
        <f t="shared" si="13"/>
        <v>156.00000000000182</v>
      </c>
      <c r="H94" s="638"/>
      <c r="I94" s="218"/>
      <c r="J94" s="218"/>
      <c r="K94" s="218"/>
      <c r="L94" s="218"/>
      <c r="M94" s="218"/>
      <c r="N94" s="639"/>
      <c r="O94" s="634"/>
      <c r="P94" s="626">
        <f>'PAYMENT VOUCHERS'!E150</f>
        <v>5000</v>
      </c>
      <c r="Q94" s="627"/>
      <c r="R94" s="626"/>
      <c r="S94" s="626"/>
      <c r="T94" s="626"/>
      <c r="U94" s="626"/>
      <c r="V94" s="626"/>
      <c r="W94" s="628"/>
      <c r="X94" s="628"/>
    </row>
    <row r="95" spans="2:24" ht="26.1" customHeight="1" thickTop="1" thickBot="1" x14ac:dyDescent="0.4">
      <c r="B95" s="346">
        <v>45904</v>
      </c>
      <c r="C95" s="644" t="s">
        <v>1021</v>
      </c>
      <c r="D95" s="500">
        <v>15</v>
      </c>
      <c r="E95" s="531">
        <f t="shared" si="17"/>
        <v>0</v>
      </c>
      <c r="F95" s="110">
        <f t="shared" si="15"/>
        <v>56</v>
      </c>
      <c r="G95" s="533">
        <f t="shared" si="13"/>
        <v>100.00000000000182</v>
      </c>
      <c r="H95" s="638"/>
      <c r="I95" s="218"/>
      <c r="J95" s="218"/>
      <c r="K95" s="218"/>
      <c r="L95" s="218"/>
      <c r="M95" s="218"/>
      <c r="N95" s="639"/>
      <c r="O95" s="634">
        <f>'PAYMENT VOUCHERS'!E151</f>
        <v>56</v>
      </c>
      <c r="P95" s="626"/>
      <c r="Q95" s="627"/>
      <c r="R95" s="626"/>
      <c r="S95" s="626"/>
      <c r="T95" s="626"/>
      <c r="U95" s="626"/>
      <c r="V95" s="626"/>
      <c r="W95" s="628"/>
      <c r="X95" s="628"/>
    </row>
    <row r="96" spans="2:24" ht="26.1" customHeight="1" thickTop="1" thickBot="1" x14ac:dyDescent="0.4">
      <c r="B96" s="346">
        <v>45904</v>
      </c>
      <c r="C96" s="128" t="s">
        <v>683</v>
      </c>
      <c r="D96" s="500">
        <v>15</v>
      </c>
      <c r="E96" s="531">
        <f t="shared" si="17"/>
        <v>0</v>
      </c>
      <c r="F96" s="110">
        <f t="shared" si="15"/>
        <v>100</v>
      </c>
      <c r="G96" s="533">
        <f t="shared" si="13"/>
        <v>1.8189894035458565E-12</v>
      </c>
      <c r="H96" s="638"/>
      <c r="I96" s="218"/>
      <c r="J96" s="218"/>
      <c r="K96" s="218"/>
      <c r="L96" s="218"/>
      <c r="M96" s="218"/>
      <c r="N96" s="639"/>
      <c r="O96" s="634"/>
      <c r="P96" s="626"/>
      <c r="Q96" s="627"/>
      <c r="R96" s="626">
        <f>'PAYMENT VOUCHERS'!E152</f>
        <v>100</v>
      </c>
      <c r="S96" s="626"/>
      <c r="T96" s="626"/>
      <c r="U96" s="626"/>
      <c r="V96" s="626"/>
      <c r="W96" s="628"/>
      <c r="X96" s="628"/>
    </row>
    <row r="97" spans="2:24" ht="26.1" customHeight="1" thickTop="1" thickBot="1" x14ac:dyDescent="0.4">
      <c r="B97" s="346">
        <v>46008</v>
      </c>
      <c r="C97" s="128" t="s">
        <v>932</v>
      </c>
      <c r="D97" s="500">
        <v>16</v>
      </c>
      <c r="E97" s="531">
        <f t="shared" ref="E97:E99" si="18">SUM(H97:N97)</f>
        <v>3737</v>
      </c>
      <c r="F97" s="110">
        <f t="shared" si="15"/>
        <v>0</v>
      </c>
      <c r="G97" s="533">
        <f t="shared" si="13"/>
        <v>3737.0000000000018</v>
      </c>
      <c r="H97" s="638">
        <f>'PAYMENT VOUCHERS'!E161</f>
        <v>3737</v>
      </c>
      <c r="I97" s="218"/>
      <c r="J97" s="218"/>
      <c r="K97" s="218"/>
      <c r="L97" s="218"/>
      <c r="M97" s="218"/>
      <c r="N97" s="639"/>
      <c r="O97" s="634"/>
      <c r="P97" s="626"/>
      <c r="Q97" s="627"/>
      <c r="R97" s="626"/>
      <c r="S97" s="626"/>
      <c r="T97" s="626"/>
      <c r="U97" s="626"/>
      <c r="V97" s="626"/>
      <c r="W97" s="628"/>
      <c r="X97" s="628"/>
    </row>
    <row r="98" spans="2:24" ht="26.1" customHeight="1" thickTop="1" thickBot="1" x14ac:dyDescent="0.4">
      <c r="B98" s="346">
        <v>46008</v>
      </c>
      <c r="C98" s="645" t="s">
        <v>682</v>
      </c>
      <c r="D98" s="500">
        <v>16</v>
      </c>
      <c r="E98" s="531">
        <f t="shared" si="18"/>
        <v>0</v>
      </c>
      <c r="F98" s="110">
        <f t="shared" si="15"/>
        <v>3600</v>
      </c>
      <c r="G98" s="533">
        <f t="shared" si="13"/>
        <v>137.00000000000182</v>
      </c>
      <c r="H98" s="638"/>
      <c r="I98" s="218"/>
      <c r="J98" s="218"/>
      <c r="K98" s="218"/>
      <c r="L98" s="218"/>
      <c r="M98" s="218"/>
      <c r="N98" s="639"/>
      <c r="O98" s="634"/>
      <c r="P98" s="626">
        <f>'PAYMENT VOUCHERS'!E158</f>
        <v>3600</v>
      </c>
      <c r="Q98" s="627"/>
      <c r="R98" s="626"/>
      <c r="S98" s="626"/>
      <c r="T98" s="626"/>
      <c r="U98" s="626"/>
      <c r="V98" s="626"/>
      <c r="W98" s="628"/>
      <c r="X98" s="628"/>
    </row>
    <row r="99" spans="2:24" ht="26.1" customHeight="1" thickTop="1" thickBot="1" x14ac:dyDescent="0.4">
      <c r="B99" s="346">
        <v>46008</v>
      </c>
      <c r="C99" s="644" t="s">
        <v>1021</v>
      </c>
      <c r="D99" s="500">
        <v>16</v>
      </c>
      <c r="E99" s="531">
        <f t="shared" si="18"/>
        <v>0</v>
      </c>
      <c r="F99" s="110">
        <f t="shared" si="15"/>
        <v>37</v>
      </c>
      <c r="G99" s="533">
        <f t="shared" si="13"/>
        <v>100.00000000000182</v>
      </c>
      <c r="H99" s="638"/>
      <c r="I99" s="218"/>
      <c r="J99" s="218"/>
      <c r="K99" s="218"/>
      <c r="L99" s="218"/>
      <c r="M99" s="218"/>
      <c r="N99" s="639"/>
      <c r="O99" s="634">
        <f>'PAYMENT VOUCHERS'!E159</f>
        <v>37</v>
      </c>
      <c r="P99" s="626"/>
      <c r="Q99" s="627"/>
      <c r="R99" s="626"/>
      <c r="S99" s="626"/>
      <c r="T99" s="626"/>
      <c r="U99" s="626"/>
      <c r="V99" s="626"/>
      <c r="W99" s="628"/>
      <c r="X99" s="628"/>
    </row>
    <row r="100" spans="2:24" ht="26.1" customHeight="1" thickTop="1" thickBot="1" x14ac:dyDescent="0.4">
      <c r="B100" s="346">
        <v>46008</v>
      </c>
      <c r="C100" s="128" t="s">
        <v>683</v>
      </c>
      <c r="D100" s="500">
        <v>16</v>
      </c>
      <c r="E100" s="531">
        <f t="shared" ref="E100:E118" si="19">SUM(H100:N100)</f>
        <v>0</v>
      </c>
      <c r="F100" s="110">
        <f t="shared" si="15"/>
        <v>100</v>
      </c>
      <c r="G100" s="533">
        <f t="shared" si="13"/>
        <v>1.8189894035458565E-12</v>
      </c>
      <c r="H100" s="638"/>
      <c r="I100" s="218"/>
      <c r="J100" s="218"/>
      <c r="K100" s="218"/>
      <c r="L100" s="218"/>
      <c r="M100" s="218"/>
      <c r="N100" s="639"/>
      <c r="O100" s="634"/>
      <c r="P100" s="626"/>
      <c r="Q100" s="627"/>
      <c r="R100" s="626">
        <f>'PAYMENT VOUCHERS'!E160</f>
        <v>100</v>
      </c>
      <c r="S100" s="626"/>
      <c r="T100" s="626"/>
      <c r="U100" s="626"/>
      <c r="V100" s="626"/>
      <c r="W100" s="628"/>
      <c r="X100" s="628"/>
    </row>
    <row r="101" spans="2:24" ht="26.1" customHeight="1" thickTop="1" thickBot="1" x14ac:dyDescent="0.4">
      <c r="B101" s="346">
        <v>46041</v>
      </c>
      <c r="C101" s="128" t="s">
        <v>932</v>
      </c>
      <c r="D101" s="500">
        <v>17</v>
      </c>
      <c r="E101" s="531">
        <f t="shared" si="19"/>
        <v>3134</v>
      </c>
      <c r="F101" s="110">
        <f t="shared" si="15"/>
        <v>0</v>
      </c>
      <c r="G101" s="533">
        <f t="shared" si="13"/>
        <v>3134.0000000000018</v>
      </c>
      <c r="H101" s="638">
        <f>'PAYMENT VOUCHERS'!E169</f>
        <v>3134</v>
      </c>
      <c r="I101" s="218"/>
      <c r="J101" s="218"/>
      <c r="K101" s="218"/>
      <c r="L101" s="218"/>
      <c r="M101" s="218"/>
      <c r="N101" s="639"/>
      <c r="O101" s="634"/>
      <c r="P101" s="626"/>
      <c r="Q101" s="627"/>
      <c r="R101" s="626"/>
      <c r="S101" s="626"/>
      <c r="T101" s="626"/>
      <c r="U101" s="626"/>
      <c r="V101" s="626"/>
      <c r="W101" s="628"/>
      <c r="X101" s="628"/>
    </row>
    <row r="102" spans="2:24" ht="26.1" customHeight="1" thickTop="1" thickBot="1" x14ac:dyDescent="0.4">
      <c r="B102" s="346">
        <v>46041</v>
      </c>
      <c r="C102" s="645" t="s">
        <v>682</v>
      </c>
      <c r="D102" s="500">
        <v>17</v>
      </c>
      <c r="E102" s="531">
        <f t="shared" si="19"/>
        <v>0</v>
      </c>
      <c r="F102" s="110">
        <f t="shared" si="15"/>
        <v>3000</v>
      </c>
      <c r="G102" s="533">
        <f t="shared" si="13"/>
        <v>134.00000000000182</v>
      </c>
      <c r="H102" s="638"/>
      <c r="I102" s="218"/>
      <c r="J102" s="218"/>
      <c r="K102" s="218"/>
      <c r="L102" s="218"/>
      <c r="M102" s="218"/>
      <c r="N102" s="639"/>
      <c r="O102" s="634"/>
      <c r="P102" s="626">
        <f>'PAYMENT VOUCHERS'!E166</f>
        <v>3000</v>
      </c>
      <c r="Q102" s="627"/>
      <c r="R102" s="626"/>
      <c r="S102" s="626"/>
      <c r="T102" s="626"/>
      <c r="U102" s="626"/>
      <c r="V102" s="626"/>
      <c r="W102" s="628"/>
      <c r="X102" s="628"/>
    </row>
    <row r="103" spans="2:24" ht="26.1" customHeight="1" thickTop="1" thickBot="1" x14ac:dyDescent="0.4">
      <c r="B103" s="346">
        <v>46041</v>
      </c>
      <c r="C103" s="644" t="s">
        <v>1021</v>
      </c>
      <c r="D103" s="500">
        <v>17</v>
      </c>
      <c r="E103" s="531">
        <f t="shared" si="19"/>
        <v>0</v>
      </c>
      <c r="F103" s="110">
        <f t="shared" si="15"/>
        <v>34</v>
      </c>
      <c r="G103" s="533">
        <f t="shared" si="13"/>
        <v>100.00000000000182</v>
      </c>
      <c r="H103" s="638"/>
      <c r="I103" s="218"/>
      <c r="J103" s="218"/>
      <c r="K103" s="218"/>
      <c r="L103" s="218"/>
      <c r="M103" s="218"/>
      <c r="N103" s="639"/>
      <c r="O103" s="634">
        <f>'PAYMENT VOUCHERS'!E167</f>
        <v>34</v>
      </c>
      <c r="P103" s="626"/>
      <c r="Q103" s="627"/>
      <c r="R103" s="626"/>
      <c r="S103" s="626"/>
      <c r="T103" s="626"/>
      <c r="U103" s="626"/>
      <c r="V103" s="626"/>
      <c r="W103" s="628"/>
      <c r="X103" s="628"/>
    </row>
    <row r="104" spans="2:24" ht="26.1" customHeight="1" thickTop="1" thickBot="1" x14ac:dyDescent="0.4">
      <c r="B104" s="346">
        <v>46041</v>
      </c>
      <c r="C104" s="128" t="s">
        <v>683</v>
      </c>
      <c r="D104" s="500">
        <v>17</v>
      </c>
      <c r="E104" s="531">
        <f t="shared" si="19"/>
        <v>0</v>
      </c>
      <c r="F104" s="110">
        <f t="shared" si="15"/>
        <v>100</v>
      </c>
      <c r="G104" s="533">
        <f t="shared" si="13"/>
        <v>1.8189894035458565E-12</v>
      </c>
      <c r="H104" s="638"/>
      <c r="I104" s="218"/>
      <c r="J104" s="218"/>
      <c r="K104" s="218"/>
      <c r="L104" s="218"/>
      <c r="M104" s="218"/>
      <c r="N104" s="639"/>
      <c r="O104" s="634"/>
      <c r="P104" s="626"/>
      <c r="Q104" s="627"/>
      <c r="R104" s="626">
        <f>'PAYMENT VOUCHERS'!E168</f>
        <v>100</v>
      </c>
      <c r="S104" s="626"/>
      <c r="T104" s="626"/>
      <c r="U104" s="626"/>
      <c r="V104" s="626"/>
      <c r="W104" s="628"/>
      <c r="X104" s="628"/>
    </row>
    <row r="105" spans="2:24" ht="26.1" customHeight="1" thickTop="1" thickBot="1" x14ac:dyDescent="0.4">
      <c r="B105" s="346">
        <v>46086</v>
      </c>
      <c r="C105" s="128" t="s">
        <v>932</v>
      </c>
      <c r="D105" s="500">
        <v>18</v>
      </c>
      <c r="E105" s="531">
        <f t="shared" si="19"/>
        <v>8945</v>
      </c>
      <c r="F105" s="110">
        <f t="shared" si="15"/>
        <v>0</v>
      </c>
      <c r="G105" s="533">
        <f t="shared" si="13"/>
        <v>8945.0000000000018</v>
      </c>
      <c r="H105" s="638">
        <f>'PAYMENT VOUCHERS'!E189</f>
        <v>8945</v>
      </c>
      <c r="I105" s="218"/>
      <c r="J105" s="218"/>
      <c r="K105" s="218"/>
      <c r="L105" s="218"/>
      <c r="M105" s="218"/>
      <c r="N105" s="639"/>
      <c r="O105" s="634"/>
      <c r="P105" s="626"/>
      <c r="Q105" s="627"/>
      <c r="R105" s="626"/>
      <c r="S105" s="626"/>
      <c r="T105" s="626"/>
      <c r="U105" s="626"/>
      <c r="V105" s="626"/>
      <c r="W105" s="628"/>
      <c r="X105" s="628"/>
    </row>
    <row r="106" spans="2:24" ht="26.1" customHeight="1" thickTop="1" thickBot="1" x14ac:dyDescent="0.4">
      <c r="B106" s="346">
        <v>46086</v>
      </c>
      <c r="C106" s="645" t="s">
        <v>682</v>
      </c>
      <c r="D106" s="500">
        <v>18</v>
      </c>
      <c r="E106" s="531">
        <f t="shared" si="19"/>
        <v>0</v>
      </c>
      <c r="F106" s="110">
        <f t="shared" si="15"/>
        <v>2000</v>
      </c>
      <c r="G106" s="533">
        <f t="shared" si="13"/>
        <v>6945.0000000000018</v>
      </c>
      <c r="H106" s="638"/>
      <c r="I106" s="218"/>
      <c r="J106" s="218"/>
      <c r="K106" s="218"/>
      <c r="L106" s="218"/>
      <c r="M106" s="218"/>
      <c r="N106" s="639"/>
      <c r="O106" s="634"/>
      <c r="P106" s="626">
        <f>'PAYMENT VOUCHERS'!E174</f>
        <v>2000</v>
      </c>
      <c r="Q106" s="627"/>
      <c r="R106" s="626"/>
      <c r="S106" s="626"/>
      <c r="T106" s="626"/>
      <c r="U106" s="626"/>
      <c r="V106" s="626"/>
      <c r="W106" s="628"/>
      <c r="X106" s="628"/>
    </row>
    <row r="107" spans="2:24" ht="26.1" customHeight="1" thickTop="1" thickBot="1" x14ac:dyDescent="0.4">
      <c r="B107" s="346">
        <v>46086</v>
      </c>
      <c r="C107" s="644" t="s">
        <v>1021</v>
      </c>
      <c r="D107" s="500">
        <v>18</v>
      </c>
      <c r="E107" s="531">
        <f t="shared" si="19"/>
        <v>0</v>
      </c>
      <c r="F107" s="110">
        <f t="shared" si="15"/>
        <v>21</v>
      </c>
      <c r="G107" s="533">
        <f t="shared" si="13"/>
        <v>6924.0000000000018</v>
      </c>
      <c r="H107" s="638"/>
      <c r="I107" s="218"/>
      <c r="J107" s="218"/>
      <c r="K107" s="218"/>
      <c r="L107" s="218"/>
      <c r="M107" s="218"/>
      <c r="N107" s="639"/>
      <c r="O107" s="634">
        <f>'PAYMENT VOUCHERS'!E176</f>
        <v>21</v>
      </c>
      <c r="P107" s="626"/>
      <c r="Q107" s="627"/>
      <c r="R107" s="626"/>
      <c r="S107" s="626"/>
      <c r="T107" s="626"/>
      <c r="U107" s="626"/>
      <c r="V107" s="626"/>
      <c r="W107" s="628"/>
      <c r="X107" s="628"/>
    </row>
    <row r="108" spans="2:24" ht="26.1" customHeight="1" thickTop="1" thickBot="1" x14ac:dyDescent="0.4">
      <c r="B108" s="346">
        <v>46086</v>
      </c>
      <c r="C108" s="128" t="s">
        <v>683</v>
      </c>
      <c r="D108" s="500">
        <v>18</v>
      </c>
      <c r="E108" s="531">
        <f t="shared" si="19"/>
        <v>0</v>
      </c>
      <c r="F108" s="110">
        <f t="shared" si="15"/>
        <v>100</v>
      </c>
      <c r="G108" s="533">
        <f t="shared" si="13"/>
        <v>6824.0000000000018</v>
      </c>
      <c r="H108" s="638"/>
      <c r="I108" s="218"/>
      <c r="J108" s="218"/>
      <c r="K108" s="218"/>
      <c r="L108" s="218"/>
      <c r="M108" s="218"/>
      <c r="N108" s="639"/>
      <c r="O108" s="634"/>
      <c r="P108" s="626"/>
      <c r="Q108" s="627"/>
      <c r="R108" s="626">
        <f>'PAYMENT VOUCHERS'!E175</f>
        <v>100</v>
      </c>
      <c r="S108" s="626"/>
      <c r="T108" s="626"/>
      <c r="U108" s="626"/>
      <c r="V108" s="626"/>
      <c r="W108" s="628"/>
      <c r="X108" s="628"/>
    </row>
    <row r="109" spans="2:24" ht="26.1" customHeight="1" thickTop="1" thickBot="1" x14ac:dyDescent="0.4">
      <c r="B109" s="346">
        <v>46092</v>
      </c>
      <c r="C109" s="645" t="s">
        <v>682</v>
      </c>
      <c r="D109" s="500">
        <v>18</v>
      </c>
      <c r="E109" s="531">
        <f t="shared" si="19"/>
        <v>0</v>
      </c>
      <c r="F109" s="110">
        <f t="shared" si="15"/>
        <v>2000</v>
      </c>
      <c r="G109" s="533">
        <f t="shared" si="13"/>
        <v>4824.0000000000018</v>
      </c>
      <c r="H109" s="638"/>
      <c r="I109" s="218"/>
      <c r="J109" s="218"/>
      <c r="K109" s="218"/>
      <c r="L109" s="218"/>
      <c r="M109" s="218"/>
      <c r="N109" s="639"/>
      <c r="O109" s="634"/>
      <c r="P109" s="626">
        <f>'PAYMENT VOUCHERS'!E177</f>
        <v>2000</v>
      </c>
      <c r="Q109" s="627"/>
      <c r="R109" s="626"/>
      <c r="S109" s="626"/>
      <c r="T109" s="626"/>
      <c r="U109" s="626"/>
      <c r="V109" s="626"/>
      <c r="W109" s="628"/>
      <c r="X109" s="628"/>
    </row>
    <row r="110" spans="2:24" ht="26.1" customHeight="1" thickTop="1" thickBot="1" x14ac:dyDescent="0.4">
      <c r="B110" s="346">
        <v>46092</v>
      </c>
      <c r="C110" s="644" t="s">
        <v>1021</v>
      </c>
      <c r="D110" s="500">
        <v>18</v>
      </c>
      <c r="E110" s="531">
        <f t="shared" si="19"/>
        <v>0</v>
      </c>
      <c r="F110" s="110">
        <f t="shared" si="15"/>
        <v>22</v>
      </c>
      <c r="G110" s="533">
        <f t="shared" si="13"/>
        <v>4802.0000000000018</v>
      </c>
      <c r="H110" s="638"/>
      <c r="I110" s="218"/>
      <c r="J110" s="218"/>
      <c r="K110" s="218"/>
      <c r="L110" s="218"/>
      <c r="M110" s="218"/>
      <c r="N110" s="639"/>
      <c r="O110" s="634">
        <f>'PAYMENT VOUCHERS'!E180</f>
        <v>22</v>
      </c>
      <c r="P110" s="626"/>
      <c r="Q110" s="627"/>
      <c r="R110" s="626"/>
      <c r="S110" s="626"/>
      <c r="T110" s="626"/>
      <c r="U110" s="626"/>
      <c r="V110" s="626"/>
      <c r="W110" s="628"/>
      <c r="X110" s="628"/>
    </row>
    <row r="111" spans="2:24" ht="26.1" customHeight="1" thickTop="1" thickBot="1" x14ac:dyDescent="0.4">
      <c r="B111" s="346">
        <v>46092</v>
      </c>
      <c r="C111" s="128" t="s">
        <v>748</v>
      </c>
      <c r="D111" s="500">
        <v>18</v>
      </c>
      <c r="E111" s="531">
        <f t="shared" si="19"/>
        <v>0</v>
      </c>
      <c r="F111" s="110">
        <f t="shared" si="15"/>
        <v>100</v>
      </c>
      <c r="G111" s="533">
        <f t="shared" si="13"/>
        <v>4702.0000000000018</v>
      </c>
      <c r="H111" s="638"/>
      <c r="I111" s="218"/>
      <c r="J111" s="218"/>
      <c r="K111" s="218"/>
      <c r="L111" s="218"/>
      <c r="M111" s="218"/>
      <c r="N111" s="639"/>
      <c r="O111" s="634"/>
      <c r="P111" s="626"/>
      <c r="Q111" s="627"/>
      <c r="R111" s="626">
        <f>'PAYMENT VOUCHERS'!E178</f>
        <v>100</v>
      </c>
      <c r="S111" s="626"/>
      <c r="T111" s="626"/>
      <c r="U111" s="626"/>
      <c r="V111" s="626"/>
      <c r="W111" s="628"/>
      <c r="X111" s="628"/>
    </row>
    <row r="112" spans="2:24" ht="26.1" customHeight="1" thickTop="1" thickBot="1" x14ac:dyDescent="0.4">
      <c r="B112" s="346">
        <v>46092</v>
      </c>
      <c r="C112" s="128" t="s">
        <v>740</v>
      </c>
      <c r="D112" s="500">
        <v>18</v>
      </c>
      <c r="E112" s="531">
        <f t="shared" si="19"/>
        <v>0</v>
      </c>
      <c r="F112" s="110">
        <f t="shared" si="15"/>
        <v>100</v>
      </c>
      <c r="G112" s="533">
        <f t="shared" si="13"/>
        <v>4602.0000000000018</v>
      </c>
      <c r="H112" s="638"/>
      <c r="I112" s="218"/>
      <c r="J112" s="218"/>
      <c r="K112" s="218"/>
      <c r="L112" s="218"/>
      <c r="M112" s="218"/>
      <c r="N112" s="639"/>
      <c r="O112" s="634"/>
      <c r="P112" s="626"/>
      <c r="Q112" s="627"/>
      <c r="R112" s="626">
        <f>'PAYMENT VOUCHERS'!E179</f>
        <v>100</v>
      </c>
      <c r="S112" s="626"/>
      <c r="T112" s="626"/>
      <c r="U112" s="626"/>
      <c r="V112" s="626"/>
      <c r="W112" s="628"/>
      <c r="X112" s="628"/>
    </row>
    <row r="113" spans="2:24" ht="26.1" customHeight="1" thickTop="1" thickBot="1" x14ac:dyDescent="0.4">
      <c r="B113" s="346">
        <v>46107</v>
      </c>
      <c r="C113" s="128" t="s">
        <v>748</v>
      </c>
      <c r="D113" s="500">
        <v>18</v>
      </c>
      <c r="E113" s="531">
        <f t="shared" si="19"/>
        <v>0</v>
      </c>
      <c r="F113" s="110">
        <f t="shared" ref="F113:F127" si="20">SUM(O113:X113)</f>
        <v>100</v>
      </c>
      <c r="G113" s="533">
        <f t="shared" si="13"/>
        <v>4502.0000000000018</v>
      </c>
      <c r="H113" s="638"/>
      <c r="I113" s="218"/>
      <c r="J113" s="218"/>
      <c r="K113" s="218"/>
      <c r="L113" s="218"/>
      <c r="M113" s="218"/>
      <c r="N113" s="639"/>
      <c r="O113" s="634"/>
      <c r="P113" s="626"/>
      <c r="Q113" s="627"/>
      <c r="R113" s="626">
        <f>'PAYMENT VOUCHERS'!E181</f>
        <v>100</v>
      </c>
      <c r="S113" s="626"/>
      <c r="T113" s="626"/>
      <c r="U113" s="626"/>
      <c r="V113" s="626"/>
      <c r="W113" s="628"/>
      <c r="X113" s="628"/>
    </row>
    <row r="114" spans="2:24" ht="26.1" customHeight="1" thickTop="1" thickBot="1" x14ac:dyDescent="0.4">
      <c r="B114" s="346">
        <v>46107</v>
      </c>
      <c r="C114" s="128" t="s">
        <v>740</v>
      </c>
      <c r="D114" s="500">
        <v>18</v>
      </c>
      <c r="E114" s="531">
        <f t="shared" si="19"/>
        <v>0</v>
      </c>
      <c r="F114" s="110">
        <f t="shared" si="20"/>
        <v>100</v>
      </c>
      <c r="G114" s="533">
        <f t="shared" si="13"/>
        <v>4402.0000000000018</v>
      </c>
      <c r="H114" s="638"/>
      <c r="I114" s="218"/>
      <c r="J114" s="218"/>
      <c r="K114" s="218"/>
      <c r="L114" s="218"/>
      <c r="M114" s="218"/>
      <c r="N114" s="639"/>
      <c r="O114" s="634"/>
      <c r="P114" s="626"/>
      <c r="Q114" s="627"/>
      <c r="R114" s="626">
        <f>'PAYMENT VOUCHERS'!E182</f>
        <v>100</v>
      </c>
      <c r="S114" s="626"/>
      <c r="T114" s="626"/>
      <c r="U114" s="626"/>
      <c r="V114" s="626"/>
      <c r="W114" s="628"/>
      <c r="X114" s="628"/>
    </row>
    <row r="115" spans="2:24" ht="26.1" customHeight="1" thickTop="1" thickBot="1" x14ac:dyDescent="0.4">
      <c r="B115" s="346">
        <v>46107</v>
      </c>
      <c r="C115" s="644" t="s">
        <v>1021</v>
      </c>
      <c r="D115" s="500">
        <v>18</v>
      </c>
      <c r="E115" s="531">
        <f t="shared" si="19"/>
        <v>0</v>
      </c>
      <c r="F115" s="110">
        <f t="shared" si="20"/>
        <v>2</v>
      </c>
      <c r="G115" s="533">
        <f t="shared" si="13"/>
        <v>4400.0000000000018</v>
      </c>
      <c r="H115" s="638"/>
      <c r="I115" s="218"/>
      <c r="J115" s="218"/>
      <c r="K115" s="218"/>
      <c r="L115" s="218"/>
      <c r="M115" s="218"/>
      <c r="N115" s="639"/>
      <c r="O115" s="634">
        <f>'PAYMENT VOUCHERS'!E183</f>
        <v>2</v>
      </c>
      <c r="P115" s="626"/>
      <c r="Q115" s="627"/>
      <c r="R115" s="626"/>
      <c r="S115" s="626"/>
      <c r="T115" s="626"/>
      <c r="U115" s="626"/>
      <c r="V115" s="626"/>
      <c r="W115" s="628"/>
      <c r="X115" s="628"/>
    </row>
    <row r="116" spans="2:24" ht="26.1" customHeight="1" thickTop="1" thickBot="1" x14ac:dyDescent="0.4">
      <c r="B116" s="346">
        <v>46109</v>
      </c>
      <c r="C116" s="644" t="s">
        <v>1282</v>
      </c>
      <c r="D116" s="500">
        <v>18</v>
      </c>
      <c r="E116" s="531"/>
      <c r="F116" s="110">
        <f t="shared" ref="F116:F120" si="21">SUM(O116:X116)</f>
        <v>4000</v>
      </c>
      <c r="G116" s="533">
        <f t="shared" si="13"/>
        <v>400.00000000000182</v>
      </c>
      <c r="H116" s="638"/>
      <c r="I116" s="218"/>
      <c r="J116" s="218"/>
      <c r="K116" s="218"/>
      <c r="L116" s="218"/>
      <c r="M116" s="218"/>
      <c r="N116" s="639"/>
      <c r="O116" s="634"/>
      <c r="P116" s="626"/>
      <c r="Q116" s="627"/>
      <c r="R116" s="626"/>
      <c r="S116" s="626"/>
      <c r="T116" s="626"/>
      <c r="U116" s="626"/>
      <c r="V116" s="626"/>
      <c r="W116" s="628"/>
      <c r="X116" s="628">
        <v>4000</v>
      </c>
    </row>
    <row r="117" spans="2:24" ht="26.1" customHeight="1" thickTop="1" thickBot="1" x14ac:dyDescent="0.4">
      <c r="B117" s="346">
        <v>46109</v>
      </c>
      <c r="C117" s="128" t="s">
        <v>683</v>
      </c>
      <c r="D117" s="500">
        <v>18</v>
      </c>
      <c r="E117" s="531">
        <f t="shared" si="19"/>
        <v>0</v>
      </c>
      <c r="F117" s="110">
        <f t="shared" si="21"/>
        <v>100</v>
      </c>
      <c r="G117" s="533">
        <f t="shared" si="13"/>
        <v>300.00000000000182</v>
      </c>
      <c r="H117" s="638"/>
      <c r="I117" s="218"/>
      <c r="J117" s="218"/>
      <c r="K117" s="218"/>
      <c r="L117" s="218"/>
      <c r="M117" s="218"/>
      <c r="N117" s="639"/>
      <c r="O117" s="634"/>
      <c r="P117" s="626"/>
      <c r="Q117" s="627"/>
      <c r="R117" s="626">
        <f>'PAYMENT VOUCHERS'!E186</f>
        <v>100</v>
      </c>
      <c r="S117" s="626"/>
      <c r="T117" s="626"/>
      <c r="U117" s="626"/>
      <c r="V117" s="626"/>
      <c r="W117" s="628"/>
      <c r="X117" s="628"/>
    </row>
    <row r="118" spans="2:24" ht="26.1" customHeight="1" thickTop="1" thickBot="1" x14ac:dyDescent="0.4">
      <c r="B118" s="346">
        <v>46110</v>
      </c>
      <c r="C118" s="128" t="s">
        <v>740</v>
      </c>
      <c r="D118" s="500">
        <v>18</v>
      </c>
      <c r="E118" s="531">
        <f t="shared" si="19"/>
        <v>0</v>
      </c>
      <c r="F118" s="110">
        <f t="shared" si="21"/>
        <v>100</v>
      </c>
      <c r="G118" s="533">
        <f t="shared" si="13"/>
        <v>200.00000000000182</v>
      </c>
      <c r="H118" s="638"/>
      <c r="I118" s="218"/>
      <c r="J118" s="218"/>
      <c r="K118" s="218"/>
      <c r="L118" s="218"/>
      <c r="M118" s="218"/>
      <c r="N118" s="639"/>
      <c r="O118" s="634"/>
      <c r="P118" s="626"/>
      <c r="Q118" s="627"/>
      <c r="R118" s="626">
        <f>'PAYMENT VOUCHERS'!E187</f>
        <v>100</v>
      </c>
      <c r="S118" s="626"/>
      <c r="T118" s="626"/>
      <c r="U118" s="626"/>
      <c r="V118" s="626"/>
      <c r="W118" s="628"/>
      <c r="X118" s="628"/>
    </row>
    <row r="119" spans="2:24" ht="26.1" customHeight="1" thickTop="1" thickBot="1" x14ac:dyDescent="0.4">
      <c r="B119" s="346">
        <v>46111</v>
      </c>
      <c r="C119" s="611" t="s">
        <v>1043</v>
      </c>
      <c r="D119" s="500">
        <v>18</v>
      </c>
      <c r="E119" s="531">
        <f t="shared" ref="E119:E121" si="22">SUM(H119:N119)</f>
        <v>0</v>
      </c>
      <c r="F119" s="110">
        <f t="shared" si="21"/>
        <v>200</v>
      </c>
      <c r="G119" s="533">
        <f t="shared" si="13"/>
        <v>1.8189894035458565E-12</v>
      </c>
      <c r="H119" s="638"/>
      <c r="I119" s="218"/>
      <c r="J119" s="218"/>
      <c r="K119" s="218"/>
      <c r="L119" s="218"/>
      <c r="M119" s="218"/>
      <c r="N119" s="639"/>
      <c r="O119" s="634"/>
      <c r="P119" s="626"/>
      <c r="Q119" s="627"/>
      <c r="R119" s="626"/>
      <c r="S119" s="626">
        <f>'PAYMENT VOUCHERS'!E188</f>
        <v>200</v>
      </c>
      <c r="T119" s="626"/>
      <c r="U119" s="626"/>
      <c r="V119" s="626"/>
      <c r="W119" s="628"/>
      <c r="X119" s="628"/>
    </row>
    <row r="120" spans="2:24" ht="26.1" customHeight="1" thickTop="1" thickBot="1" x14ac:dyDescent="0.4">
      <c r="B120" s="346">
        <v>46129</v>
      </c>
      <c r="C120" s="128" t="s">
        <v>932</v>
      </c>
      <c r="D120" s="500">
        <v>19</v>
      </c>
      <c r="E120" s="531">
        <f t="shared" si="22"/>
        <v>4141</v>
      </c>
      <c r="F120" s="110">
        <f t="shared" si="21"/>
        <v>0</v>
      </c>
      <c r="G120" s="533">
        <f t="shared" si="13"/>
        <v>4141.0000000000018</v>
      </c>
      <c r="H120" s="638">
        <f>'PAYMENT VOUCHERS'!E197</f>
        <v>4141</v>
      </c>
      <c r="I120" s="218"/>
      <c r="J120" s="218"/>
      <c r="K120" s="218"/>
      <c r="L120" s="218"/>
      <c r="M120" s="218"/>
      <c r="N120" s="639"/>
      <c r="O120" s="634"/>
      <c r="P120" s="626"/>
      <c r="Q120" s="627"/>
      <c r="R120" s="626"/>
      <c r="S120" s="626"/>
      <c r="T120" s="626"/>
      <c r="U120" s="626"/>
      <c r="V120" s="626"/>
      <c r="W120" s="628"/>
      <c r="X120" s="628"/>
    </row>
    <row r="121" spans="2:24" ht="26.1" customHeight="1" thickTop="1" thickBot="1" x14ac:dyDescent="0.4">
      <c r="B121" s="346">
        <v>46129</v>
      </c>
      <c r="C121" s="128" t="s">
        <v>683</v>
      </c>
      <c r="D121" s="500">
        <v>19</v>
      </c>
      <c r="E121" s="531">
        <f t="shared" si="22"/>
        <v>0</v>
      </c>
      <c r="F121" s="110">
        <f t="shared" ref="F121" si="23">SUM(O121:X121)</f>
        <v>4000</v>
      </c>
      <c r="G121" s="533">
        <f t="shared" si="13"/>
        <v>141.00000000000182</v>
      </c>
      <c r="H121" s="638"/>
      <c r="I121" s="218"/>
      <c r="J121" s="218"/>
      <c r="K121" s="218"/>
      <c r="L121" s="218"/>
      <c r="M121" s="218"/>
      <c r="N121" s="639"/>
      <c r="O121" s="634"/>
      <c r="P121" s="626">
        <f>'PAYMENT VOUCHERS'!E194</f>
        <v>4000</v>
      </c>
      <c r="Q121" s="627"/>
      <c r="R121" s="626"/>
      <c r="S121" s="626"/>
      <c r="T121" s="626"/>
      <c r="U121" s="626"/>
      <c r="V121" s="626"/>
      <c r="W121" s="628"/>
      <c r="X121" s="628"/>
    </row>
    <row r="122" spans="2:24" ht="26.1" customHeight="1" thickTop="1" thickBot="1" x14ac:dyDescent="0.4">
      <c r="B122" s="346">
        <v>46129</v>
      </c>
      <c r="C122" s="645" t="s">
        <v>682</v>
      </c>
      <c r="D122" s="500">
        <v>19</v>
      </c>
      <c r="E122" s="531">
        <f t="shared" ref="E122:E127" si="24">SUM(H122:N122)</f>
        <v>0</v>
      </c>
      <c r="F122" s="110">
        <f t="shared" si="20"/>
        <v>100</v>
      </c>
      <c r="G122" s="533">
        <f t="shared" si="13"/>
        <v>41.000000000001819</v>
      </c>
      <c r="H122" s="638"/>
      <c r="I122" s="218"/>
      <c r="J122" s="218"/>
      <c r="K122" s="218"/>
      <c r="L122" s="218"/>
      <c r="M122" s="218"/>
      <c r="N122" s="639"/>
      <c r="O122" s="634"/>
      <c r="P122" s="626"/>
      <c r="Q122" s="627"/>
      <c r="R122" s="626">
        <f>'PAYMENT VOUCHERS'!E195</f>
        <v>100</v>
      </c>
      <c r="S122" s="626"/>
      <c r="T122" s="626"/>
      <c r="U122" s="626"/>
      <c r="V122" s="626"/>
      <c r="W122" s="628"/>
      <c r="X122" s="628"/>
    </row>
    <row r="123" spans="2:24" ht="26.1" customHeight="1" thickTop="1" thickBot="1" x14ac:dyDescent="0.4">
      <c r="B123" s="346">
        <v>46129</v>
      </c>
      <c r="C123" s="644" t="s">
        <v>1021</v>
      </c>
      <c r="D123" s="500">
        <v>19</v>
      </c>
      <c r="E123" s="531">
        <f t="shared" si="24"/>
        <v>0</v>
      </c>
      <c r="F123" s="110">
        <f t="shared" si="20"/>
        <v>41</v>
      </c>
      <c r="G123" s="533">
        <f t="shared" si="13"/>
        <v>1.8189894035458565E-12</v>
      </c>
      <c r="H123" s="797"/>
      <c r="I123" s="798"/>
      <c r="J123" s="798"/>
      <c r="K123" s="798"/>
      <c r="L123" s="798"/>
      <c r="M123" s="798"/>
      <c r="N123" s="799"/>
      <c r="O123" s="800">
        <f>'PAYMENT VOUCHERS'!E196</f>
        <v>41</v>
      </c>
      <c r="P123" s="801"/>
      <c r="Q123" s="802"/>
      <c r="R123" s="801"/>
      <c r="S123" s="801"/>
      <c r="T123" s="801"/>
      <c r="U123" s="801"/>
      <c r="V123" s="801"/>
      <c r="W123" s="803"/>
      <c r="X123" s="803"/>
    </row>
    <row r="124" spans="2:24" ht="26.1" customHeight="1" thickTop="1" thickBot="1" x14ac:dyDescent="0.4">
      <c r="B124" s="794">
        <v>46255</v>
      </c>
      <c r="C124" s="128" t="s">
        <v>932</v>
      </c>
      <c r="D124" s="796">
        <v>20</v>
      </c>
      <c r="E124" s="531">
        <f t="shared" si="24"/>
        <v>4646</v>
      </c>
      <c r="F124" s="110">
        <f t="shared" si="20"/>
        <v>0</v>
      </c>
      <c r="G124" s="533">
        <f t="shared" si="13"/>
        <v>4646.0000000000018</v>
      </c>
      <c r="H124" s="797">
        <f>'PAYMENT VOUCHERS'!E205</f>
        <v>4646</v>
      </c>
      <c r="I124" s="798"/>
      <c r="J124" s="798"/>
      <c r="K124" s="798"/>
      <c r="L124" s="798"/>
      <c r="M124" s="798"/>
      <c r="N124" s="799"/>
      <c r="O124" s="800"/>
      <c r="P124" s="801"/>
      <c r="Q124" s="802"/>
      <c r="R124" s="801"/>
      <c r="S124" s="801"/>
      <c r="T124" s="801"/>
      <c r="U124" s="801"/>
      <c r="V124" s="801"/>
      <c r="W124" s="803"/>
      <c r="X124" s="803"/>
    </row>
    <row r="125" spans="2:24" ht="26.1" customHeight="1" thickTop="1" thickBot="1" x14ac:dyDescent="0.4">
      <c r="B125" s="794">
        <v>46255</v>
      </c>
      <c r="C125" s="128" t="s">
        <v>683</v>
      </c>
      <c r="D125" s="796">
        <v>20</v>
      </c>
      <c r="E125" s="531">
        <f t="shared" si="24"/>
        <v>0</v>
      </c>
      <c r="F125" s="110">
        <f t="shared" si="20"/>
        <v>100</v>
      </c>
      <c r="G125" s="533">
        <f t="shared" si="13"/>
        <v>4546.0000000000018</v>
      </c>
      <c r="H125" s="797"/>
      <c r="I125" s="798"/>
      <c r="J125" s="798"/>
      <c r="K125" s="798"/>
      <c r="L125" s="798"/>
      <c r="M125" s="798"/>
      <c r="N125" s="799"/>
      <c r="O125" s="800"/>
      <c r="P125" s="801"/>
      <c r="Q125" s="802"/>
      <c r="R125" s="801">
        <f>'PAYMENT VOUCHERS'!E203</f>
        <v>100</v>
      </c>
      <c r="S125" s="801"/>
      <c r="T125" s="801"/>
      <c r="U125" s="801"/>
      <c r="V125" s="801"/>
      <c r="W125" s="803"/>
      <c r="X125" s="803"/>
    </row>
    <row r="126" spans="2:24" ht="26.1" customHeight="1" thickTop="1" thickBot="1" x14ac:dyDescent="0.4">
      <c r="B126" s="794">
        <v>46255</v>
      </c>
      <c r="C126" s="645" t="s">
        <v>682</v>
      </c>
      <c r="D126" s="796">
        <v>20</v>
      </c>
      <c r="E126" s="531">
        <f t="shared" si="24"/>
        <v>0</v>
      </c>
      <c r="F126" s="110">
        <f t="shared" si="20"/>
        <v>4500</v>
      </c>
      <c r="G126" s="533">
        <f t="shared" si="13"/>
        <v>46.000000000001819</v>
      </c>
      <c r="H126" s="797"/>
      <c r="I126" s="798"/>
      <c r="J126" s="798"/>
      <c r="K126" s="798"/>
      <c r="L126" s="798"/>
      <c r="M126" s="798"/>
      <c r="N126" s="799"/>
      <c r="O126" s="800"/>
      <c r="P126" s="801">
        <f>'PAYMENT VOUCHERS'!E202</f>
        <v>4500</v>
      </c>
      <c r="Q126" s="802"/>
      <c r="R126" s="801"/>
      <c r="S126" s="801"/>
      <c r="T126" s="801"/>
      <c r="U126" s="801"/>
      <c r="V126" s="801"/>
      <c r="W126" s="803"/>
      <c r="X126" s="803"/>
    </row>
    <row r="127" spans="2:24" ht="26.1" customHeight="1" thickTop="1" thickBot="1" x14ac:dyDescent="0.4">
      <c r="B127" s="794">
        <v>46255</v>
      </c>
      <c r="C127" s="644" t="s">
        <v>1021</v>
      </c>
      <c r="D127" s="796">
        <v>20</v>
      </c>
      <c r="E127" s="531">
        <f t="shared" si="24"/>
        <v>0</v>
      </c>
      <c r="F127" s="110">
        <f t="shared" si="20"/>
        <v>46</v>
      </c>
      <c r="G127" s="533">
        <f t="shared" si="13"/>
        <v>1.8189894035458565E-12</v>
      </c>
      <c r="H127" s="797"/>
      <c r="I127" s="798"/>
      <c r="J127" s="798"/>
      <c r="K127" s="798"/>
      <c r="L127" s="798"/>
      <c r="M127" s="798"/>
      <c r="N127" s="799"/>
      <c r="O127" s="800">
        <f>'PAYMENT VOUCHERS'!E204</f>
        <v>46</v>
      </c>
      <c r="P127" s="801"/>
      <c r="Q127" s="802"/>
      <c r="R127" s="801"/>
      <c r="S127" s="801"/>
      <c r="T127" s="801"/>
      <c r="U127" s="801"/>
      <c r="V127" s="801"/>
      <c r="W127" s="803"/>
      <c r="X127" s="803"/>
    </row>
    <row r="128" spans="2:24" ht="26.1" customHeight="1" thickTop="1" thickBot="1" x14ac:dyDescent="0.4">
      <c r="B128" s="794">
        <v>46289</v>
      </c>
      <c r="C128" s="128" t="s">
        <v>932</v>
      </c>
      <c r="D128" s="796">
        <v>21</v>
      </c>
      <c r="E128" s="531">
        <f t="shared" ref="E128:E140" si="25">SUM(H128:N128)</f>
        <v>2121</v>
      </c>
      <c r="F128" s="110">
        <f t="shared" ref="F128:F140" si="26">SUM(O128:X128)</f>
        <v>0</v>
      </c>
      <c r="G128" s="533">
        <f t="shared" ref="G128:G140" si="27">G127+E128-F128</f>
        <v>2121.0000000000018</v>
      </c>
      <c r="H128" s="797">
        <f>'PAYMENT VOUCHERS'!E218</f>
        <v>2121</v>
      </c>
      <c r="I128" s="798"/>
      <c r="J128" s="798"/>
      <c r="K128" s="798"/>
      <c r="L128" s="798"/>
      <c r="M128" s="798"/>
      <c r="N128" s="799"/>
      <c r="O128" s="800"/>
      <c r="P128" s="801"/>
      <c r="Q128" s="802"/>
      <c r="R128" s="801"/>
      <c r="S128" s="801"/>
      <c r="T128" s="801"/>
      <c r="U128" s="801"/>
      <c r="V128" s="801"/>
      <c r="W128" s="803"/>
      <c r="X128" s="803"/>
    </row>
    <row r="129" spans="2:24" ht="26.1" customHeight="1" thickTop="1" thickBot="1" x14ac:dyDescent="0.4">
      <c r="B129" s="794">
        <v>46289</v>
      </c>
      <c r="C129" s="128" t="s">
        <v>683</v>
      </c>
      <c r="D129" s="796">
        <v>21</v>
      </c>
      <c r="E129" s="531">
        <f t="shared" si="25"/>
        <v>0</v>
      </c>
      <c r="F129" s="110">
        <f t="shared" si="26"/>
        <v>100</v>
      </c>
      <c r="G129" s="533">
        <f t="shared" si="27"/>
        <v>2021.0000000000018</v>
      </c>
      <c r="H129" s="797"/>
      <c r="I129" s="798"/>
      <c r="J129" s="798"/>
      <c r="K129" s="798"/>
      <c r="L129" s="798"/>
      <c r="M129" s="798"/>
      <c r="N129" s="799"/>
      <c r="O129" s="800"/>
      <c r="P129" s="801"/>
      <c r="Q129" s="802"/>
      <c r="R129" s="801">
        <f>'PAYMENT VOUCHERS'!E211</f>
        <v>100</v>
      </c>
      <c r="S129" s="801"/>
      <c r="T129" s="801"/>
      <c r="U129" s="801"/>
      <c r="V129" s="801"/>
      <c r="W129" s="803"/>
      <c r="X129" s="803"/>
    </row>
    <row r="130" spans="2:24" ht="26.1" customHeight="1" thickTop="1" thickBot="1" x14ac:dyDescent="0.4">
      <c r="B130" s="794">
        <v>46289</v>
      </c>
      <c r="C130" s="645" t="s">
        <v>682</v>
      </c>
      <c r="D130" s="796">
        <v>21</v>
      </c>
      <c r="E130" s="531">
        <f t="shared" si="25"/>
        <v>0</v>
      </c>
      <c r="F130" s="110">
        <f t="shared" si="26"/>
        <v>2000</v>
      </c>
      <c r="G130" s="533">
        <f t="shared" si="27"/>
        <v>21.000000000001819</v>
      </c>
      <c r="H130" s="797"/>
      <c r="I130" s="798"/>
      <c r="J130" s="798"/>
      <c r="K130" s="798"/>
      <c r="L130" s="798"/>
      <c r="M130" s="798"/>
      <c r="N130" s="799"/>
      <c r="O130" s="800"/>
      <c r="P130" s="801">
        <f>'PAYMENT VOUCHERS'!E210</f>
        <v>2000</v>
      </c>
      <c r="Q130" s="802"/>
      <c r="R130" s="801"/>
      <c r="S130" s="801"/>
      <c r="T130" s="801"/>
      <c r="U130" s="801"/>
      <c r="V130" s="801"/>
      <c r="W130" s="803"/>
      <c r="X130" s="803"/>
    </row>
    <row r="131" spans="2:24" ht="26.1" customHeight="1" thickTop="1" thickBot="1" x14ac:dyDescent="0.4">
      <c r="B131" s="794">
        <v>46289</v>
      </c>
      <c r="C131" s="644" t="s">
        <v>1021</v>
      </c>
      <c r="D131" s="796">
        <v>21</v>
      </c>
      <c r="E131" s="531">
        <f t="shared" si="25"/>
        <v>0</v>
      </c>
      <c r="F131" s="110">
        <f t="shared" si="26"/>
        <v>21</v>
      </c>
      <c r="G131" s="533">
        <f t="shared" si="27"/>
        <v>1.8189894035458565E-12</v>
      </c>
      <c r="H131" s="797"/>
      <c r="I131" s="798"/>
      <c r="J131" s="798"/>
      <c r="K131" s="798"/>
      <c r="L131" s="798"/>
      <c r="M131" s="798"/>
      <c r="N131" s="799"/>
      <c r="O131" s="800">
        <f>'PAYMENT VOUCHERS'!E212</f>
        <v>21</v>
      </c>
      <c r="P131" s="801"/>
      <c r="Q131" s="802"/>
      <c r="R131" s="801"/>
      <c r="S131" s="801"/>
      <c r="T131" s="801"/>
      <c r="U131" s="801"/>
      <c r="V131" s="801"/>
      <c r="W131" s="803"/>
      <c r="X131" s="803"/>
    </row>
    <row r="132" spans="2:24" ht="26.1" customHeight="1" thickTop="1" thickBot="1" x14ac:dyDescent="0.4">
      <c r="B132" s="794"/>
      <c r="C132" s="1041"/>
      <c r="D132" s="796"/>
      <c r="E132" s="531">
        <f t="shared" si="25"/>
        <v>0</v>
      </c>
      <c r="F132" s="110">
        <f t="shared" si="26"/>
        <v>0</v>
      </c>
      <c r="G132" s="533">
        <f t="shared" si="27"/>
        <v>1.8189894035458565E-12</v>
      </c>
      <c r="H132" s="797"/>
      <c r="I132" s="798"/>
      <c r="J132" s="798"/>
      <c r="K132" s="798"/>
      <c r="L132" s="798"/>
      <c r="M132" s="798"/>
      <c r="N132" s="799"/>
      <c r="O132" s="800"/>
      <c r="P132" s="801"/>
      <c r="Q132" s="802"/>
      <c r="R132" s="801"/>
      <c r="S132" s="801"/>
      <c r="T132" s="801"/>
      <c r="U132" s="801"/>
      <c r="V132" s="801"/>
      <c r="W132" s="803"/>
      <c r="X132" s="803"/>
    </row>
    <row r="133" spans="2:24" ht="26.1" customHeight="1" thickTop="1" thickBot="1" x14ac:dyDescent="0.4">
      <c r="B133" s="794"/>
      <c r="C133" s="1041"/>
      <c r="D133" s="796"/>
      <c r="E133" s="531">
        <f t="shared" si="25"/>
        <v>0</v>
      </c>
      <c r="F133" s="110">
        <f t="shared" si="26"/>
        <v>0</v>
      </c>
      <c r="G133" s="533">
        <f t="shared" si="27"/>
        <v>1.8189894035458565E-12</v>
      </c>
      <c r="H133" s="797"/>
      <c r="I133" s="798"/>
      <c r="J133" s="798"/>
      <c r="K133" s="798"/>
      <c r="L133" s="798"/>
      <c r="M133" s="798"/>
      <c r="N133" s="799"/>
      <c r="O133" s="800"/>
      <c r="P133" s="801"/>
      <c r="Q133" s="802"/>
      <c r="R133" s="801"/>
      <c r="S133" s="801"/>
      <c r="T133" s="801"/>
      <c r="U133" s="801"/>
      <c r="V133" s="801"/>
      <c r="W133" s="803"/>
      <c r="X133" s="803"/>
    </row>
    <row r="134" spans="2:24" ht="26.1" customHeight="1" thickTop="1" thickBot="1" x14ac:dyDescent="0.4">
      <c r="B134" s="794"/>
      <c r="C134" s="1041"/>
      <c r="D134" s="796"/>
      <c r="E134" s="531">
        <f t="shared" si="25"/>
        <v>0</v>
      </c>
      <c r="F134" s="110">
        <f t="shared" si="26"/>
        <v>0</v>
      </c>
      <c r="G134" s="533">
        <f t="shared" si="27"/>
        <v>1.8189894035458565E-12</v>
      </c>
      <c r="H134" s="797"/>
      <c r="I134" s="798"/>
      <c r="J134" s="798"/>
      <c r="K134" s="798"/>
      <c r="L134" s="798"/>
      <c r="M134" s="798"/>
      <c r="N134" s="799"/>
      <c r="O134" s="800"/>
      <c r="P134" s="801"/>
      <c r="Q134" s="802"/>
      <c r="R134" s="801"/>
      <c r="S134" s="801"/>
      <c r="T134" s="801"/>
      <c r="U134" s="801"/>
      <c r="V134" s="801"/>
      <c r="W134" s="803"/>
      <c r="X134" s="803"/>
    </row>
    <row r="135" spans="2:24" ht="26.1" customHeight="1" thickTop="1" thickBot="1" x14ac:dyDescent="0.4">
      <c r="B135" s="794"/>
      <c r="C135" s="1041"/>
      <c r="D135" s="796"/>
      <c r="E135" s="531">
        <f t="shared" si="25"/>
        <v>0</v>
      </c>
      <c r="F135" s="110">
        <f t="shared" si="26"/>
        <v>0</v>
      </c>
      <c r="G135" s="533">
        <f t="shared" si="27"/>
        <v>1.8189894035458565E-12</v>
      </c>
      <c r="H135" s="797"/>
      <c r="I135" s="798"/>
      <c r="J135" s="798"/>
      <c r="K135" s="798"/>
      <c r="L135" s="798"/>
      <c r="M135" s="798"/>
      <c r="N135" s="799"/>
      <c r="O135" s="800"/>
      <c r="P135" s="801"/>
      <c r="Q135" s="802"/>
      <c r="R135" s="801"/>
      <c r="S135" s="801"/>
      <c r="T135" s="801"/>
      <c r="U135" s="801"/>
      <c r="V135" s="801"/>
      <c r="W135" s="803"/>
      <c r="X135" s="803"/>
    </row>
    <row r="136" spans="2:24" ht="26.1" customHeight="1" thickTop="1" thickBot="1" x14ac:dyDescent="0.4">
      <c r="B136" s="794"/>
      <c r="C136" s="1041"/>
      <c r="D136" s="796"/>
      <c r="E136" s="531">
        <f t="shared" si="25"/>
        <v>0</v>
      </c>
      <c r="F136" s="110">
        <f t="shared" si="26"/>
        <v>0</v>
      </c>
      <c r="G136" s="533">
        <f t="shared" si="27"/>
        <v>1.8189894035458565E-12</v>
      </c>
      <c r="H136" s="797"/>
      <c r="I136" s="798"/>
      <c r="J136" s="798"/>
      <c r="K136" s="798"/>
      <c r="L136" s="798"/>
      <c r="M136" s="798"/>
      <c r="N136" s="799"/>
      <c r="O136" s="800"/>
      <c r="P136" s="801"/>
      <c r="Q136" s="802"/>
      <c r="R136" s="801"/>
      <c r="S136" s="801"/>
      <c r="T136" s="801"/>
      <c r="U136" s="801"/>
      <c r="V136" s="801"/>
      <c r="W136" s="803"/>
      <c r="X136" s="803"/>
    </row>
    <row r="137" spans="2:24" ht="26.1" customHeight="1" thickTop="1" thickBot="1" x14ac:dyDescent="0.4">
      <c r="B137" s="794"/>
      <c r="C137" s="1041"/>
      <c r="D137" s="796"/>
      <c r="E137" s="531">
        <f t="shared" si="25"/>
        <v>0</v>
      </c>
      <c r="F137" s="110">
        <f t="shared" si="26"/>
        <v>0</v>
      </c>
      <c r="G137" s="533">
        <f t="shared" si="27"/>
        <v>1.8189894035458565E-12</v>
      </c>
      <c r="H137" s="797"/>
      <c r="I137" s="798"/>
      <c r="J137" s="798"/>
      <c r="K137" s="798"/>
      <c r="L137" s="798"/>
      <c r="M137" s="798"/>
      <c r="N137" s="799"/>
      <c r="O137" s="800"/>
      <c r="P137" s="801"/>
      <c r="Q137" s="802"/>
      <c r="R137" s="801"/>
      <c r="S137" s="801"/>
      <c r="T137" s="801"/>
      <c r="U137" s="801"/>
      <c r="V137" s="801"/>
      <c r="W137" s="803"/>
      <c r="X137" s="803"/>
    </row>
    <row r="138" spans="2:24" ht="26.1" customHeight="1" thickTop="1" thickBot="1" x14ac:dyDescent="0.4">
      <c r="B138" s="794"/>
      <c r="C138" s="795"/>
      <c r="D138" s="796"/>
      <c r="E138" s="531">
        <f t="shared" si="25"/>
        <v>0</v>
      </c>
      <c r="F138" s="110">
        <f t="shared" si="26"/>
        <v>0</v>
      </c>
      <c r="G138" s="533">
        <f t="shared" si="27"/>
        <v>1.8189894035458565E-12</v>
      </c>
      <c r="H138" s="797"/>
      <c r="I138" s="798"/>
      <c r="J138" s="798"/>
      <c r="K138" s="798"/>
      <c r="L138" s="798"/>
      <c r="M138" s="798"/>
      <c r="N138" s="799"/>
      <c r="O138" s="800"/>
      <c r="P138" s="801"/>
      <c r="Q138" s="802"/>
      <c r="R138" s="801"/>
      <c r="S138" s="801"/>
      <c r="T138" s="801"/>
      <c r="U138" s="801"/>
      <c r="V138" s="801"/>
      <c r="W138" s="803"/>
      <c r="X138" s="803"/>
    </row>
    <row r="139" spans="2:24" ht="26.1" customHeight="1" thickTop="1" thickBot="1" x14ac:dyDescent="0.4">
      <c r="B139" s="794"/>
      <c r="C139" s="795"/>
      <c r="D139" s="796"/>
      <c r="E139" s="531">
        <f t="shared" si="25"/>
        <v>0</v>
      </c>
      <c r="F139" s="110">
        <f t="shared" si="26"/>
        <v>0</v>
      </c>
      <c r="G139" s="533">
        <f t="shared" si="27"/>
        <v>1.8189894035458565E-12</v>
      </c>
      <c r="H139" s="797"/>
      <c r="I139" s="798"/>
      <c r="J139" s="798"/>
      <c r="K139" s="798"/>
      <c r="L139" s="798"/>
      <c r="M139" s="798"/>
      <c r="N139" s="799"/>
      <c r="O139" s="800"/>
      <c r="P139" s="801"/>
      <c r="Q139" s="802"/>
      <c r="R139" s="801"/>
      <c r="S139" s="801"/>
      <c r="T139" s="801"/>
      <c r="U139" s="801"/>
      <c r="V139" s="801"/>
      <c r="W139" s="803"/>
      <c r="X139" s="803"/>
    </row>
    <row r="140" spans="2:24" ht="26.1" customHeight="1" thickTop="1" thickBot="1" x14ac:dyDescent="0.4">
      <c r="B140" s="347"/>
      <c r="C140" s="348"/>
      <c r="D140" s="502"/>
      <c r="E140" s="531">
        <f t="shared" si="25"/>
        <v>0</v>
      </c>
      <c r="F140" s="110">
        <f t="shared" si="26"/>
        <v>0</v>
      </c>
      <c r="G140" s="533">
        <f t="shared" si="27"/>
        <v>1.8189894035458565E-12</v>
      </c>
      <c r="H140" s="640"/>
      <c r="I140" s="350"/>
      <c r="J140" s="350"/>
      <c r="K140" s="350"/>
      <c r="L140" s="350"/>
      <c r="M140" s="350"/>
      <c r="N140" s="641"/>
      <c r="O140" s="635"/>
      <c r="P140" s="629"/>
      <c r="Q140" s="630"/>
      <c r="R140" s="629"/>
      <c r="S140" s="629"/>
      <c r="T140" s="629"/>
      <c r="U140" s="629"/>
      <c r="V140" s="629"/>
      <c r="W140" s="631"/>
      <c r="X140" s="631"/>
    </row>
    <row r="141" spans="2:24" s="81" customFormat="1" ht="33.75" customHeight="1" thickBot="1" x14ac:dyDescent="0.45">
      <c r="B141" s="107">
        <f>SUBTOTAL(3,B5:B140)</f>
        <v>127</v>
      </c>
      <c r="C141" s="107">
        <f>SUBTOTAL(3,C5:C140)</f>
        <v>127</v>
      </c>
      <c r="D141" s="107">
        <f>SUBTOTAL(3,D5:D140)</f>
        <v>127</v>
      </c>
      <c r="E141" s="108">
        <f>SUBTOTAL(9,E5:E140)</f>
        <v>81986.799999999988</v>
      </c>
      <c r="F141" s="108">
        <f>SUBTOTAL(9,F5:F140)</f>
        <v>81986.799999999988</v>
      </c>
      <c r="G141" s="108">
        <f>E141-F141</f>
        <v>0</v>
      </c>
      <c r="H141" s="108">
        <f t="shared" ref="H141:X141" si="28">SUBTOTAL(9,H5:H140)</f>
        <v>81586.799999999988</v>
      </c>
      <c r="I141" s="108">
        <f t="shared" si="28"/>
        <v>0</v>
      </c>
      <c r="J141" s="108">
        <f t="shared" si="28"/>
        <v>0</v>
      </c>
      <c r="K141" s="108">
        <f t="shared" si="28"/>
        <v>0</v>
      </c>
      <c r="L141" s="108">
        <f t="shared" si="28"/>
        <v>0</v>
      </c>
      <c r="M141" s="108">
        <f t="shared" si="28"/>
        <v>0</v>
      </c>
      <c r="N141" s="108">
        <f t="shared" si="28"/>
        <v>400</v>
      </c>
      <c r="O141" s="108">
        <f t="shared" si="28"/>
        <v>1091.8000000000002</v>
      </c>
      <c r="P141" s="108">
        <f t="shared" si="28"/>
        <v>62700</v>
      </c>
      <c r="Q141" s="108">
        <f t="shared" si="28"/>
        <v>5600</v>
      </c>
      <c r="R141" s="108">
        <f t="shared" si="28"/>
        <v>5100</v>
      </c>
      <c r="S141" s="108">
        <f t="shared" si="28"/>
        <v>1010</v>
      </c>
      <c r="T141" s="108">
        <f t="shared" si="28"/>
        <v>285</v>
      </c>
      <c r="U141" s="108">
        <f t="shared" si="28"/>
        <v>500</v>
      </c>
      <c r="V141" s="108">
        <f t="shared" si="28"/>
        <v>1300</v>
      </c>
      <c r="W141" s="108">
        <f t="shared" si="28"/>
        <v>400</v>
      </c>
      <c r="X141" s="108">
        <f t="shared" si="28"/>
        <v>4000</v>
      </c>
    </row>
    <row r="143" spans="2:24" ht="23.25" x14ac:dyDescent="0.35">
      <c r="G143" s="341"/>
    </row>
    <row r="144" spans="2:24" ht="20.100000000000001" customHeight="1" x14ac:dyDescent="0.25">
      <c r="G144" s="10"/>
    </row>
    <row r="145" spans="2:7" ht="20.100000000000001" customHeight="1" x14ac:dyDescent="0.25">
      <c r="G145" s="10"/>
    </row>
    <row r="146" spans="2:7" ht="20.100000000000001" customHeight="1" x14ac:dyDescent="0.25">
      <c r="F146" s="10"/>
      <c r="G146" s="10"/>
    </row>
    <row r="147" spans="2:7" ht="20.100000000000001" customHeight="1" x14ac:dyDescent="0.25">
      <c r="G147" s="10"/>
    </row>
    <row r="148" spans="2:7" ht="20.100000000000001" customHeight="1" x14ac:dyDescent="0.25">
      <c r="G148" s="10"/>
    </row>
    <row r="149" spans="2:7" ht="20.100000000000001" customHeight="1" x14ac:dyDescent="0.25">
      <c r="B149" s="9"/>
      <c r="D149" s="9"/>
      <c r="E149" s="9"/>
      <c r="G149" s="10"/>
    </row>
    <row r="150" spans="2:7" ht="20.100000000000001" customHeight="1" x14ac:dyDescent="0.25">
      <c r="B150" s="9"/>
      <c r="D150" s="9"/>
      <c r="E150" s="9"/>
      <c r="G150" s="10"/>
    </row>
    <row r="151" spans="2:7" ht="20.100000000000001" customHeight="1" x14ac:dyDescent="0.25">
      <c r="B151" s="9"/>
      <c r="D151" s="9"/>
      <c r="E151" s="9"/>
      <c r="G151" s="10"/>
    </row>
  </sheetData>
  <autoFilter ref="B4:X122" xr:uid="{00000000-0009-0000-0000-000017000000}"/>
  <mergeCells count="3">
    <mergeCell ref="P3:X3"/>
    <mergeCell ref="B2:C2"/>
    <mergeCell ref="J3:N3"/>
  </mergeCells>
  <conditionalFormatting sqref="E5:G140">
    <cfRule type="cellIs" dxfId="48" priority="2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F0"/>
  </sheetPr>
  <dimension ref="A1:I28"/>
  <sheetViews>
    <sheetView workbookViewId="0">
      <selection activeCell="C12" sqref="C12"/>
    </sheetView>
  </sheetViews>
  <sheetFormatPr defaultColWidth="8.7109375" defaultRowHeight="30" customHeight="1" x14ac:dyDescent="0.3"/>
  <cols>
    <col min="1" max="1" width="3.85546875" style="12" customWidth="1"/>
    <col min="2" max="2" width="69.85546875" style="12" bestFit="1" customWidth="1"/>
    <col min="3" max="3" width="25.42578125" style="12" bestFit="1" customWidth="1"/>
    <col min="4" max="4" width="32" style="12" customWidth="1"/>
    <col min="5" max="5" width="6.42578125" style="12" customWidth="1"/>
    <col min="6" max="6" width="8.7109375" style="12"/>
    <col min="7" max="7" width="17.140625" style="12" customWidth="1"/>
    <col min="8" max="8" width="11" style="12" bestFit="1" customWidth="1"/>
    <col min="9" max="16384" width="8.7109375" style="12"/>
  </cols>
  <sheetData>
    <row r="1" spans="1:9" s="77" customFormat="1" ht="18" x14ac:dyDescent="0.25">
      <c r="A1" s="89"/>
      <c r="B1" s="76"/>
    </row>
    <row r="2" spans="1:9" s="77" customFormat="1" ht="18" x14ac:dyDescent="0.25">
      <c r="B2" s="76"/>
    </row>
    <row r="3" spans="1:9" s="70" customFormat="1" ht="51.75" thickBot="1" x14ac:dyDescent="0.85">
      <c r="B3" s="1055" t="s">
        <v>539</v>
      </c>
      <c r="C3" s="1055"/>
      <c r="D3" s="1055"/>
      <c r="E3" s="93"/>
      <c r="F3" s="93"/>
      <c r="G3" s="93"/>
      <c r="H3" s="93"/>
      <c r="I3" s="78"/>
    </row>
    <row r="4" spans="1:9" ht="30" customHeight="1" thickTop="1" thickBot="1" x14ac:dyDescent="0.45">
      <c r="B4" s="503" t="s">
        <v>52</v>
      </c>
      <c r="C4" s="808" t="s">
        <v>53</v>
      </c>
      <c r="D4" s="846" t="s">
        <v>1018</v>
      </c>
    </row>
    <row r="5" spans="1:9" ht="30" customHeight="1" thickTop="1" thickBot="1" x14ac:dyDescent="0.45">
      <c r="B5" s="504"/>
      <c r="C5" s="504" t="s">
        <v>56</v>
      </c>
      <c r="D5" s="647" t="s">
        <v>56</v>
      </c>
    </row>
    <row r="6" spans="1:9" ht="30" customHeight="1" thickTop="1" thickBot="1" x14ac:dyDescent="0.45">
      <c r="B6" s="506" t="s">
        <v>484</v>
      </c>
      <c r="C6" s="510">
        <f>'MEMBERS LIST'!AI30</f>
        <v>4800</v>
      </c>
      <c r="D6" s="505"/>
    </row>
    <row r="7" spans="1:9" ht="30" customHeight="1" thickTop="1" thickBot="1" x14ac:dyDescent="0.45">
      <c r="B7" s="507" t="s">
        <v>922</v>
      </c>
      <c r="C7" s="511">
        <f>'MONTHLY DUES 2023'!D25</f>
        <v>10800</v>
      </c>
      <c r="D7" s="505"/>
    </row>
    <row r="8" spans="1:9" ht="30" customHeight="1" thickTop="1" thickBot="1" x14ac:dyDescent="0.45">
      <c r="B8" s="507" t="s">
        <v>923</v>
      </c>
      <c r="C8" s="511">
        <f>'MONTHLY DUES 2024'!D27</f>
        <v>16900</v>
      </c>
      <c r="D8" s="505"/>
    </row>
    <row r="9" spans="1:9" ht="30" customHeight="1" thickTop="1" thickBot="1" x14ac:dyDescent="0.45">
      <c r="B9" s="507" t="s">
        <v>924</v>
      </c>
      <c r="C9" s="511">
        <f>'MONTHLY DUES 2025'!D28</f>
        <v>22350</v>
      </c>
      <c r="D9" s="505"/>
    </row>
    <row r="10" spans="1:9" ht="30" customHeight="1" thickTop="1" thickBot="1" x14ac:dyDescent="0.45">
      <c r="B10" s="507" t="s">
        <v>925</v>
      </c>
      <c r="C10" s="511">
        <f>'MONTHLY DUES 2026'!D26</f>
        <v>15900</v>
      </c>
      <c r="D10" s="505"/>
    </row>
    <row r="11" spans="1:9" ht="30" customHeight="1" thickTop="1" thickBot="1" x14ac:dyDescent="0.45">
      <c r="B11" s="507" t="s">
        <v>774</v>
      </c>
      <c r="C11" s="511">
        <f>'TREASURE BILL FOR MEMBERS'!D25</f>
        <v>10502.699226995881</v>
      </c>
      <c r="D11" s="505"/>
      <c r="G11" s="232"/>
    </row>
    <row r="12" spans="1:9" ht="30" customHeight="1" thickTop="1" thickBot="1" x14ac:dyDescent="0.45">
      <c r="B12" s="507" t="s">
        <v>1120</v>
      </c>
      <c r="C12" s="511">
        <f>'LEVY ACCOUNT'!F24</f>
        <v>1250.5</v>
      </c>
      <c r="D12" s="505"/>
      <c r="G12" s="84"/>
    </row>
    <row r="13" spans="1:9" ht="30" customHeight="1" thickTop="1" thickBot="1" x14ac:dyDescent="0.45">
      <c r="B13" s="507" t="s">
        <v>1280</v>
      </c>
      <c r="C13" s="511">
        <f>'VEHICLE SHARES HOLDING'!D32</f>
        <v>4000</v>
      </c>
      <c r="D13" s="505"/>
      <c r="G13" s="84"/>
    </row>
    <row r="14" spans="1:9" ht="30" customHeight="1" thickTop="1" thickBot="1" x14ac:dyDescent="0.45">
      <c r="B14" s="507" t="s">
        <v>1275</v>
      </c>
      <c r="C14" s="511"/>
      <c r="D14" s="505">
        <v>100</v>
      </c>
      <c r="G14" s="84"/>
    </row>
    <row r="15" spans="1:9" ht="30" customHeight="1" thickTop="1" thickBot="1" x14ac:dyDescent="0.45">
      <c r="B15" s="507" t="s">
        <v>1022</v>
      </c>
      <c r="C15" s="511"/>
      <c r="D15" s="505">
        <f>'PETTY CASH ACCOUNT'!O141</f>
        <v>1091.8000000000002</v>
      </c>
    </row>
    <row r="16" spans="1:9" ht="30" customHeight="1" thickTop="1" thickBot="1" x14ac:dyDescent="0.45">
      <c r="B16" s="507" t="s">
        <v>1046</v>
      </c>
      <c r="C16" s="511"/>
      <c r="D16" s="505">
        <f>'FIDELITY BANK'!M67</f>
        <v>15</v>
      </c>
    </row>
    <row r="17" spans="2:8" ht="30" customHeight="1" thickTop="1" thickBot="1" x14ac:dyDescent="0.45">
      <c r="B17" s="507" t="s">
        <v>1052</v>
      </c>
      <c r="C17" s="511"/>
      <c r="D17" s="505">
        <v>34.340000000000003</v>
      </c>
    </row>
    <row r="18" spans="2:8" ht="30" customHeight="1" thickTop="1" thickBot="1" x14ac:dyDescent="0.45">
      <c r="B18" s="507" t="s">
        <v>746</v>
      </c>
      <c r="C18" s="511"/>
      <c r="D18" s="505">
        <f>'PETTY CASH ACCOUNT'!R141</f>
        <v>5100</v>
      </c>
      <c r="H18" s="84"/>
    </row>
    <row r="19" spans="2:8" ht="30" customHeight="1" thickTop="1" thickBot="1" x14ac:dyDescent="0.45">
      <c r="B19" s="507" t="s">
        <v>770</v>
      </c>
      <c r="C19" s="511"/>
      <c r="D19" s="505">
        <f>'PETTY CASH ACCOUNT'!S141</f>
        <v>1010</v>
      </c>
    </row>
    <row r="20" spans="2:8" ht="30" customHeight="1" thickTop="1" thickBot="1" x14ac:dyDescent="0.45">
      <c r="B20" s="507" t="s">
        <v>493</v>
      </c>
      <c r="C20" s="511"/>
      <c r="D20" s="505">
        <f>'PETTY CASH ACCOUNT'!T141</f>
        <v>285</v>
      </c>
    </row>
    <row r="21" spans="2:8" ht="30" customHeight="1" thickTop="1" thickBot="1" x14ac:dyDescent="0.45">
      <c r="B21" s="507" t="s">
        <v>1025</v>
      </c>
      <c r="C21" s="511"/>
      <c r="D21" s="505">
        <f>'PETTY CASH ACCOUNT'!U141</f>
        <v>500</v>
      </c>
    </row>
    <row r="22" spans="2:8" ht="30" customHeight="1" thickTop="1" thickBot="1" x14ac:dyDescent="0.45">
      <c r="B22" s="507" t="s">
        <v>643</v>
      </c>
      <c r="C22" s="511"/>
      <c r="D22" s="642">
        <f>'PETTY CASH ACCOUNT'!V141</f>
        <v>1300</v>
      </c>
    </row>
    <row r="23" spans="2:8" ht="30" customHeight="1" thickTop="1" thickBot="1" x14ac:dyDescent="0.45">
      <c r="B23" s="507" t="s">
        <v>789</v>
      </c>
      <c r="C23" s="511"/>
      <c r="D23" s="505">
        <f>'BANK ACCOUNT TEMA'!F22</f>
        <v>366.23999999999978</v>
      </c>
    </row>
    <row r="24" spans="2:8" ht="30" customHeight="1" thickTop="1" thickBot="1" x14ac:dyDescent="0.45">
      <c r="B24" s="507" t="s">
        <v>788</v>
      </c>
      <c r="C24" s="511"/>
      <c r="D24" s="505">
        <f>'FIDELITY BANK'!F67</f>
        <v>10698.87999999999</v>
      </c>
    </row>
    <row r="25" spans="2:8" ht="30" customHeight="1" thickTop="1" thickBot="1" x14ac:dyDescent="0.45">
      <c r="B25" s="910" t="s">
        <v>1131</v>
      </c>
      <c r="C25" s="615"/>
      <c r="D25" s="616">
        <f>'MTN MOMO ACCOUNT'!F66</f>
        <v>1.9500000000116415</v>
      </c>
    </row>
    <row r="26" spans="2:8" ht="30" customHeight="1" thickTop="1" thickBot="1" x14ac:dyDescent="0.45">
      <c r="B26" s="509" t="s">
        <v>1274</v>
      </c>
      <c r="C26" s="615"/>
      <c r="D26" s="616">
        <f>'PETTY CASH VEHICLE'!E101</f>
        <v>66000</v>
      </c>
    </row>
    <row r="27" spans="2:8" ht="30" customHeight="1" thickBot="1" x14ac:dyDescent="0.45">
      <c r="B27" s="614" t="s">
        <v>1</v>
      </c>
      <c r="C27" s="617">
        <f>SUM(C6:C26)</f>
        <v>86503.199226995886</v>
      </c>
      <c r="D27" s="617">
        <f>SUM(D6:D26)</f>
        <v>86503.209999999992</v>
      </c>
    </row>
    <row r="28" spans="2:8" ht="30" customHeight="1" thickTop="1" x14ac:dyDescent="0.3">
      <c r="D28" s="84">
        <f>C27-D27</f>
        <v>-1.0773004105431028E-2</v>
      </c>
    </row>
  </sheetData>
  <mergeCells count="1">
    <mergeCell ref="B3:D3"/>
  </mergeCells>
  <phoneticPr fontId="27" type="noConversion"/>
  <pageMargins left="0.7" right="0.7" top="0.75" bottom="0.7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F0"/>
  </sheetPr>
  <dimension ref="A1:N74"/>
  <sheetViews>
    <sheetView zoomScale="120" zoomScaleNormal="120" workbookViewId="0">
      <pane xSplit="6" ySplit="5" topLeftCell="G63" activePane="bottomRight" state="frozen"/>
      <selection pane="topRight" activeCell="G1" sqref="G1"/>
      <selection pane="bottomLeft" activeCell="A6" sqref="A6"/>
      <selection pane="bottomRight" activeCell="F67" sqref="F67"/>
    </sheetView>
  </sheetViews>
  <sheetFormatPr defaultColWidth="9.140625" defaultRowHeight="20.100000000000001" customHeight="1" x14ac:dyDescent="0.25"/>
  <cols>
    <col min="1" max="1" width="1.7109375" style="9" customWidth="1"/>
    <col min="2" max="2" width="17.5703125" style="8" bestFit="1" customWidth="1"/>
    <col min="3" max="3" width="57.28515625" style="9" bestFit="1" customWidth="1"/>
    <col min="4" max="4" width="24" style="10" bestFit="1" customWidth="1"/>
    <col min="5" max="5" width="24" style="9" bestFit="1" customWidth="1"/>
    <col min="6" max="6" width="21.7109375" style="9" bestFit="1" customWidth="1"/>
    <col min="7" max="7" width="21.85546875" style="9" bestFit="1" customWidth="1"/>
    <col min="8" max="8" width="20.7109375" style="9" customWidth="1"/>
    <col min="9" max="9" width="21.7109375" style="9" bestFit="1" customWidth="1"/>
    <col min="10" max="10" width="20.7109375" style="9" customWidth="1"/>
    <col min="11" max="11" width="21.85546875" style="9" bestFit="1" customWidth="1"/>
    <col min="12" max="12" width="21.85546875" style="9" customWidth="1"/>
    <col min="13" max="14" width="20.7109375" style="9" customWidth="1"/>
    <col min="15" max="16384" width="9.140625" style="9"/>
  </cols>
  <sheetData>
    <row r="1" spans="1:14" s="77" customFormat="1" ht="18" x14ac:dyDescent="0.25">
      <c r="A1" s="89"/>
      <c r="B1" s="76"/>
      <c r="F1" s="127"/>
    </row>
    <row r="2" spans="1:14" s="77" customFormat="1" ht="18" x14ac:dyDescent="0.25">
      <c r="B2" s="76"/>
    </row>
    <row r="3" spans="1:14" s="70" customFormat="1" ht="47.25" thickBot="1" x14ac:dyDescent="0.8">
      <c r="B3" s="1043" t="s">
        <v>541</v>
      </c>
      <c r="C3" s="1043"/>
      <c r="D3" s="94"/>
      <c r="E3" s="94"/>
      <c r="F3" s="94"/>
      <c r="G3" s="94"/>
      <c r="H3" s="806"/>
      <c r="I3" s="94"/>
      <c r="J3" s="805"/>
      <c r="K3" s="94"/>
      <c r="L3" s="94"/>
      <c r="M3" s="94"/>
    </row>
    <row r="4" spans="1:14" s="112" customFormat="1" ht="37.5" customHeight="1" thickTop="1" thickBot="1" x14ac:dyDescent="0.3">
      <c r="B4" s="111" t="s">
        <v>51</v>
      </c>
      <c r="C4" s="111" t="s">
        <v>52</v>
      </c>
      <c r="D4" s="113" t="s">
        <v>53</v>
      </c>
      <c r="E4" s="111" t="s">
        <v>54</v>
      </c>
      <c r="F4" s="111" t="s">
        <v>55</v>
      </c>
      <c r="G4" s="111" t="s">
        <v>488</v>
      </c>
      <c r="H4" s="111" t="s">
        <v>529</v>
      </c>
      <c r="I4" s="111" t="s">
        <v>542</v>
      </c>
      <c r="J4" s="111" t="s">
        <v>774</v>
      </c>
      <c r="K4" s="111" t="s">
        <v>900</v>
      </c>
      <c r="L4" s="111" t="s">
        <v>1042</v>
      </c>
      <c r="M4" s="111" t="s">
        <v>543</v>
      </c>
      <c r="N4" s="111"/>
    </row>
    <row r="5" spans="1:14" ht="25.5" customHeight="1" thickTop="1" thickBot="1" x14ac:dyDescent="0.4">
      <c r="B5" s="71"/>
      <c r="C5" s="117">
        <v>2090182444410</v>
      </c>
      <c r="D5" s="118" t="s">
        <v>56</v>
      </c>
      <c r="E5" s="119" t="s">
        <v>56</v>
      </c>
      <c r="F5" s="119" t="s">
        <v>56</v>
      </c>
      <c r="G5" s="119" t="s">
        <v>56</v>
      </c>
      <c r="H5" s="119" t="s">
        <v>56</v>
      </c>
      <c r="I5" s="119"/>
      <c r="J5" s="119" t="s">
        <v>56</v>
      </c>
      <c r="K5" s="119" t="s">
        <v>56</v>
      </c>
      <c r="L5" s="119"/>
      <c r="M5" s="119" t="s">
        <v>56</v>
      </c>
      <c r="N5" s="119" t="s">
        <v>56</v>
      </c>
    </row>
    <row r="6" spans="1:14" ht="26.1" customHeight="1" thickTop="1" thickBot="1" x14ac:dyDescent="0.3">
      <c r="B6" s="790">
        <v>45422</v>
      </c>
      <c r="C6" s="791" t="s">
        <v>760</v>
      </c>
      <c r="D6" s="219">
        <f>SUM(G6:J6)</f>
        <v>200</v>
      </c>
      <c r="E6" s="219"/>
      <c r="F6" s="220">
        <f>D6</f>
        <v>200</v>
      </c>
      <c r="G6" s="221">
        <v>200</v>
      </c>
      <c r="H6" s="221"/>
      <c r="I6" s="221"/>
      <c r="J6" s="221"/>
      <c r="K6" s="222"/>
      <c r="L6" s="222"/>
      <c r="M6" s="222"/>
      <c r="N6" s="222"/>
    </row>
    <row r="7" spans="1:14" ht="26.1" customHeight="1" thickTop="1" thickBot="1" x14ac:dyDescent="0.3">
      <c r="B7" s="792">
        <v>45425</v>
      </c>
      <c r="C7" s="793" t="s">
        <v>760</v>
      </c>
      <c r="D7" s="223">
        <f>SUM(G7:J7)</f>
        <v>13000</v>
      </c>
      <c r="E7" s="224"/>
      <c r="F7" s="225">
        <f>F6+D7-E7</f>
        <v>13200</v>
      </c>
      <c r="G7" s="226">
        <v>13000</v>
      </c>
      <c r="H7" s="226"/>
      <c r="I7" s="226"/>
      <c r="J7" s="226"/>
      <c r="K7" s="227"/>
      <c r="L7" s="227"/>
      <c r="M7" s="227"/>
      <c r="N7" s="227"/>
    </row>
    <row r="8" spans="1:14" ht="26.1" customHeight="1" thickTop="1" thickBot="1" x14ac:dyDescent="0.3">
      <c r="B8" s="792">
        <v>45440</v>
      </c>
      <c r="C8" s="793" t="s">
        <v>760</v>
      </c>
      <c r="D8" s="223">
        <f>SUM(G8:J8)</f>
        <v>2000</v>
      </c>
      <c r="E8" s="224"/>
      <c r="F8" s="225">
        <f t="shared" ref="F8:F53" si="0">F7+D8-E8</f>
        <v>15200</v>
      </c>
      <c r="G8" s="226">
        <v>2000</v>
      </c>
      <c r="H8" s="226"/>
      <c r="I8" s="226"/>
      <c r="J8" s="226"/>
      <c r="K8" s="227"/>
      <c r="L8" s="227"/>
      <c r="M8" s="227"/>
      <c r="N8" s="227"/>
    </row>
    <row r="9" spans="1:14" ht="26.1" customHeight="1" thickTop="1" thickBot="1" x14ac:dyDescent="0.3">
      <c r="B9" s="792">
        <v>45444</v>
      </c>
      <c r="C9" s="793" t="s">
        <v>945</v>
      </c>
      <c r="D9" s="223">
        <f>SUM(G9:J9)</f>
        <v>7.08</v>
      </c>
      <c r="E9" s="224"/>
      <c r="F9" s="225">
        <f t="shared" si="0"/>
        <v>15207.08</v>
      </c>
      <c r="G9" s="226"/>
      <c r="H9" s="226">
        <v>7.08</v>
      </c>
      <c r="I9" s="226"/>
      <c r="J9" s="226"/>
      <c r="K9" s="227"/>
      <c r="L9" s="227"/>
      <c r="M9" s="227"/>
      <c r="N9" s="227"/>
    </row>
    <row r="10" spans="1:14" ht="26.1" customHeight="1" thickTop="1" thickBot="1" x14ac:dyDescent="0.3">
      <c r="B10" s="792">
        <v>45449</v>
      </c>
      <c r="C10" s="793" t="s">
        <v>762</v>
      </c>
      <c r="D10" s="223"/>
      <c r="E10" s="224">
        <f>SUM(K10:N10)</f>
        <v>15000</v>
      </c>
      <c r="F10" s="225">
        <f t="shared" si="0"/>
        <v>207.07999999999993</v>
      </c>
      <c r="G10" s="226"/>
      <c r="H10" s="226"/>
      <c r="I10" s="226"/>
      <c r="J10" s="226"/>
      <c r="K10" s="227">
        <v>15000</v>
      </c>
      <c r="L10" s="227"/>
      <c r="M10" s="227"/>
      <c r="N10" s="227"/>
    </row>
    <row r="11" spans="1:14" ht="26.1" customHeight="1" thickTop="1" thickBot="1" x14ac:dyDescent="0.3">
      <c r="B11" s="792">
        <v>45467</v>
      </c>
      <c r="C11" s="793" t="s">
        <v>760</v>
      </c>
      <c r="D11" s="223">
        <f t="shared" ref="D11:D53" si="1">SUM(G11:J11)</f>
        <v>2500</v>
      </c>
      <c r="E11" s="224"/>
      <c r="F11" s="225">
        <f t="shared" si="0"/>
        <v>2707.08</v>
      </c>
      <c r="G11" s="226">
        <v>2500</v>
      </c>
      <c r="H11" s="226"/>
      <c r="I11" s="226"/>
      <c r="J11" s="226"/>
      <c r="K11" s="227"/>
      <c r="L11" s="227"/>
      <c r="M11" s="227"/>
      <c r="N11" s="227"/>
    </row>
    <row r="12" spans="1:14" ht="26.1" customHeight="1" thickTop="1" thickBot="1" x14ac:dyDescent="0.3">
      <c r="B12" s="792">
        <v>45471</v>
      </c>
      <c r="C12" s="793" t="s">
        <v>946</v>
      </c>
      <c r="D12" s="223">
        <f t="shared" si="1"/>
        <v>2.39</v>
      </c>
      <c r="E12" s="224"/>
      <c r="F12" s="225">
        <f t="shared" si="0"/>
        <v>2709.47</v>
      </c>
      <c r="G12" s="226"/>
      <c r="H12" s="226">
        <v>2.39</v>
      </c>
      <c r="I12" s="226"/>
      <c r="J12" s="226"/>
      <c r="K12" s="227"/>
      <c r="L12" s="227"/>
      <c r="M12" s="227"/>
      <c r="N12" s="227"/>
    </row>
    <row r="13" spans="1:14" ht="26.1" customHeight="1" thickTop="1" thickBot="1" x14ac:dyDescent="0.3">
      <c r="B13" s="792">
        <v>45504</v>
      </c>
      <c r="C13" s="793" t="s">
        <v>947</v>
      </c>
      <c r="D13" s="223">
        <f t="shared" si="1"/>
        <v>1.1499999999999999</v>
      </c>
      <c r="E13" s="224"/>
      <c r="F13" s="225">
        <f t="shared" si="0"/>
        <v>2710.62</v>
      </c>
      <c r="G13" s="226"/>
      <c r="H13" s="226">
        <v>1.1499999999999999</v>
      </c>
      <c r="I13" s="226"/>
      <c r="J13" s="226"/>
      <c r="K13" s="227"/>
      <c r="L13" s="227"/>
      <c r="M13" s="227"/>
      <c r="N13" s="227"/>
    </row>
    <row r="14" spans="1:14" ht="26.1" customHeight="1" thickTop="1" thickBot="1" x14ac:dyDescent="0.3">
      <c r="B14" s="792">
        <v>45525</v>
      </c>
      <c r="C14" s="793" t="s">
        <v>760</v>
      </c>
      <c r="D14" s="223">
        <f t="shared" si="1"/>
        <v>3500</v>
      </c>
      <c r="E14" s="224"/>
      <c r="F14" s="225">
        <f t="shared" si="0"/>
        <v>6210.62</v>
      </c>
      <c r="G14" s="226">
        <v>3500</v>
      </c>
      <c r="H14" s="226"/>
      <c r="I14" s="226"/>
      <c r="J14" s="226"/>
      <c r="K14" s="227"/>
      <c r="L14" s="227"/>
      <c r="M14" s="227"/>
      <c r="N14" s="227"/>
    </row>
    <row r="15" spans="1:14" ht="26.1" customHeight="1" thickTop="1" thickBot="1" x14ac:dyDescent="0.3">
      <c r="B15" s="792">
        <v>45665</v>
      </c>
      <c r="C15" s="793" t="s">
        <v>948</v>
      </c>
      <c r="D15" s="223">
        <f t="shared" si="1"/>
        <v>23.35</v>
      </c>
      <c r="E15" s="224"/>
      <c r="F15" s="225">
        <f t="shared" si="0"/>
        <v>6233.97</v>
      </c>
      <c r="G15" s="226"/>
      <c r="H15" s="226">
        <v>23.35</v>
      </c>
      <c r="I15" s="226"/>
      <c r="J15" s="226"/>
      <c r="K15" s="227"/>
      <c r="L15" s="227"/>
      <c r="M15" s="227"/>
      <c r="N15" s="227"/>
    </row>
    <row r="16" spans="1:14" ht="26.1" customHeight="1" thickTop="1" thickBot="1" x14ac:dyDescent="0.3">
      <c r="B16" s="792">
        <v>45665</v>
      </c>
      <c r="C16" s="793" t="s">
        <v>760</v>
      </c>
      <c r="D16" s="223">
        <f t="shared" si="1"/>
        <v>2000</v>
      </c>
      <c r="E16" s="224">
        <f t="shared" ref="E16:E53" si="2">SUM(K16:N16)</f>
        <v>0</v>
      </c>
      <c r="F16" s="225">
        <f t="shared" si="0"/>
        <v>8233.9700000000012</v>
      </c>
      <c r="G16" s="226">
        <v>2000</v>
      </c>
      <c r="H16" s="226"/>
      <c r="I16" s="226"/>
      <c r="J16" s="226"/>
      <c r="K16" s="227"/>
      <c r="L16" s="227"/>
      <c r="M16" s="227"/>
      <c r="N16" s="227"/>
    </row>
    <row r="17" spans="2:14" ht="26.1" customHeight="1" thickTop="1" thickBot="1" x14ac:dyDescent="0.3">
      <c r="B17" s="792">
        <v>45674</v>
      </c>
      <c r="C17" s="793" t="s">
        <v>760</v>
      </c>
      <c r="D17" s="223">
        <f t="shared" si="1"/>
        <v>1500</v>
      </c>
      <c r="E17" s="224">
        <f t="shared" si="2"/>
        <v>0</v>
      </c>
      <c r="F17" s="225">
        <f t="shared" si="0"/>
        <v>9733.9700000000012</v>
      </c>
      <c r="G17" s="226">
        <v>1500</v>
      </c>
      <c r="H17" s="226"/>
      <c r="I17" s="226"/>
      <c r="J17" s="226"/>
      <c r="K17" s="227"/>
      <c r="L17" s="227"/>
      <c r="M17" s="227"/>
      <c r="N17" s="227"/>
    </row>
    <row r="18" spans="2:14" ht="26.1" customHeight="1" thickTop="1" thickBot="1" x14ac:dyDescent="0.3">
      <c r="B18" s="792">
        <v>45691</v>
      </c>
      <c r="C18" s="793" t="s">
        <v>760</v>
      </c>
      <c r="D18" s="223">
        <f t="shared" si="1"/>
        <v>1500</v>
      </c>
      <c r="E18" s="224">
        <f t="shared" si="2"/>
        <v>0</v>
      </c>
      <c r="F18" s="225">
        <f t="shared" si="0"/>
        <v>11233.970000000001</v>
      </c>
      <c r="G18" s="226">
        <v>1500</v>
      </c>
      <c r="H18" s="226"/>
      <c r="I18" s="226"/>
      <c r="J18" s="226"/>
      <c r="K18" s="227"/>
      <c r="L18" s="227"/>
      <c r="M18" s="227"/>
      <c r="N18" s="227"/>
    </row>
    <row r="19" spans="2:14" ht="26.1" customHeight="1" thickTop="1" thickBot="1" x14ac:dyDescent="0.3">
      <c r="B19" s="792">
        <v>45691</v>
      </c>
      <c r="C19" s="793" t="s">
        <v>949</v>
      </c>
      <c r="D19" s="223">
        <f t="shared" si="1"/>
        <v>7.23</v>
      </c>
      <c r="E19" s="224">
        <f t="shared" si="2"/>
        <v>0</v>
      </c>
      <c r="F19" s="225">
        <f t="shared" si="0"/>
        <v>11241.2</v>
      </c>
      <c r="G19" s="226"/>
      <c r="H19" s="226">
        <v>7.23</v>
      </c>
      <c r="I19" s="226"/>
      <c r="J19" s="226"/>
      <c r="K19" s="227"/>
      <c r="L19" s="227"/>
      <c r="M19" s="227"/>
      <c r="N19" s="227"/>
    </row>
    <row r="20" spans="2:14" ht="26.1" customHeight="1" thickTop="1" thickBot="1" x14ac:dyDescent="0.3">
      <c r="B20" s="792">
        <v>45692</v>
      </c>
      <c r="C20" s="793" t="s">
        <v>762</v>
      </c>
      <c r="D20" s="223">
        <f t="shared" si="1"/>
        <v>0</v>
      </c>
      <c r="E20" s="224">
        <f t="shared" si="2"/>
        <v>11000</v>
      </c>
      <c r="F20" s="225">
        <f t="shared" si="0"/>
        <v>241.20000000000073</v>
      </c>
      <c r="G20" s="226"/>
      <c r="H20" s="226"/>
      <c r="I20" s="226"/>
      <c r="J20" s="226"/>
      <c r="K20" s="227">
        <v>11000</v>
      </c>
      <c r="L20" s="227"/>
      <c r="M20" s="227"/>
      <c r="N20" s="227"/>
    </row>
    <row r="21" spans="2:14" ht="26.1" customHeight="1" thickTop="1" thickBot="1" x14ac:dyDescent="0.3">
      <c r="B21" s="792">
        <v>45747</v>
      </c>
      <c r="C21" s="793" t="s">
        <v>950</v>
      </c>
      <c r="D21" s="223">
        <f t="shared" si="1"/>
        <v>1.33</v>
      </c>
      <c r="E21" s="224">
        <f t="shared" si="2"/>
        <v>0</v>
      </c>
      <c r="F21" s="225">
        <f t="shared" si="0"/>
        <v>242.53000000000074</v>
      </c>
      <c r="G21" s="226"/>
      <c r="H21" s="226">
        <v>1.33</v>
      </c>
      <c r="I21" s="226"/>
      <c r="J21" s="226"/>
      <c r="K21" s="227"/>
      <c r="L21" s="227"/>
      <c r="M21" s="227"/>
      <c r="N21" s="227"/>
    </row>
    <row r="22" spans="2:14" ht="26.1" customHeight="1" thickTop="1" thickBot="1" x14ac:dyDescent="0.3">
      <c r="B22" s="792">
        <v>45751</v>
      </c>
      <c r="C22" s="793" t="s">
        <v>760</v>
      </c>
      <c r="D22" s="223">
        <f t="shared" si="1"/>
        <v>4000</v>
      </c>
      <c r="E22" s="224">
        <f t="shared" si="2"/>
        <v>0</v>
      </c>
      <c r="F22" s="225">
        <f t="shared" si="0"/>
        <v>4242.5300000000007</v>
      </c>
      <c r="G22" s="226">
        <v>4000</v>
      </c>
      <c r="H22" s="226"/>
      <c r="I22" s="226"/>
      <c r="J22" s="226"/>
      <c r="K22" s="227"/>
      <c r="L22" s="227"/>
      <c r="M22" s="227"/>
      <c r="N22" s="227"/>
    </row>
    <row r="23" spans="2:14" ht="26.1" customHeight="1" thickTop="1" thickBot="1" x14ac:dyDescent="0.3">
      <c r="B23" s="792">
        <v>45777</v>
      </c>
      <c r="C23" s="793" t="s">
        <v>951</v>
      </c>
      <c r="D23" s="223">
        <f t="shared" ref="D23:D25" si="3">SUM(G23:J23)</f>
        <v>1.58</v>
      </c>
      <c r="E23" s="224">
        <f t="shared" ref="E23:E25" si="4">SUM(K23:N23)</f>
        <v>0</v>
      </c>
      <c r="F23" s="225">
        <f t="shared" si="0"/>
        <v>4244.1100000000006</v>
      </c>
      <c r="G23" s="226"/>
      <c r="H23" s="226">
        <v>1.58</v>
      </c>
      <c r="I23" s="226"/>
      <c r="J23" s="226"/>
      <c r="K23" s="227"/>
      <c r="L23" s="227"/>
      <c r="M23" s="227"/>
      <c r="N23" s="227"/>
    </row>
    <row r="24" spans="2:14" ht="26.1" customHeight="1" thickTop="1" thickBot="1" x14ac:dyDescent="0.3">
      <c r="B24" s="792">
        <v>45800</v>
      </c>
      <c r="C24" s="793" t="s">
        <v>760</v>
      </c>
      <c r="D24" s="223">
        <f t="shared" si="3"/>
        <v>2000</v>
      </c>
      <c r="E24" s="224">
        <f t="shared" si="4"/>
        <v>0</v>
      </c>
      <c r="F24" s="225">
        <f t="shared" si="0"/>
        <v>6244.1100000000006</v>
      </c>
      <c r="G24" s="226">
        <v>2000</v>
      </c>
      <c r="H24" s="226"/>
      <c r="I24" s="226"/>
      <c r="J24" s="226"/>
      <c r="K24" s="227"/>
      <c r="L24" s="227"/>
      <c r="M24" s="227"/>
      <c r="N24" s="227"/>
    </row>
    <row r="25" spans="2:14" ht="26.1" customHeight="1" thickTop="1" thickBot="1" x14ac:dyDescent="0.3">
      <c r="B25" s="792">
        <v>45800</v>
      </c>
      <c r="C25" s="793" t="s">
        <v>760</v>
      </c>
      <c r="D25" s="223">
        <f t="shared" si="3"/>
        <v>0.77</v>
      </c>
      <c r="E25" s="224">
        <f t="shared" si="4"/>
        <v>0</v>
      </c>
      <c r="F25" s="225">
        <f t="shared" si="0"/>
        <v>6244.880000000001</v>
      </c>
      <c r="G25" s="226"/>
      <c r="H25" s="226">
        <v>0.77</v>
      </c>
      <c r="I25" s="226"/>
      <c r="J25" s="226"/>
      <c r="K25" s="227"/>
      <c r="L25" s="227"/>
      <c r="M25" s="227"/>
      <c r="N25" s="227"/>
    </row>
    <row r="26" spans="2:14" ht="26.1" customHeight="1" thickTop="1" thickBot="1" x14ac:dyDescent="0.3">
      <c r="B26" s="792">
        <v>45808</v>
      </c>
      <c r="C26" s="793" t="s">
        <v>958</v>
      </c>
      <c r="D26" s="223">
        <f t="shared" ref="D26" si="5">SUM(G26:J26)</f>
        <v>2.82</v>
      </c>
      <c r="E26" s="224">
        <f t="shared" ref="E26" si="6">SUM(K26:N26)</f>
        <v>0</v>
      </c>
      <c r="F26" s="225">
        <f t="shared" si="0"/>
        <v>6247.7000000000007</v>
      </c>
      <c r="G26" s="226"/>
      <c r="H26" s="226">
        <v>2.82</v>
      </c>
      <c r="I26" s="226"/>
      <c r="J26" s="226"/>
      <c r="K26" s="227"/>
      <c r="L26" s="227"/>
      <c r="M26" s="227"/>
      <c r="N26" s="227"/>
    </row>
    <row r="27" spans="2:14" ht="26.1" customHeight="1" thickTop="1" thickBot="1" x14ac:dyDescent="0.3">
      <c r="B27" s="792">
        <v>45824</v>
      </c>
      <c r="C27" s="793" t="s">
        <v>760</v>
      </c>
      <c r="D27" s="223">
        <f t="shared" ref="D27" si="7">SUM(G27:J27)</f>
        <v>2300</v>
      </c>
      <c r="E27" s="224">
        <f t="shared" ref="E27" si="8">SUM(K27:N27)</f>
        <v>0</v>
      </c>
      <c r="F27" s="225">
        <f t="shared" si="0"/>
        <v>8547.7000000000007</v>
      </c>
      <c r="G27" s="226">
        <v>2300</v>
      </c>
      <c r="H27" s="226"/>
      <c r="I27" s="226"/>
      <c r="J27" s="226"/>
      <c r="K27" s="227"/>
      <c r="L27" s="227"/>
      <c r="M27" s="227"/>
      <c r="N27" s="227"/>
    </row>
    <row r="28" spans="2:14" ht="26.1" customHeight="1" thickTop="1" thickBot="1" x14ac:dyDescent="0.3">
      <c r="B28" s="792">
        <v>45839</v>
      </c>
      <c r="C28" s="793" t="s">
        <v>959</v>
      </c>
      <c r="D28" s="223">
        <f t="shared" ref="D28:D30" si="9">SUM(G28:J28)</f>
        <v>6.09</v>
      </c>
      <c r="E28" s="224">
        <f t="shared" ref="E28:E30" si="10">SUM(K28:N28)</f>
        <v>0</v>
      </c>
      <c r="F28" s="225">
        <f t="shared" si="0"/>
        <v>8553.7900000000009</v>
      </c>
      <c r="G28" s="226"/>
      <c r="H28" s="226">
        <v>6.09</v>
      </c>
      <c r="I28" s="226"/>
      <c r="J28" s="226"/>
      <c r="K28" s="227"/>
      <c r="L28" s="227"/>
      <c r="M28" s="227"/>
      <c r="N28" s="227"/>
    </row>
    <row r="29" spans="2:14" ht="26.1" customHeight="1" thickTop="1" thickBot="1" x14ac:dyDescent="0.3">
      <c r="B29" s="792">
        <v>45870</v>
      </c>
      <c r="C29" s="793" t="s">
        <v>957</v>
      </c>
      <c r="D29" s="223">
        <f t="shared" si="9"/>
        <v>3.04</v>
      </c>
      <c r="E29" s="224">
        <f t="shared" si="10"/>
        <v>0</v>
      </c>
      <c r="F29" s="225">
        <f t="shared" si="0"/>
        <v>8556.8300000000017</v>
      </c>
      <c r="G29" s="226"/>
      <c r="H29" s="226">
        <v>3.04</v>
      </c>
      <c r="I29" s="226"/>
      <c r="J29" s="226"/>
      <c r="K29" s="227"/>
      <c r="L29" s="227"/>
      <c r="M29" s="227"/>
      <c r="N29" s="227"/>
    </row>
    <row r="30" spans="2:14" ht="26.1" customHeight="1" thickTop="1" thickBot="1" x14ac:dyDescent="0.3">
      <c r="B30" s="792">
        <v>45931</v>
      </c>
      <c r="C30" s="793" t="s">
        <v>952</v>
      </c>
      <c r="D30" s="223">
        <f t="shared" si="9"/>
        <v>7.27</v>
      </c>
      <c r="E30" s="224">
        <f t="shared" si="10"/>
        <v>0</v>
      </c>
      <c r="F30" s="225">
        <f t="shared" si="0"/>
        <v>8564.1000000000022</v>
      </c>
      <c r="G30" s="226"/>
      <c r="H30" s="226">
        <v>7.27</v>
      </c>
      <c r="I30" s="226"/>
      <c r="J30" s="226"/>
      <c r="K30" s="227"/>
      <c r="L30" s="227"/>
      <c r="M30" s="227"/>
      <c r="N30" s="227"/>
    </row>
    <row r="31" spans="2:14" ht="26.1" customHeight="1" thickTop="1" thickBot="1" x14ac:dyDescent="0.3">
      <c r="B31" s="792">
        <v>45902</v>
      </c>
      <c r="C31" s="793" t="s">
        <v>953</v>
      </c>
      <c r="D31" s="223">
        <f t="shared" ref="D31" si="11">SUM(G31:J31)</f>
        <v>3.63</v>
      </c>
      <c r="E31" s="224">
        <f t="shared" ref="E31" si="12">SUM(K31:N31)</f>
        <v>0</v>
      </c>
      <c r="F31" s="225">
        <f t="shared" si="0"/>
        <v>8567.7300000000014</v>
      </c>
      <c r="G31" s="226"/>
      <c r="H31" s="226">
        <v>3.63</v>
      </c>
      <c r="I31" s="226"/>
      <c r="J31" s="226"/>
      <c r="K31" s="227"/>
      <c r="L31" s="227"/>
      <c r="M31" s="227"/>
      <c r="N31" s="227"/>
    </row>
    <row r="32" spans="2:14" ht="26.1" customHeight="1" thickTop="1" thickBot="1" x14ac:dyDescent="0.3">
      <c r="B32" s="792">
        <v>45875</v>
      </c>
      <c r="C32" s="793" t="s">
        <v>760</v>
      </c>
      <c r="D32" s="223">
        <f t="shared" ref="D32:D34" si="13">SUM(G32:J32)</f>
        <v>2000</v>
      </c>
      <c r="E32" s="224">
        <f t="shared" ref="E32" si="14">SUM(K32:N32)</f>
        <v>0</v>
      </c>
      <c r="F32" s="225">
        <f t="shared" si="0"/>
        <v>10567.730000000001</v>
      </c>
      <c r="G32" s="226">
        <v>2000</v>
      </c>
      <c r="H32" s="226"/>
      <c r="I32" s="226"/>
      <c r="J32" s="226"/>
      <c r="K32" s="227"/>
      <c r="L32" s="227"/>
      <c r="M32" s="227"/>
      <c r="N32" s="227"/>
    </row>
    <row r="33" spans="2:14" ht="26.1" customHeight="1" thickTop="1" thickBot="1" x14ac:dyDescent="0.3">
      <c r="B33" s="792">
        <v>45875</v>
      </c>
      <c r="C33" s="793" t="s">
        <v>1040</v>
      </c>
      <c r="D33" s="223">
        <f t="shared" si="13"/>
        <v>0</v>
      </c>
      <c r="E33" s="224">
        <f t="shared" ref="E33" si="15">SUM(K33:N33)</f>
        <v>10000</v>
      </c>
      <c r="F33" s="225">
        <f t="shared" si="0"/>
        <v>567.73000000000138</v>
      </c>
      <c r="G33" s="226"/>
      <c r="H33" s="226"/>
      <c r="I33" s="226"/>
      <c r="J33" s="226"/>
      <c r="K33" s="227">
        <v>10000</v>
      </c>
      <c r="L33" s="227"/>
      <c r="M33" s="227"/>
      <c r="N33" s="227"/>
    </row>
    <row r="34" spans="2:14" ht="26.1" customHeight="1" thickTop="1" thickBot="1" x14ac:dyDescent="0.3">
      <c r="B34" s="792">
        <v>45901</v>
      </c>
      <c r="C34" s="793" t="s">
        <v>954</v>
      </c>
      <c r="D34" s="223">
        <f t="shared" si="13"/>
        <v>0.59</v>
      </c>
      <c r="E34" s="224"/>
      <c r="F34" s="225">
        <f t="shared" si="0"/>
        <v>568.32000000000141</v>
      </c>
      <c r="G34" s="226"/>
      <c r="H34" s="226">
        <v>0.59</v>
      </c>
      <c r="I34" s="226"/>
      <c r="J34" s="226"/>
      <c r="K34" s="227"/>
      <c r="L34" s="227"/>
      <c r="M34" s="227"/>
      <c r="N34" s="227"/>
    </row>
    <row r="35" spans="2:14" ht="26.1" customHeight="1" thickTop="1" thickBot="1" x14ac:dyDescent="0.3">
      <c r="B35" s="792">
        <v>45904</v>
      </c>
      <c r="C35" s="793" t="s">
        <v>760</v>
      </c>
      <c r="D35" s="223">
        <f>SUM(G35:J35)</f>
        <v>5000</v>
      </c>
      <c r="E35" s="224">
        <f>SUM(K35:N35)</f>
        <v>0</v>
      </c>
      <c r="F35" s="225">
        <f t="shared" si="0"/>
        <v>5568.3200000000015</v>
      </c>
      <c r="G35" s="226">
        <f>'PAYMENT VOUCHERS'!E150</f>
        <v>5000</v>
      </c>
      <c r="H35" s="226"/>
      <c r="I35" s="226"/>
      <c r="J35" s="226"/>
      <c r="K35" s="227"/>
      <c r="L35" s="227"/>
      <c r="M35" s="227"/>
      <c r="N35" s="227"/>
    </row>
    <row r="36" spans="2:14" ht="26.1" customHeight="1" thickTop="1" thickBot="1" x14ac:dyDescent="0.3">
      <c r="B36" s="792">
        <v>45876</v>
      </c>
      <c r="C36" s="793" t="s">
        <v>762</v>
      </c>
      <c r="D36" s="223">
        <f t="shared" ref="D36:D39" si="16">SUM(G36:J36)</f>
        <v>2.06</v>
      </c>
      <c r="E36" s="224">
        <f t="shared" si="2"/>
        <v>0</v>
      </c>
      <c r="F36" s="225">
        <f t="shared" si="0"/>
        <v>5570.3800000000019</v>
      </c>
      <c r="G36" s="226"/>
      <c r="H36" s="226">
        <v>2.06</v>
      </c>
      <c r="I36" s="226"/>
      <c r="J36" s="226"/>
      <c r="K36" s="227"/>
      <c r="L36" s="227"/>
      <c r="M36" s="227"/>
      <c r="N36" s="227"/>
    </row>
    <row r="37" spans="2:14" ht="26.1" customHeight="1" thickTop="1" thickBot="1" x14ac:dyDescent="0.3">
      <c r="B37" s="792">
        <v>45930</v>
      </c>
      <c r="C37" s="793" t="s">
        <v>955</v>
      </c>
      <c r="D37" s="223">
        <f t="shared" si="16"/>
        <v>2.36</v>
      </c>
      <c r="E37" s="224">
        <f t="shared" si="2"/>
        <v>0</v>
      </c>
      <c r="F37" s="225">
        <f t="shared" si="0"/>
        <v>5572.7400000000016</v>
      </c>
      <c r="G37" s="226"/>
      <c r="H37" s="226">
        <v>2.36</v>
      </c>
      <c r="I37" s="226"/>
      <c r="J37" s="226"/>
      <c r="K37" s="227"/>
      <c r="L37" s="227"/>
      <c r="M37" s="227"/>
      <c r="N37" s="227"/>
    </row>
    <row r="38" spans="2:14" ht="26.1" customHeight="1" thickTop="1" thickBot="1" x14ac:dyDescent="0.3">
      <c r="B38" s="792">
        <v>45961</v>
      </c>
      <c r="C38" s="793" t="s">
        <v>956</v>
      </c>
      <c r="D38" s="223">
        <f t="shared" si="16"/>
        <v>2.29</v>
      </c>
      <c r="E38" s="224">
        <f t="shared" si="2"/>
        <v>0</v>
      </c>
      <c r="F38" s="225">
        <f t="shared" si="0"/>
        <v>5575.0300000000016</v>
      </c>
      <c r="G38" s="226"/>
      <c r="H38" s="226">
        <v>2.29</v>
      </c>
      <c r="I38" s="226"/>
      <c r="J38" s="226"/>
      <c r="K38" s="227"/>
      <c r="L38" s="227"/>
      <c r="M38" s="227"/>
      <c r="N38" s="227"/>
    </row>
    <row r="39" spans="2:14" ht="26.1" customHeight="1" thickTop="1" thickBot="1" x14ac:dyDescent="0.3">
      <c r="B39" s="792">
        <v>46008</v>
      </c>
      <c r="C39" s="793" t="s">
        <v>760</v>
      </c>
      <c r="D39" s="223">
        <f t="shared" si="16"/>
        <v>3600</v>
      </c>
      <c r="E39" s="224">
        <f t="shared" si="2"/>
        <v>0</v>
      </c>
      <c r="F39" s="225">
        <f t="shared" si="0"/>
        <v>9175.0300000000025</v>
      </c>
      <c r="G39" s="226">
        <v>3600</v>
      </c>
      <c r="H39" s="226"/>
      <c r="I39" s="226"/>
      <c r="J39" s="226"/>
      <c r="K39" s="227"/>
      <c r="L39" s="227"/>
      <c r="M39" s="227"/>
      <c r="N39" s="227"/>
    </row>
    <row r="40" spans="2:14" ht="26.1" customHeight="1" thickTop="1" thickBot="1" x14ac:dyDescent="0.3">
      <c r="B40" s="792">
        <v>46022</v>
      </c>
      <c r="C40" s="793" t="s">
        <v>944</v>
      </c>
      <c r="D40" s="223">
        <f>SUM(G40:J40)</f>
        <v>1.1000000000000001</v>
      </c>
      <c r="E40" s="224">
        <f>SUM(K40:N40)</f>
        <v>0</v>
      </c>
      <c r="F40" s="225">
        <f t="shared" si="0"/>
        <v>9176.1300000000028</v>
      </c>
      <c r="G40" s="226"/>
      <c r="H40" s="226">
        <v>1.1000000000000001</v>
      </c>
      <c r="I40" s="226"/>
      <c r="J40" s="226"/>
      <c r="K40" s="227"/>
      <c r="L40" s="227"/>
      <c r="M40" s="227"/>
      <c r="N40" s="227"/>
    </row>
    <row r="41" spans="2:14" ht="26.1" customHeight="1" thickTop="1" thickBot="1" x14ac:dyDescent="0.3">
      <c r="B41" s="792">
        <v>46041</v>
      </c>
      <c r="C41" s="793" t="s">
        <v>760</v>
      </c>
      <c r="D41" s="223">
        <f t="shared" si="1"/>
        <v>3000</v>
      </c>
      <c r="E41" s="224">
        <f t="shared" si="2"/>
        <v>0</v>
      </c>
      <c r="F41" s="225">
        <f t="shared" si="0"/>
        <v>12176.130000000003</v>
      </c>
      <c r="G41" s="226">
        <v>3000</v>
      </c>
      <c r="H41" s="226"/>
      <c r="I41" s="226"/>
      <c r="J41" s="226"/>
      <c r="K41" s="227"/>
      <c r="L41" s="227"/>
      <c r="M41" s="227"/>
      <c r="N41" s="227"/>
    </row>
    <row r="42" spans="2:14" ht="26.1" customHeight="1" thickTop="1" thickBot="1" x14ac:dyDescent="0.3">
      <c r="B42" s="792">
        <v>46081</v>
      </c>
      <c r="C42" s="793" t="s">
        <v>985</v>
      </c>
      <c r="D42" s="223">
        <f t="shared" si="1"/>
        <v>9.1</v>
      </c>
      <c r="E42" s="224">
        <f t="shared" si="2"/>
        <v>0</v>
      </c>
      <c r="F42" s="225">
        <f t="shared" si="0"/>
        <v>12185.230000000003</v>
      </c>
      <c r="G42" s="226"/>
      <c r="H42" s="226">
        <v>9.1</v>
      </c>
      <c r="I42" s="226"/>
      <c r="J42" s="226"/>
      <c r="K42" s="227"/>
      <c r="L42" s="227"/>
      <c r="M42" s="227"/>
      <c r="N42" s="227"/>
    </row>
    <row r="43" spans="2:14" ht="26.1" customHeight="1" thickTop="1" thickBot="1" x14ac:dyDescent="0.3">
      <c r="B43" s="792">
        <v>46086</v>
      </c>
      <c r="C43" s="793" t="s">
        <v>760</v>
      </c>
      <c r="D43" s="223">
        <f t="shared" si="1"/>
        <v>2000</v>
      </c>
      <c r="E43" s="224">
        <f t="shared" si="2"/>
        <v>0</v>
      </c>
      <c r="F43" s="225">
        <f t="shared" si="0"/>
        <v>14185.230000000003</v>
      </c>
      <c r="G43" s="226">
        <f>'PAYMENT VOUCHERS'!E174</f>
        <v>2000</v>
      </c>
      <c r="H43" s="226"/>
      <c r="I43" s="226"/>
      <c r="J43" s="226"/>
      <c r="K43" s="227"/>
      <c r="L43" s="227"/>
      <c r="M43" s="227"/>
      <c r="N43" s="227"/>
    </row>
    <row r="44" spans="2:14" ht="26.1" customHeight="1" thickTop="1" thickBot="1" x14ac:dyDescent="0.3">
      <c r="B44" s="792">
        <v>46092</v>
      </c>
      <c r="C44" s="793" t="s">
        <v>760</v>
      </c>
      <c r="D44" s="223">
        <f t="shared" si="1"/>
        <v>2000</v>
      </c>
      <c r="E44" s="224">
        <f t="shared" si="2"/>
        <v>0</v>
      </c>
      <c r="F44" s="225">
        <f t="shared" si="0"/>
        <v>16185.230000000003</v>
      </c>
      <c r="G44" s="226">
        <v>2000</v>
      </c>
      <c r="H44" s="226"/>
      <c r="I44" s="226"/>
      <c r="J44" s="226"/>
      <c r="K44" s="227"/>
      <c r="L44" s="227"/>
      <c r="M44" s="227"/>
      <c r="N44" s="227"/>
    </row>
    <row r="45" spans="2:14" ht="26.1" customHeight="1" thickTop="1" thickBot="1" x14ac:dyDescent="0.3">
      <c r="B45" s="792">
        <v>46098</v>
      </c>
      <c r="C45" s="793" t="s">
        <v>1040</v>
      </c>
      <c r="D45" s="223">
        <f t="shared" si="1"/>
        <v>0</v>
      </c>
      <c r="E45" s="224">
        <f t="shared" si="2"/>
        <v>16000</v>
      </c>
      <c r="F45" s="225">
        <f t="shared" si="0"/>
        <v>185.2300000000032</v>
      </c>
      <c r="G45" s="226"/>
      <c r="H45" s="226"/>
      <c r="I45" s="226"/>
      <c r="J45" s="226"/>
      <c r="K45" s="227">
        <v>16000</v>
      </c>
      <c r="L45" s="227"/>
      <c r="M45" s="227"/>
      <c r="N45" s="227"/>
    </row>
    <row r="46" spans="2:14" ht="26.1" customHeight="1" thickTop="1" thickBot="1" x14ac:dyDescent="0.3">
      <c r="B46" s="792">
        <v>46107</v>
      </c>
      <c r="C46" s="793" t="s">
        <v>1041</v>
      </c>
      <c r="D46" s="223">
        <f t="shared" si="1"/>
        <v>62425.51</v>
      </c>
      <c r="E46" s="224">
        <f t="shared" ref="E46:E48" si="17">SUM(K46:N46)</f>
        <v>0</v>
      </c>
      <c r="F46" s="225">
        <f t="shared" si="0"/>
        <v>62610.740000000005</v>
      </c>
      <c r="G46" s="226"/>
      <c r="H46" s="226"/>
      <c r="I46" s="226">
        <v>62425.51</v>
      </c>
      <c r="J46" s="226"/>
      <c r="K46" s="227"/>
      <c r="L46" s="227"/>
      <c r="M46" s="227"/>
      <c r="N46" s="227"/>
    </row>
    <row r="47" spans="2:14" ht="26.1" customHeight="1" thickTop="1" thickBot="1" x14ac:dyDescent="0.3">
      <c r="B47" s="792">
        <v>46108</v>
      </c>
      <c r="C47" s="793" t="s">
        <v>1129</v>
      </c>
      <c r="D47" s="223">
        <f t="shared" si="1"/>
        <v>0</v>
      </c>
      <c r="E47" s="224">
        <f t="shared" si="17"/>
        <v>62000</v>
      </c>
      <c r="F47" s="225">
        <f t="shared" si="0"/>
        <v>610.74000000000524</v>
      </c>
      <c r="G47" s="226"/>
      <c r="H47" s="226"/>
      <c r="I47" s="226"/>
      <c r="J47" s="226"/>
      <c r="K47" s="227"/>
      <c r="L47" s="227">
        <v>62000</v>
      </c>
      <c r="M47" s="227"/>
      <c r="N47" s="227"/>
    </row>
    <row r="48" spans="2:14" ht="26.1" customHeight="1" thickTop="1" thickBot="1" x14ac:dyDescent="0.3">
      <c r="B48" s="792">
        <v>46108</v>
      </c>
      <c r="C48" s="793" t="s">
        <v>1130</v>
      </c>
      <c r="D48" s="223">
        <f t="shared" si="1"/>
        <v>0</v>
      </c>
      <c r="E48" s="224">
        <f t="shared" si="17"/>
        <v>400</v>
      </c>
      <c r="F48" s="225">
        <f t="shared" si="0"/>
        <v>210.74000000000524</v>
      </c>
      <c r="G48" s="226"/>
      <c r="H48" s="226"/>
      <c r="I48" s="226"/>
      <c r="J48" s="226"/>
      <c r="K48" s="227"/>
      <c r="L48" s="227">
        <v>400</v>
      </c>
      <c r="M48" s="227"/>
      <c r="N48" s="227"/>
    </row>
    <row r="49" spans="2:14" ht="26.1" customHeight="1" thickTop="1" thickBot="1" x14ac:dyDescent="0.3">
      <c r="B49" s="792">
        <v>46108</v>
      </c>
      <c r="C49" s="793" t="s">
        <v>1045</v>
      </c>
      <c r="D49" s="223">
        <f t="shared" ref="D49:D51" si="18">SUM(G49:J49)</f>
        <v>0</v>
      </c>
      <c r="E49" s="224">
        <f t="shared" ref="E49:E51" si="19">SUM(K49:N49)</f>
        <v>15</v>
      </c>
      <c r="F49" s="225">
        <f t="shared" ref="F49:F51" si="20">F48+D49-E49</f>
        <v>195.74000000000524</v>
      </c>
      <c r="G49" s="226"/>
      <c r="H49" s="226"/>
      <c r="I49" s="226"/>
      <c r="J49" s="226"/>
      <c r="K49" s="227"/>
      <c r="L49" s="227"/>
      <c r="M49" s="227">
        <v>15</v>
      </c>
      <c r="N49" s="227"/>
    </row>
    <row r="50" spans="2:14" ht="26.1" customHeight="1" thickTop="1" thickBot="1" x14ac:dyDescent="0.3">
      <c r="B50" s="792">
        <v>46111</v>
      </c>
      <c r="C50" s="793" t="s">
        <v>1163</v>
      </c>
      <c r="D50" s="223">
        <f t="shared" si="18"/>
        <v>3.14</v>
      </c>
      <c r="E50" s="224">
        <f t="shared" si="19"/>
        <v>0</v>
      </c>
      <c r="F50" s="225">
        <f t="shared" si="20"/>
        <v>198.88000000000523</v>
      </c>
      <c r="G50" s="226"/>
      <c r="H50" s="226">
        <v>3.14</v>
      </c>
      <c r="I50" s="226"/>
      <c r="J50" s="226"/>
      <c r="K50" s="227"/>
      <c r="L50" s="227"/>
      <c r="M50" s="227"/>
      <c r="N50" s="227"/>
    </row>
    <row r="51" spans="2:14" ht="26.1" customHeight="1" thickTop="1" thickBot="1" x14ac:dyDescent="0.3">
      <c r="B51" s="792">
        <v>46129</v>
      </c>
      <c r="C51" s="793" t="s">
        <v>760</v>
      </c>
      <c r="D51" s="223">
        <f t="shared" si="18"/>
        <v>4000</v>
      </c>
      <c r="E51" s="224">
        <f t="shared" si="19"/>
        <v>0</v>
      </c>
      <c r="F51" s="225">
        <f t="shared" si="20"/>
        <v>4198.8800000000056</v>
      </c>
      <c r="G51" s="226">
        <f>'PAYMENT VOUCHERS'!E194</f>
        <v>4000</v>
      </c>
      <c r="H51" s="226"/>
      <c r="I51" s="226"/>
      <c r="J51" s="226"/>
      <c r="K51" s="227"/>
      <c r="L51" s="227"/>
      <c r="M51" s="227"/>
      <c r="N51" s="227"/>
    </row>
    <row r="52" spans="2:14" ht="26.1" customHeight="1" thickTop="1" thickBot="1" x14ac:dyDescent="0.3">
      <c r="B52" s="792">
        <v>46260</v>
      </c>
      <c r="C52" s="793" t="s">
        <v>760</v>
      </c>
      <c r="D52" s="223">
        <f t="shared" si="1"/>
        <v>4500</v>
      </c>
      <c r="E52" s="224">
        <f t="shared" si="2"/>
        <v>0</v>
      </c>
      <c r="F52" s="225">
        <f t="shared" si="0"/>
        <v>8698.8800000000047</v>
      </c>
      <c r="G52" s="226">
        <f>'PAYMENT VOUCHERS'!E202</f>
        <v>4500</v>
      </c>
      <c r="H52" s="226"/>
      <c r="I52" s="226"/>
      <c r="J52" s="226"/>
      <c r="K52" s="227"/>
      <c r="L52" s="227"/>
      <c r="M52" s="227"/>
      <c r="N52" s="227"/>
    </row>
    <row r="53" spans="2:14" ht="26.1" customHeight="1" thickTop="1" thickBot="1" x14ac:dyDescent="0.3">
      <c r="B53" s="792">
        <v>46289</v>
      </c>
      <c r="C53" s="793" t="s">
        <v>760</v>
      </c>
      <c r="D53" s="223">
        <f t="shared" si="1"/>
        <v>2000</v>
      </c>
      <c r="E53" s="224">
        <f t="shared" si="2"/>
        <v>0</v>
      </c>
      <c r="F53" s="225">
        <f t="shared" si="0"/>
        <v>10698.880000000005</v>
      </c>
      <c r="G53" s="226">
        <f>'PAYMENT VOUCHERS'!E210</f>
        <v>2000</v>
      </c>
      <c r="H53" s="226"/>
      <c r="I53" s="226"/>
      <c r="J53" s="226"/>
      <c r="K53" s="227"/>
      <c r="L53" s="227"/>
      <c r="M53" s="227"/>
      <c r="N53" s="227"/>
    </row>
    <row r="54" spans="2:14" ht="26.1" customHeight="1" thickTop="1" thickBot="1" x14ac:dyDescent="0.3">
      <c r="B54" s="792"/>
      <c r="C54" s="793"/>
      <c r="D54" s="223">
        <f t="shared" ref="D54:D66" si="21">SUM(G54:J54)</f>
        <v>0</v>
      </c>
      <c r="E54" s="224">
        <f t="shared" ref="E54:E66" si="22">SUM(K54:N54)</f>
        <v>0</v>
      </c>
      <c r="F54" s="225">
        <f t="shared" ref="F54:F66" si="23">F53+D54-E54</f>
        <v>10698.880000000005</v>
      </c>
      <c r="G54" s="226"/>
      <c r="H54" s="226"/>
      <c r="I54" s="226"/>
      <c r="J54" s="226"/>
      <c r="K54" s="227"/>
      <c r="L54" s="227"/>
      <c r="M54" s="227"/>
      <c r="N54" s="227"/>
    </row>
    <row r="55" spans="2:14" ht="26.1" customHeight="1" thickTop="1" thickBot="1" x14ac:dyDescent="0.3">
      <c r="B55" s="792"/>
      <c r="C55" s="793"/>
      <c r="D55" s="223">
        <f t="shared" si="21"/>
        <v>0</v>
      </c>
      <c r="E55" s="224">
        <f t="shared" si="22"/>
        <v>0</v>
      </c>
      <c r="F55" s="225">
        <f t="shared" si="23"/>
        <v>10698.880000000005</v>
      </c>
      <c r="G55" s="226"/>
      <c r="H55" s="226"/>
      <c r="I55" s="226"/>
      <c r="J55" s="226"/>
      <c r="K55" s="227"/>
      <c r="L55" s="227"/>
      <c r="M55" s="227"/>
      <c r="N55" s="227"/>
    </row>
    <row r="56" spans="2:14" ht="26.1" customHeight="1" thickTop="1" thickBot="1" x14ac:dyDescent="0.3">
      <c r="B56" s="792"/>
      <c r="C56" s="793"/>
      <c r="D56" s="223">
        <f t="shared" si="21"/>
        <v>0</v>
      </c>
      <c r="E56" s="224">
        <f t="shared" si="22"/>
        <v>0</v>
      </c>
      <c r="F56" s="225">
        <f t="shared" si="23"/>
        <v>10698.880000000005</v>
      </c>
      <c r="G56" s="226"/>
      <c r="H56" s="226"/>
      <c r="I56" s="226"/>
      <c r="J56" s="226"/>
      <c r="K56" s="227"/>
      <c r="L56" s="227"/>
      <c r="M56" s="227"/>
      <c r="N56" s="227"/>
    </row>
    <row r="57" spans="2:14" ht="26.1" customHeight="1" thickTop="1" thickBot="1" x14ac:dyDescent="0.3">
      <c r="B57" s="792"/>
      <c r="C57" s="793"/>
      <c r="D57" s="223">
        <f t="shared" si="21"/>
        <v>0</v>
      </c>
      <c r="E57" s="224">
        <f t="shared" si="22"/>
        <v>0</v>
      </c>
      <c r="F57" s="225">
        <f t="shared" si="23"/>
        <v>10698.880000000005</v>
      </c>
      <c r="G57" s="226"/>
      <c r="H57" s="226"/>
      <c r="I57" s="226"/>
      <c r="J57" s="226"/>
      <c r="K57" s="227"/>
      <c r="L57" s="227"/>
      <c r="M57" s="227"/>
      <c r="N57" s="227"/>
    </row>
    <row r="58" spans="2:14" ht="26.1" customHeight="1" thickTop="1" thickBot="1" x14ac:dyDescent="0.3">
      <c r="B58" s="792"/>
      <c r="C58" s="793"/>
      <c r="D58" s="223">
        <f t="shared" si="21"/>
        <v>0</v>
      </c>
      <c r="E58" s="224">
        <f t="shared" si="22"/>
        <v>0</v>
      </c>
      <c r="F58" s="225">
        <f t="shared" si="23"/>
        <v>10698.880000000005</v>
      </c>
      <c r="G58" s="226"/>
      <c r="H58" s="226"/>
      <c r="I58" s="226"/>
      <c r="J58" s="226"/>
      <c r="K58" s="227"/>
      <c r="L58" s="227"/>
      <c r="M58" s="227"/>
      <c r="N58" s="227"/>
    </row>
    <row r="59" spans="2:14" ht="26.1" customHeight="1" thickTop="1" thickBot="1" x14ac:dyDescent="0.3">
      <c r="B59" s="792"/>
      <c r="C59" s="793"/>
      <c r="D59" s="223">
        <f t="shared" si="21"/>
        <v>0</v>
      </c>
      <c r="E59" s="224">
        <f t="shared" si="22"/>
        <v>0</v>
      </c>
      <c r="F59" s="225">
        <f t="shared" si="23"/>
        <v>10698.880000000005</v>
      </c>
      <c r="G59" s="226"/>
      <c r="H59" s="226"/>
      <c r="I59" s="226"/>
      <c r="J59" s="226"/>
      <c r="K59" s="227"/>
      <c r="L59" s="227"/>
      <c r="M59" s="227"/>
      <c r="N59" s="227"/>
    </row>
    <row r="60" spans="2:14" ht="26.1" customHeight="1" thickTop="1" thickBot="1" x14ac:dyDescent="0.3">
      <c r="B60" s="792"/>
      <c r="C60" s="793"/>
      <c r="D60" s="223">
        <f t="shared" si="21"/>
        <v>0</v>
      </c>
      <c r="E60" s="224">
        <f t="shared" si="22"/>
        <v>0</v>
      </c>
      <c r="F60" s="225">
        <f t="shared" si="23"/>
        <v>10698.880000000005</v>
      </c>
      <c r="G60" s="226"/>
      <c r="H60" s="226"/>
      <c r="I60" s="226"/>
      <c r="J60" s="226"/>
      <c r="K60" s="227"/>
      <c r="L60" s="227"/>
      <c r="M60" s="227"/>
      <c r="N60" s="227"/>
    </row>
    <row r="61" spans="2:14" ht="26.1" customHeight="1" thickTop="1" thickBot="1" x14ac:dyDescent="0.3">
      <c r="B61" s="792"/>
      <c r="C61" s="793"/>
      <c r="D61" s="223">
        <f t="shared" si="21"/>
        <v>0</v>
      </c>
      <c r="E61" s="224">
        <f t="shared" si="22"/>
        <v>0</v>
      </c>
      <c r="F61" s="225">
        <f t="shared" si="23"/>
        <v>10698.880000000005</v>
      </c>
      <c r="G61" s="226"/>
      <c r="H61" s="226"/>
      <c r="I61" s="226"/>
      <c r="J61" s="226"/>
      <c r="K61" s="227"/>
      <c r="L61" s="227"/>
      <c r="M61" s="227"/>
      <c r="N61" s="227"/>
    </row>
    <row r="62" spans="2:14" ht="26.1" customHeight="1" thickTop="1" thickBot="1" x14ac:dyDescent="0.3">
      <c r="B62" s="792"/>
      <c r="C62" s="793"/>
      <c r="D62" s="223">
        <f t="shared" si="21"/>
        <v>0</v>
      </c>
      <c r="E62" s="224">
        <f t="shared" si="22"/>
        <v>0</v>
      </c>
      <c r="F62" s="225">
        <f t="shared" si="23"/>
        <v>10698.880000000005</v>
      </c>
      <c r="G62" s="226"/>
      <c r="H62" s="226"/>
      <c r="I62" s="226"/>
      <c r="J62" s="226"/>
      <c r="K62" s="227"/>
      <c r="L62" s="227"/>
      <c r="M62" s="227"/>
      <c r="N62" s="227"/>
    </row>
    <row r="63" spans="2:14" ht="26.1" customHeight="1" thickTop="1" thickBot="1" x14ac:dyDescent="0.3">
      <c r="B63" s="792"/>
      <c r="C63" s="793"/>
      <c r="D63" s="223">
        <f t="shared" si="21"/>
        <v>0</v>
      </c>
      <c r="E63" s="224">
        <f t="shared" si="22"/>
        <v>0</v>
      </c>
      <c r="F63" s="225">
        <f t="shared" si="23"/>
        <v>10698.880000000005</v>
      </c>
      <c r="G63" s="226"/>
      <c r="H63" s="226"/>
      <c r="I63" s="226"/>
      <c r="J63" s="226"/>
      <c r="K63" s="227"/>
      <c r="L63" s="227"/>
      <c r="M63" s="227"/>
      <c r="N63" s="227"/>
    </row>
    <row r="64" spans="2:14" ht="26.1" customHeight="1" thickTop="1" thickBot="1" x14ac:dyDescent="0.3">
      <c r="B64" s="792"/>
      <c r="C64" s="793"/>
      <c r="D64" s="223">
        <f t="shared" si="21"/>
        <v>0</v>
      </c>
      <c r="E64" s="224">
        <f t="shared" si="22"/>
        <v>0</v>
      </c>
      <c r="F64" s="225">
        <f t="shared" si="23"/>
        <v>10698.880000000005</v>
      </c>
      <c r="G64" s="226"/>
      <c r="H64" s="226"/>
      <c r="I64" s="226"/>
      <c r="J64" s="226"/>
      <c r="K64" s="227"/>
      <c r="L64" s="227"/>
      <c r="M64" s="227"/>
      <c r="N64" s="227"/>
    </row>
    <row r="65" spans="2:14" ht="26.1" customHeight="1" thickTop="1" thickBot="1" x14ac:dyDescent="0.3">
      <c r="B65" s="792"/>
      <c r="C65" s="793"/>
      <c r="D65" s="223">
        <f t="shared" si="21"/>
        <v>0</v>
      </c>
      <c r="E65" s="224">
        <f t="shared" si="22"/>
        <v>0</v>
      </c>
      <c r="F65" s="225">
        <f t="shared" si="23"/>
        <v>10698.880000000005</v>
      </c>
      <c r="G65" s="226"/>
      <c r="H65" s="226"/>
      <c r="I65" s="226"/>
      <c r="J65" s="226"/>
      <c r="K65" s="227"/>
      <c r="L65" s="227"/>
      <c r="M65" s="227"/>
      <c r="N65" s="227"/>
    </row>
    <row r="66" spans="2:14" ht="26.1" customHeight="1" thickTop="1" thickBot="1" x14ac:dyDescent="0.3">
      <c r="B66" s="228"/>
      <c r="C66" s="229"/>
      <c r="D66" s="223">
        <f t="shared" si="21"/>
        <v>0</v>
      </c>
      <c r="E66" s="224">
        <f t="shared" si="22"/>
        <v>0</v>
      </c>
      <c r="F66" s="225">
        <f t="shared" si="23"/>
        <v>10698.880000000005</v>
      </c>
      <c r="G66" s="230"/>
      <c r="H66" s="230"/>
      <c r="I66" s="230"/>
      <c r="J66" s="230"/>
      <c r="K66" s="231"/>
      <c r="L66" s="231"/>
      <c r="M66" s="231"/>
      <c r="N66" s="231"/>
    </row>
    <row r="67" spans="2:14" s="136" customFormat="1" ht="31.5" customHeight="1" thickTop="1" thickBot="1" x14ac:dyDescent="0.3">
      <c r="B67" s="134">
        <f>SUBTOTAL(3,B6:B66)</f>
        <v>48</v>
      </c>
      <c r="C67" s="134">
        <f>SUBTOTAL(3,C6:C66)</f>
        <v>48</v>
      </c>
      <c r="D67" s="135">
        <f>SUBTOTAL(9,D6:D66)</f>
        <v>125113.87999999999</v>
      </c>
      <c r="E67" s="135">
        <f>SUBTOTAL(9,E6:E66)</f>
        <v>114415</v>
      </c>
      <c r="F67" s="135">
        <f>D67-E67</f>
        <v>10698.87999999999</v>
      </c>
      <c r="G67" s="135">
        <f>SUBTOTAL(9,G6:G66)</f>
        <v>62600</v>
      </c>
      <c r="H67" s="135">
        <f t="shared" ref="H67:N67" si="24">SUBTOTAL(9,H6:H66)</f>
        <v>88.37</v>
      </c>
      <c r="I67" s="135">
        <f t="shared" si="24"/>
        <v>62425.51</v>
      </c>
      <c r="J67" s="135">
        <f t="shared" si="24"/>
        <v>0</v>
      </c>
      <c r="K67" s="135">
        <f t="shared" si="24"/>
        <v>52000</v>
      </c>
      <c r="L67" s="135">
        <f t="shared" si="24"/>
        <v>62400</v>
      </c>
      <c r="M67" s="135">
        <f t="shared" si="24"/>
        <v>15</v>
      </c>
      <c r="N67" s="135">
        <f t="shared" si="24"/>
        <v>0</v>
      </c>
    </row>
    <row r="68" spans="2:14" ht="20.100000000000001" customHeight="1" thickTop="1" x14ac:dyDescent="0.25"/>
    <row r="69" spans="2:14" ht="20.100000000000001" customHeight="1" x14ac:dyDescent="0.3">
      <c r="F69" s="232"/>
    </row>
    <row r="70" spans="2:14" ht="20.100000000000001" customHeight="1" x14ac:dyDescent="0.3">
      <c r="F70" s="232"/>
      <c r="H70" s="236"/>
    </row>
    <row r="71" spans="2:14" ht="20.100000000000001" customHeight="1" x14ac:dyDescent="0.3">
      <c r="F71" s="235"/>
      <c r="H71" s="807"/>
    </row>
    <row r="72" spans="2:14" ht="20.100000000000001" customHeight="1" x14ac:dyDescent="0.3">
      <c r="F72" s="232"/>
    </row>
    <row r="73" spans="2:14" ht="20.100000000000001" customHeight="1" x14ac:dyDescent="0.3">
      <c r="F73" s="232"/>
    </row>
    <row r="74" spans="2:14" ht="20.100000000000001" customHeight="1" x14ac:dyDescent="0.3">
      <c r="F74" s="232"/>
    </row>
  </sheetData>
  <autoFilter ref="B5:N5" xr:uid="{00000000-0009-0000-0000-00001D000000}"/>
  <mergeCells count="1">
    <mergeCell ref="B3:C3"/>
  </mergeCells>
  <phoneticPr fontId="27" type="noConversion"/>
  <conditionalFormatting sqref="B67:N67">
    <cfRule type="cellIs" dxfId="47" priority="2" operator="equal">
      <formula>0</formula>
    </cfRule>
  </conditionalFormatting>
  <conditionalFormatting sqref="D6:F66">
    <cfRule type="cellIs" dxfId="46" priority="1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F0"/>
  </sheetPr>
  <dimension ref="A1:N23"/>
  <sheetViews>
    <sheetView topLeftCell="A13" zoomScale="120" zoomScaleNormal="120" workbookViewId="0">
      <selection activeCell="F22" sqref="F22"/>
    </sheetView>
  </sheetViews>
  <sheetFormatPr defaultColWidth="9.140625" defaultRowHeight="20.100000000000001" customHeight="1" x14ac:dyDescent="0.25"/>
  <cols>
    <col min="1" max="1" width="1.7109375" style="9" customWidth="1"/>
    <col min="2" max="2" width="16.140625" style="8" bestFit="1" customWidth="1"/>
    <col min="3" max="3" width="35.42578125" style="9" bestFit="1" customWidth="1"/>
    <col min="4" max="4" width="20.7109375" style="10" customWidth="1"/>
    <col min="5" max="14" width="20.7109375" style="9" customWidth="1"/>
    <col min="15" max="16384" width="9.140625" style="9"/>
  </cols>
  <sheetData>
    <row r="1" spans="1:14" s="77" customFormat="1" ht="18" x14ac:dyDescent="0.25">
      <c r="A1" s="89"/>
      <c r="B1" s="76"/>
    </row>
    <row r="2" spans="1:14" s="77" customFormat="1" ht="18" x14ac:dyDescent="0.25">
      <c r="B2" s="76"/>
    </row>
    <row r="3" spans="1:14" s="70" customFormat="1" ht="47.25" thickBot="1" x14ac:dyDescent="0.8">
      <c r="B3" s="1074" t="s">
        <v>538</v>
      </c>
      <c r="C3" s="1074"/>
      <c r="D3" s="1074"/>
      <c r="E3" s="1074"/>
      <c r="F3" s="1074"/>
      <c r="G3" s="1074"/>
      <c r="H3" s="1074"/>
      <c r="I3" s="1074"/>
      <c r="J3" s="1074"/>
      <c r="K3" s="1074"/>
      <c r="L3" s="1074"/>
    </row>
    <row r="4" spans="1:14" ht="21.95" customHeight="1" thickTop="1" thickBot="1" x14ac:dyDescent="0.3">
      <c r="B4" s="71" t="s">
        <v>51</v>
      </c>
      <c r="C4" s="71" t="s">
        <v>52</v>
      </c>
      <c r="D4" s="72" t="s">
        <v>53</v>
      </c>
      <c r="E4" s="71" t="s">
        <v>54</v>
      </c>
      <c r="F4" s="71" t="s">
        <v>55</v>
      </c>
      <c r="G4" s="71" t="s">
        <v>488</v>
      </c>
      <c r="H4" s="71" t="s">
        <v>487</v>
      </c>
      <c r="I4" s="71" t="s">
        <v>525</v>
      </c>
      <c r="J4" s="71" t="s">
        <v>489</v>
      </c>
      <c r="K4" s="71" t="s">
        <v>527</v>
      </c>
      <c r="L4" s="71"/>
      <c r="M4" s="71"/>
      <c r="N4" s="71"/>
    </row>
    <row r="5" spans="1:14" ht="21.95" customHeight="1" thickTop="1" thickBot="1" x14ac:dyDescent="0.4">
      <c r="B5" s="71"/>
      <c r="C5" s="73" t="s">
        <v>491</v>
      </c>
      <c r="D5" s="72"/>
      <c r="E5" s="71"/>
      <c r="F5" s="71"/>
      <c r="G5" s="71"/>
      <c r="H5" s="71"/>
      <c r="I5" s="71" t="s">
        <v>526</v>
      </c>
      <c r="J5" s="71" t="s">
        <v>652</v>
      </c>
      <c r="K5" s="71"/>
      <c r="L5" s="71"/>
      <c r="M5" s="71"/>
      <c r="N5" s="71"/>
    </row>
    <row r="6" spans="1:14" ht="21.95" customHeight="1" thickTop="1" thickBot="1" x14ac:dyDescent="0.4">
      <c r="B6" s="71"/>
      <c r="C6" s="74" t="s">
        <v>490</v>
      </c>
      <c r="D6" s="520" t="s">
        <v>56</v>
      </c>
      <c r="E6" s="521" t="s">
        <v>56</v>
      </c>
      <c r="F6" s="521" t="s">
        <v>56</v>
      </c>
      <c r="G6" s="71" t="s">
        <v>56</v>
      </c>
      <c r="H6" s="71" t="s">
        <v>56</v>
      </c>
      <c r="I6" s="71" t="s">
        <v>56</v>
      </c>
      <c r="J6" s="71" t="s">
        <v>56</v>
      </c>
      <c r="K6" s="71" t="s">
        <v>56</v>
      </c>
      <c r="L6" s="71"/>
      <c r="M6" s="71"/>
      <c r="N6" s="71" t="s">
        <v>56</v>
      </c>
    </row>
    <row r="7" spans="1:14" ht="26.1" customHeight="1" thickTop="1" thickBot="1" x14ac:dyDescent="0.4">
      <c r="B7" s="200">
        <v>45022</v>
      </c>
      <c r="C7" s="514" t="s">
        <v>760</v>
      </c>
      <c r="D7" s="523">
        <f t="shared" ref="D7:D9" si="0">SUM(G7:J7)</f>
        <v>5400</v>
      </c>
      <c r="E7" s="524"/>
      <c r="F7" s="525">
        <f>D7</f>
        <v>5400</v>
      </c>
      <c r="G7" s="517">
        <v>5400</v>
      </c>
      <c r="H7" s="97"/>
      <c r="I7" s="97"/>
      <c r="J7" s="97"/>
      <c r="K7" s="98"/>
      <c r="L7" s="98"/>
      <c r="M7" s="98"/>
      <c r="N7" s="98"/>
    </row>
    <row r="8" spans="1:14" ht="26.1" customHeight="1" thickTop="1" thickBot="1" x14ac:dyDescent="0.4">
      <c r="B8" s="201">
        <v>45022</v>
      </c>
      <c r="C8" s="515" t="s">
        <v>486</v>
      </c>
      <c r="D8" s="526">
        <f t="shared" si="0"/>
        <v>100</v>
      </c>
      <c r="E8" s="96"/>
      <c r="F8" s="527">
        <f>F7+D8-E8</f>
        <v>5500</v>
      </c>
      <c r="G8" s="518"/>
      <c r="H8" s="99">
        <v>100</v>
      </c>
      <c r="I8" s="99"/>
      <c r="J8" s="99"/>
      <c r="K8" s="100"/>
      <c r="L8" s="100"/>
      <c r="M8" s="100"/>
      <c r="N8" s="100"/>
    </row>
    <row r="9" spans="1:14" ht="26.1" customHeight="1" thickTop="1" thickBot="1" x14ac:dyDescent="0.4">
      <c r="B9" s="201">
        <v>45049</v>
      </c>
      <c r="C9" s="515" t="s">
        <v>760</v>
      </c>
      <c r="D9" s="526">
        <f t="shared" si="0"/>
        <v>100</v>
      </c>
      <c r="E9" s="96"/>
      <c r="F9" s="527">
        <f t="shared" ref="F9:F20" si="1">F8+D9-E9</f>
        <v>5600</v>
      </c>
      <c r="G9" s="518">
        <v>100</v>
      </c>
      <c r="H9" s="99"/>
      <c r="I9" s="99"/>
      <c r="J9" s="99"/>
      <c r="K9" s="100"/>
      <c r="L9" s="100"/>
      <c r="M9" s="100"/>
      <c r="N9" s="100"/>
    </row>
    <row r="10" spans="1:14" ht="26.1" customHeight="1" thickTop="1" thickBot="1" x14ac:dyDescent="0.4">
      <c r="B10" s="201">
        <v>45291</v>
      </c>
      <c r="C10" s="515" t="s">
        <v>761</v>
      </c>
      <c r="D10" s="526">
        <f>SUM(G10:J10)</f>
        <v>166.24</v>
      </c>
      <c r="E10" s="96"/>
      <c r="F10" s="527">
        <f>F9+D10-E10</f>
        <v>5766.24</v>
      </c>
      <c r="G10" s="518"/>
      <c r="H10" s="99"/>
      <c r="I10" s="99">
        <v>166.24</v>
      </c>
      <c r="J10" s="99"/>
      <c r="K10" s="100"/>
      <c r="L10" s="100"/>
      <c r="M10" s="100"/>
      <c r="N10" s="100"/>
    </row>
    <row r="11" spans="1:14" ht="26.1" customHeight="1" thickTop="1" thickBot="1" x14ac:dyDescent="0.4">
      <c r="B11" s="201">
        <v>45349</v>
      </c>
      <c r="C11" s="515" t="s">
        <v>528</v>
      </c>
      <c r="D11" s="526">
        <f t="shared" ref="D11:D13" si="2">SUM(G11:J11)</f>
        <v>0</v>
      </c>
      <c r="E11" s="96">
        <f t="shared" ref="E11:E20" si="3">SUM(K11:N11)</f>
        <v>5400</v>
      </c>
      <c r="F11" s="527">
        <f t="shared" si="1"/>
        <v>366.23999999999978</v>
      </c>
      <c r="G11" s="518"/>
      <c r="H11" s="99"/>
      <c r="I11" s="99"/>
      <c r="J11" s="99"/>
      <c r="K11" s="100">
        <v>5400</v>
      </c>
      <c r="L11" s="100"/>
      <c r="M11" s="100"/>
      <c r="N11" s="100"/>
    </row>
    <row r="12" spans="1:14" ht="26.1" customHeight="1" thickTop="1" thickBot="1" x14ac:dyDescent="0.4">
      <c r="B12" s="201"/>
      <c r="C12" s="515"/>
      <c r="D12" s="526">
        <f t="shared" si="2"/>
        <v>0</v>
      </c>
      <c r="E12" s="96">
        <f t="shared" si="3"/>
        <v>0</v>
      </c>
      <c r="F12" s="527">
        <f>F11+D12-E12</f>
        <v>366.23999999999978</v>
      </c>
      <c r="G12" s="518"/>
      <c r="H12" s="99"/>
      <c r="I12" s="99"/>
      <c r="J12" s="99"/>
      <c r="K12" s="100"/>
      <c r="L12" s="100"/>
      <c r="M12" s="100"/>
      <c r="N12" s="100"/>
    </row>
    <row r="13" spans="1:14" ht="26.1" customHeight="1" thickTop="1" thickBot="1" x14ac:dyDescent="0.4">
      <c r="B13" s="201"/>
      <c r="C13" s="515"/>
      <c r="D13" s="526">
        <f t="shared" si="2"/>
        <v>0</v>
      </c>
      <c r="E13" s="96">
        <f t="shared" si="3"/>
        <v>0</v>
      </c>
      <c r="F13" s="527">
        <f t="shared" si="1"/>
        <v>366.23999999999978</v>
      </c>
      <c r="G13" s="518"/>
      <c r="H13" s="99"/>
      <c r="I13" s="99"/>
      <c r="J13" s="99"/>
      <c r="K13" s="100"/>
      <c r="L13" s="100"/>
      <c r="M13" s="100"/>
      <c r="N13" s="100"/>
    </row>
    <row r="14" spans="1:14" ht="26.1" customHeight="1" thickTop="1" thickBot="1" x14ac:dyDescent="0.4">
      <c r="B14" s="201"/>
      <c r="C14" s="515"/>
      <c r="D14" s="526"/>
      <c r="E14" s="96">
        <f t="shared" si="3"/>
        <v>0</v>
      </c>
      <c r="F14" s="527">
        <f t="shared" si="1"/>
        <v>366.23999999999978</v>
      </c>
      <c r="G14" s="518"/>
      <c r="H14" s="99"/>
      <c r="I14" s="99"/>
      <c r="J14" s="99"/>
      <c r="K14" s="100"/>
      <c r="L14" s="100"/>
      <c r="M14" s="100"/>
      <c r="N14" s="100"/>
    </row>
    <row r="15" spans="1:14" ht="26.1" customHeight="1" thickTop="1" thickBot="1" x14ac:dyDescent="0.4">
      <c r="B15" s="201"/>
      <c r="C15" s="515"/>
      <c r="D15" s="526"/>
      <c r="E15" s="96">
        <f t="shared" si="3"/>
        <v>0</v>
      </c>
      <c r="F15" s="527">
        <f t="shared" si="1"/>
        <v>366.23999999999978</v>
      </c>
      <c r="G15" s="518"/>
      <c r="H15" s="99"/>
      <c r="I15" s="99"/>
      <c r="J15" s="99"/>
      <c r="K15" s="100"/>
      <c r="L15" s="100"/>
      <c r="M15" s="100"/>
      <c r="N15" s="100"/>
    </row>
    <row r="16" spans="1:14" ht="26.1" customHeight="1" thickTop="1" thickBot="1" x14ac:dyDescent="0.4">
      <c r="B16" s="201"/>
      <c r="C16" s="515"/>
      <c r="D16" s="526"/>
      <c r="E16" s="96">
        <f t="shared" si="3"/>
        <v>0</v>
      </c>
      <c r="F16" s="527">
        <f t="shared" si="1"/>
        <v>366.23999999999978</v>
      </c>
      <c r="G16" s="518"/>
      <c r="H16" s="99"/>
      <c r="I16" s="99"/>
      <c r="J16" s="99"/>
      <c r="K16" s="100"/>
      <c r="L16" s="100"/>
      <c r="M16" s="100"/>
      <c r="N16" s="100"/>
    </row>
    <row r="17" spans="2:14" ht="26.1" customHeight="1" thickTop="1" thickBot="1" x14ac:dyDescent="0.4">
      <c r="B17" s="201"/>
      <c r="C17" s="515"/>
      <c r="D17" s="526"/>
      <c r="E17" s="96">
        <f t="shared" si="3"/>
        <v>0</v>
      </c>
      <c r="F17" s="527">
        <f t="shared" si="1"/>
        <v>366.23999999999978</v>
      </c>
      <c r="G17" s="518"/>
      <c r="H17" s="99"/>
      <c r="I17" s="99"/>
      <c r="J17" s="99"/>
      <c r="K17" s="100"/>
      <c r="L17" s="100"/>
      <c r="M17" s="100"/>
      <c r="N17" s="100"/>
    </row>
    <row r="18" spans="2:14" ht="26.1" customHeight="1" thickTop="1" thickBot="1" x14ac:dyDescent="0.4">
      <c r="B18" s="201"/>
      <c r="C18" s="515"/>
      <c r="D18" s="526"/>
      <c r="E18" s="96">
        <f t="shared" si="3"/>
        <v>0</v>
      </c>
      <c r="F18" s="527">
        <f t="shared" si="1"/>
        <v>366.23999999999978</v>
      </c>
      <c r="G18" s="518"/>
      <c r="H18" s="99"/>
      <c r="I18" s="99"/>
      <c r="J18" s="99"/>
      <c r="K18" s="100"/>
      <c r="L18" s="100"/>
      <c r="M18" s="100"/>
      <c r="N18" s="100"/>
    </row>
    <row r="19" spans="2:14" ht="26.1" customHeight="1" thickTop="1" thickBot="1" x14ac:dyDescent="0.4">
      <c r="B19" s="201"/>
      <c r="C19" s="515"/>
      <c r="D19" s="526"/>
      <c r="E19" s="96">
        <f t="shared" si="3"/>
        <v>0</v>
      </c>
      <c r="F19" s="527">
        <f t="shared" si="1"/>
        <v>366.23999999999978</v>
      </c>
      <c r="G19" s="518"/>
      <c r="H19" s="99"/>
      <c r="I19" s="99"/>
      <c r="J19" s="99"/>
      <c r="K19" s="100"/>
      <c r="L19" s="100"/>
      <c r="M19" s="100"/>
      <c r="N19" s="100"/>
    </row>
    <row r="20" spans="2:14" ht="26.1" customHeight="1" thickTop="1" thickBot="1" x14ac:dyDescent="0.4">
      <c r="B20" s="201"/>
      <c r="C20" s="515"/>
      <c r="D20" s="526"/>
      <c r="E20" s="96">
        <f t="shared" si="3"/>
        <v>0</v>
      </c>
      <c r="F20" s="527">
        <f t="shared" si="1"/>
        <v>366.23999999999978</v>
      </c>
      <c r="G20" s="518"/>
      <c r="H20" s="99"/>
      <c r="I20" s="99"/>
      <c r="J20" s="99"/>
      <c r="K20" s="100"/>
      <c r="L20" s="100"/>
      <c r="M20" s="100"/>
      <c r="N20" s="100"/>
    </row>
    <row r="21" spans="2:14" ht="26.1" customHeight="1" thickTop="1" thickBot="1" x14ac:dyDescent="0.4">
      <c r="B21" s="202"/>
      <c r="C21" s="516"/>
      <c r="D21" s="528"/>
      <c r="E21" s="529"/>
      <c r="F21" s="530"/>
      <c r="G21" s="519"/>
      <c r="H21" s="101"/>
      <c r="I21" s="101"/>
      <c r="J21" s="101"/>
      <c r="K21" s="102"/>
      <c r="L21" s="102"/>
      <c r="M21" s="102"/>
      <c r="N21" s="102"/>
    </row>
    <row r="22" spans="2:14" s="81" customFormat="1" ht="26.45" customHeight="1" thickTop="1" thickBot="1" x14ac:dyDescent="0.45">
      <c r="B22" s="103">
        <f>SUBTOTAL(3,B7:B21)</f>
        <v>5</v>
      </c>
      <c r="C22" s="103">
        <f>SUBTOTAL(3,C7:C21)</f>
        <v>5</v>
      </c>
      <c r="D22" s="522">
        <f>SUBTOTAL(9,D7:D21)</f>
        <v>5766.24</v>
      </c>
      <c r="E22" s="522">
        <f>SUBTOTAL(9,E7:E21)</f>
        <v>5400</v>
      </c>
      <c r="F22" s="522">
        <f>D22-E22</f>
        <v>366.23999999999978</v>
      </c>
      <c r="G22" s="104">
        <f t="shared" ref="G22:N22" si="4">SUBTOTAL(9,G7:G21)</f>
        <v>5500</v>
      </c>
      <c r="H22" s="104">
        <f t="shared" si="4"/>
        <v>100</v>
      </c>
      <c r="I22" s="104">
        <f t="shared" si="4"/>
        <v>166.24</v>
      </c>
      <c r="J22" s="104">
        <f t="shared" si="4"/>
        <v>0</v>
      </c>
      <c r="K22" s="104">
        <f t="shared" si="4"/>
        <v>5400</v>
      </c>
      <c r="L22" s="104">
        <f t="shared" si="4"/>
        <v>0</v>
      </c>
      <c r="M22" s="104">
        <f t="shared" si="4"/>
        <v>0</v>
      </c>
      <c r="N22" s="104">
        <f t="shared" si="4"/>
        <v>0</v>
      </c>
    </row>
    <row r="23" spans="2:14" ht="20.100000000000001" customHeight="1" thickTop="1" x14ac:dyDescent="0.25"/>
  </sheetData>
  <autoFilter ref="B6:N6" xr:uid="{00000000-0009-0000-0000-00001C000000}"/>
  <mergeCells count="1">
    <mergeCell ref="B3:L3"/>
  </mergeCells>
  <conditionalFormatting sqref="B22:N22">
    <cfRule type="cellIs" dxfId="45" priority="3" operator="equal">
      <formula>0</formula>
    </cfRule>
  </conditionalFormatting>
  <conditionalFormatting sqref="D7:F21">
    <cfRule type="cellIs" dxfId="44" priority="1" operator="equal">
      <formula>0</formula>
    </cfRule>
    <cfRule type="cellIs" dxfId="43" priority="2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F0"/>
  </sheetPr>
  <dimension ref="A1:O35"/>
  <sheetViews>
    <sheetView topLeftCell="A3" workbookViewId="0">
      <pane xSplit="8" ySplit="5" topLeftCell="K8" activePane="bottomRight" state="frozen"/>
      <selection pane="topRight"/>
      <selection pane="bottomLeft"/>
      <selection pane="bottomRight" activeCell="F12" sqref="F12"/>
    </sheetView>
  </sheetViews>
  <sheetFormatPr defaultColWidth="9.140625" defaultRowHeight="21.95" customHeight="1" x14ac:dyDescent="0.25"/>
  <cols>
    <col min="1" max="1" width="2.42578125" style="77" customWidth="1"/>
    <col min="2" max="2" width="9.28515625" style="19" customWidth="1"/>
    <col min="3" max="3" width="42.42578125" style="80" bestFit="1" customWidth="1"/>
    <col min="4" max="4" width="23.5703125" style="80" bestFit="1" customWidth="1"/>
    <col min="5" max="5" width="24.140625" style="80" bestFit="1" customWidth="1"/>
    <col min="6" max="8" width="23.7109375" style="77" customWidth="1"/>
    <col min="9" max="12" width="21.7109375" style="77" bestFit="1" customWidth="1"/>
    <col min="13" max="13" width="21.7109375" style="77" customWidth="1"/>
    <col min="14" max="14" width="9.140625" style="77"/>
    <col min="15" max="15" width="20.140625" style="77" customWidth="1"/>
    <col min="16" max="16384" width="9.140625" style="77"/>
  </cols>
  <sheetData>
    <row r="1" spans="1:15" ht="18" x14ac:dyDescent="0.25">
      <c r="B1" s="89" t="s">
        <v>523</v>
      </c>
      <c r="C1" s="76"/>
      <c r="D1" s="76"/>
      <c r="E1" s="76"/>
    </row>
    <row r="2" spans="1:15" ht="22.5" customHeight="1" x14ac:dyDescent="0.25">
      <c r="B2" s="77"/>
      <c r="C2" s="76"/>
      <c r="D2" s="76"/>
      <c r="E2" s="76"/>
    </row>
    <row r="3" spans="1:15" ht="18" x14ac:dyDescent="0.25">
      <c r="A3" s="89"/>
      <c r="B3" s="76"/>
      <c r="C3" s="77"/>
      <c r="D3" s="77"/>
      <c r="E3" s="77"/>
    </row>
    <row r="4" spans="1:15" ht="22.5" customHeight="1" x14ac:dyDescent="0.25">
      <c r="B4" s="76"/>
      <c r="C4" s="77"/>
      <c r="D4" s="77"/>
      <c r="E4" s="77"/>
    </row>
    <row r="5" spans="1:15" s="70" customFormat="1" ht="42" customHeight="1" thickBot="1" x14ac:dyDescent="0.8">
      <c r="C5" s="1077" t="s">
        <v>698</v>
      </c>
      <c r="D5" s="1077"/>
      <c r="E5" s="1077"/>
      <c r="F5" s="1077"/>
      <c r="G5" s="1077"/>
      <c r="H5" s="1077"/>
      <c r="I5" s="115"/>
      <c r="J5" s="82"/>
      <c r="K5" s="82"/>
      <c r="L5" s="82"/>
      <c r="M5" s="82"/>
    </row>
    <row r="6" spans="1:15" s="9" customFormat="1" ht="48" thickTop="1" thickBot="1" x14ac:dyDescent="0.4">
      <c r="B6" s="217" t="s">
        <v>125</v>
      </c>
      <c r="C6" s="217" t="s">
        <v>57</v>
      </c>
      <c r="D6" s="217" t="s">
        <v>654</v>
      </c>
      <c r="E6" s="217" t="s">
        <v>60</v>
      </c>
      <c r="F6" s="217" t="s">
        <v>124</v>
      </c>
      <c r="G6" s="234" t="s">
        <v>655</v>
      </c>
      <c r="H6" s="217" t="s">
        <v>55</v>
      </c>
      <c r="I6" s="217" t="s">
        <v>647</v>
      </c>
      <c r="J6" s="217" t="s">
        <v>648</v>
      </c>
      <c r="K6" s="217" t="s">
        <v>649</v>
      </c>
      <c r="L6" s="217" t="s">
        <v>670</v>
      </c>
      <c r="M6" s="217" t="s">
        <v>1035</v>
      </c>
      <c r="O6" s="415" t="s">
        <v>942</v>
      </c>
    </row>
    <row r="7" spans="1:15" s="81" customFormat="1" ht="30.75" customHeight="1" thickTop="1" thickBot="1" x14ac:dyDescent="0.45">
      <c r="B7" s="132"/>
      <c r="C7" s="132"/>
      <c r="D7" s="132"/>
      <c r="E7" s="132"/>
      <c r="F7" s="132" t="s">
        <v>56</v>
      </c>
      <c r="G7" s="133" t="s">
        <v>56</v>
      </c>
      <c r="H7" s="132" t="s">
        <v>56</v>
      </c>
      <c r="I7" s="132" t="s">
        <v>56</v>
      </c>
      <c r="J7" s="132" t="s">
        <v>56</v>
      </c>
      <c r="K7" s="132" t="s">
        <v>56</v>
      </c>
      <c r="L7" s="132"/>
      <c r="M7" s="132"/>
    </row>
    <row r="8" spans="1:15" s="9" customFormat="1" ht="26.1" customHeight="1" thickBot="1" x14ac:dyDescent="0.45">
      <c r="B8" s="305">
        <v>1</v>
      </c>
      <c r="C8" s="324" t="s">
        <v>186</v>
      </c>
      <c r="D8" s="306" t="str">
        <f>IFERROR(VLOOKUP($C8,'MEMBERS LIST'!$C$5:$I$29,7,0),0)</f>
        <v>054 726 1159</v>
      </c>
      <c r="E8" s="307" t="str">
        <f>IF(H8&gt;=2000,"REMOVED",IF(H8&gt;=1000,"INACTIVE",IF(H8&gt;=600,"PROBATION","ACTIVE")))</f>
        <v>ACTIVE</v>
      </c>
      <c r="F8" s="308">
        <f>IFERROR(VLOOKUP($C8,'YEARLY DUES FEES'!$C$5:$D$29,2,0),0)</f>
        <v>3900</v>
      </c>
      <c r="G8" s="309">
        <f t="shared" ref="G8:G31" si="0">SUM(I8:M8)</f>
        <v>3900</v>
      </c>
      <c r="H8" s="310">
        <f t="shared" ref="H8:H31" si="1">F8-G8</f>
        <v>0</v>
      </c>
      <c r="I8" s="311">
        <f>IFERROR(VLOOKUP($C8,'MONTHLY DUES 2023'!$C$5:$D$24,2,0),0)</f>
        <v>600</v>
      </c>
      <c r="J8" s="311">
        <f>IFERROR(VLOOKUP($C8,'MONTHLY DUES 2024'!$C$5:$D$24,2,0),0)</f>
        <v>900</v>
      </c>
      <c r="K8" s="311">
        <f>IFERROR(VLOOKUP($C8,'MONTHLY DUES 2025'!$C$5:$D$27,2,0),0)</f>
        <v>1200</v>
      </c>
      <c r="L8" s="312">
        <f>IFERROR(VLOOKUP($C8,'MONTHLY DUES 2026'!$C$5:$D$25,2,0),0)</f>
        <v>1200</v>
      </c>
      <c r="M8" s="312">
        <f>IFERROR(VLOOKUP($C8,'MONTHLY DUES 2027'!$C$5:$D$25,2,0),0)</f>
        <v>0</v>
      </c>
    </row>
    <row r="9" spans="1:15" s="9" customFormat="1" ht="26.1" customHeight="1" thickTop="1" thickBot="1" x14ac:dyDescent="0.45">
      <c r="B9" s="305">
        <v>2</v>
      </c>
      <c r="C9" s="324" t="s">
        <v>351</v>
      </c>
      <c r="D9" s="306" t="str">
        <f>IFERROR(VLOOKUP($C9,'MEMBERS LIST'!$C$5:$I$29,7,0),0)</f>
        <v>024 310 9072</v>
      </c>
      <c r="E9" s="307" t="str">
        <f>IF(H9&gt;=2000,"REMOVED",IF(H9&gt;=1000,"INACTIVE",IF(H9&gt;=600,"PROBATION","ACTIVE")))</f>
        <v>ACTIVE</v>
      </c>
      <c r="F9" s="308">
        <f>IFERROR(VLOOKUP($C9,'YEARLY DUES FEES'!$C$5:$D$29,2,0),0)</f>
        <v>3300</v>
      </c>
      <c r="G9" s="309">
        <f t="shared" si="0"/>
        <v>3300</v>
      </c>
      <c r="H9" s="310">
        <f t="shared" si="1"/>
        <v>0</v>
      </c>
      <c r="I9" s="311">
        <f>IFERROR(VLOOKUP($C9,'MONTHLY DUES 2023'!$C$5:$D$24,2,0),0)</f>
        <v>0</v>
      </c>
      <c r="J9" s="311">
        <f>IFERROR(VLOOKUP($C9,'MONTHLY DUES 2024'!$C$5:$D$24,2,0),0)</f>
        <v>900</v>
      </c>
      <c r="K9" s="311">
        <f>IFERROR(VLOOKUP($C9,'MONTHLY DUES 2025'!$C$5:$D$27,2,0),0)</f>
        <v>1200</v>
      </c>
      <c r="L9" s="312">
        <f>IFERROR(VLOOKUP($C9,'MONTHLY DUES 2026'!$C$5:$D$25,2,0),0)</f>
        <v>1200</v>
      </c>
      <c r="M9" s="312">
        <f>IFERROR(VLOOKUP($C9,'MONTHLY DUES 2027'!$C$5:$D$25,2,0),0)</f>
        <v>0</v>
      </c>
    </row>
    <row r="10" spans="1:15" s="9" customFormat="1" ht="26.1" customHeight="1" thickTop="1" thickBot="1" x14ac:dyDescent="0.45">
      <c r="B10" s="313">
        <v>3</v>
      </c>
      <c r="C10" s="304" t="s">
        <v>62</v>
      </c>
      <c r="D10" s="306" t="str">
        <f>IFERROR(VLOOKUP($C10,'MEMBERS LIST'!$C$5:$I$29,7,0),0)</f>
        <v>024 214 5516</v>
      </c>
      <c r="E10" s="307" t="str">
        <f t="shared" ref="E10:E31" si="2">IF(H10&gt;=2000,"REMOVED",IF(H10&gt;=1000,"INACTIVE",IF(H10&gt;=600,"PROBATION","ACTIVE")))</f>
        <v>ACTIVE</v>
      </c>
      <c r="F10" s="300">
        <f>IFERROR(VLOOKUP($C10,'YEARLY DUES FEES'!$C$5:$D$29,2,0),0)</f>
        <v>3900</v>
      </c>
      <c r="G10" s="301">
        <f t="shared" si="0"/>
        <v>3900</v>
      </c>
      <c r="H10" s="302">
        <f t="shared" si="1"/>
        <v>0</v>
      </c>
      <c r="I10" s="303">
        <f>IFERROR(VLOOKUP($C10,'MONTHLY DUES 2023'!$C$5:$D$24,2,0),0)</f>
        <v>600</v>
      </c>
      <c r="J10" s="303">
        <f>IFERROR(VLOOKUP($C10,'MONTHLY DUES 2024'!$C$5:$D$24,2,0),0)</f>
        <v>900</v>
      </c>
      <c r="K10" s="303">
        <f>IFERROR(VLOOKUP($C10,'MONTHLY DUES 2025'!$C$5:$D$27,2,0),0)</f>
        <v>1200</v>
      </c>
      <c r="L10" s="314">
        <f>IFERROR(VLOOKUP($C10,'MONTHLY DUES 2026'!$C$5:$D$25,2,0),0)</f>
        <v>1200</v>
      </c>
      <c r="M10" s="312">
        <f>IFERROR(VLOOKUP($C10,'MONTHLY DUES 2027'!$C$5:$D$25,2,0),0)</f>
        <v>0</v>
      </c>
    </row>
    <row r="11" spans="1:15" s="9" customFormat="1" ht="26.1" customHeight="1" thickTop="1" thickBot="1" x14ac:dyDescent="0.45">
      <c r="B11" s="305">
        <v>4</v>
      </c>
      <c r="C11" s="298" t="s">
        <v>134</v>
      </c>
      <c r="D11" s="306" t="str">
        <f>IFERROR(VLOOKUP($C11,'MEMBERS LIST'!$C$5:$I$29,7,0),0)</f>
        <v>020 354 1966</v>
      </c>
      <c r="E11" s="307" t="str">
        <f t="shared" si="2"/>
        <v>ACTIVE</v>
      </c>
      <c r="F11" s="300">
        <f>IFERROR(VLOOKUP($C11,'YEARLY DUES FEES'!$C$5:$D$29,2,0),0)</f>
        <v>3900</v>
      </c>
      <c r="G11" s="301">
        <f t="shared" si="0"/>
        <v>3900</v>
      </c>
      <c r="H11" s="302">
        <f t="shared" si="1"/>
        <v>0</v>
      </c>
      <c r="I11" s="303">
        <f>IFERROR(VLOOKUP($C11,'MONTHLY DUES 2023'!$C$5:$D$24,2,0),0)</f>
        <v>600</v>
      </c>
      <c r="J11" s="303">
        <f>IFERROR(VLOOKUP($C11,'MONTHLY DUES 2024'!$C$5:$D$24,2,0),0)</f>
        <v>900</v>
      </c>
      <c r="K11" s="303">
        <f>IFERROR(VLOOKUP($C11,'MONTHLY DUES 2025'!$C$5:$D$27,2,0),0)</f>
        <v>1200</v>
      </c>
      <c r="L11" s="314">
        <f>IFERROR(VLOOKUP($C11,'MONTHLY DUES 2026'!$C$5:$D$25,2,0),0)</f>
        <v>1200</v>
      </c>
      <c r="M11" s="312">
        <f>IFERROR(VLOOKUP($C11,'MONTHLY DUES 2027'!$C$5:$D$25,2,0),0)</f>
        <v>0</v>
      </c>
    </row>
    <row r="12" spans="1:15" s="9" customFormat="1" ht="26.1" customHeight="1" thickTop="1" thickBot="1" x14ac:dyDescent="0.45">
      <c r="B12" s="313">
        <v>5</v>
      </c>
      <c r="C12" s="298" t="s">
        <v>213</v>
      </c>
      <c r="D12" s="306" t="str">
        <f>IFERROR(VLOOKUP($C12,'MEMBERS LIST'!$C$5:$I$29,7,0),0)</f>
        <v>026 956 3876</v>
      </c>
      <c r="E12" s="307" t="str">
        <f t="shared" si="2"/>
        <v>ACTIVE</v>
      </c>
      <c r="F12" s="300">
        <f>IFERROR(VLOOKUP($C12,'YEARLY DUES FEES'!$C$5:$D$29,2,0),0)</f>
        <v>3900</v>
      </c>
      <c r="G12" s="301">
        <f t="shared" si="0"/>
        <v>3900</v>
      </c>
      <c r="H12" s="302">
        <f t="shared" si="1"/>
        <v>0</v>
      </c>
      <c r="I12" s="303">
        <f>IFERROR(VLOOKUP($C12,'MONTHLY DUES 2023'!$C$5:$D$24,2,0),0)</f>
        <v>600</v>
      </c>
      <c r="J12" s="303">
        <f>IFERROR(VLOOKUP($C12,'MONTHLY DUES 2024'!$C$5:$D$24,2,0),0)</f>
        <v>900</v>
      </c>
      <c r="K12" s="303">
        <f>IFERROR(VLOOKUP($C12,'MONTHLY DUES 2025'!$C$5:$D$27,2,0),0)</f>
        <v>1200</v>
      </c>
      <c r="L12" s="314">
        <f>IFERROR(VLOOKUP($C12,'MONTHLY DUES 2026'!$C$5:$D$25,2,0),0)</f>
        <v>1200</v>
      </c>
      <c r="M12" s="312">
        <f>IFERROR(VLOOKUP($C12,'MONTHLY DUES 2027'!$C$5:$D$25,2,0),0)</f>
        <v>0</v>
      </c>
    </row>
    <row r="13" spans="1:15" s="9" customFormat="1" ht="26.1" customHeight="1" thickTop="1" thickBot="1" x14ac:dyDescent="0.45">
      <c r="B13" s="305">
        <v>6</v>
      </c>
      <c r="C13" s="304" t="s">
        <v>75</v>
      </c>
      <c r="D13" s="306" t="str">
        <f>IFERROR(VLOOKUP($C13,'MEMBERS LIST'!$C$5:$I$29,7,0),0)</f>
        <v>024 788 0895</v>
      </c>
      <c r="E13" s="307" t="str">
        <f t="shared" si="2"/>
        <v>ACTIVE</v>
      </c>
      <c r="F13" s="300">
        <f>IFERROR(VLOOKUP($C13,'YEARLY DUES FEES'!$C$5:$D$29,2,0),0)</f>
        <v>3900</v>
      </c>
      <c r="G13" s="301">
        <f t="shared" si="0"/>
        <v>3700</v>
      </c>
      <c r="H13" s="302">
        <f t="shared" si="1"/>
        <v>200</v>
      </c>
      <c r="I13" s="303">
        <f>IFERROR(VLOOKUP($C13,'MONTHLY DUES 2023'!$C$5:$D$24,2,0),0)</f>
        <v>600</v>
      </c>
      <c r="J13" s="303">
        <f>IFERROR(VLOOKUP($C13,'MONTHLY DUES 2024'!$C$5:$D$24,2,0),0)</f>
        <v>900</v>
      </c>
      <c r="K13" s="303">
        <f>IFERROR(VLOOKUP($C13,'MONTHLY DUES 2025'!$C$5:$D$27,2,0),0)</f>
        <v>1200</v>
      </c>
      <c r="L13" s="314">
        <f>IFERROR(VLOOKUP($C13,'MONTHLY DUES 2026'!$C$5:$D$25,2,0),0)</f>
        <v>1000</v>
      </c>
      <c r="M13" s="312">
        <f>IFERROR(VLOOKUP($C13,'MONTHLY DUES 2027'!$C$5:$D$25,2,0),0)</f>
        <v>0</v>
      </c>
    </row>
    <row r="14" spans="1:15" s="9" customFormat="1" ht="26.1" customHeight="1" thickTop="1" thickBot="1" x14ac:dyDescent="0.45">
      <c r="B14" s="313">
        <v>7</v>
      </c>
      <c r="C14" s="298" t="s">
        <v>758</v>
      </c>
      <c r="D14" s="306" t="str">
        <f>IFERROR(VLOOKUP($C14,'MEMBERS LIST'!$C$5:$I$29,7,0),0)</f>
        <v>024 406 7032</v>
      </c>
      <c r="E14" s="307" t="str">
        <f t="shared" si="2"/>
        <v>ACTIVE</v>
      </c>
      <c r="F14" s="300">
        <f>IFERROR(VLOOKUP($C14,'YEARLY DUES FEES'!$C$5:$D$29,2,0),0)</f>
        <v>3900</v>
      </c>
      <c r="G14" s="301">
        <f t="shared" si="0"/>
        <v>3700</v>
      </c>
      <c r="H14" s="302">
        <f t="shared" si="1"/>
        <v>200</v>
      </c>
      <c r="I14" s="303">
        <f>IFERROR(VLOOKUP($C14,'MONTHLY DUES 2023'!$C$5:$D$24,2,0),0)</f>
        <v>600</v>
      </c>
      <c r="J14" s="303">
        <f>IFERROR(VLOOKUP($C14,'MONTHLY DUES 2024'!$C$5:$D$24,2,0),0)</f>
        <v>900</v>
      </c>
      <c r="K14" s="303">
        <f>IFERROR(VLOOKUP($C14,'MONTHLY DUES 2025'!$C$5:$D$27,2,0),0)</f>
        <v>1200</v>
      </c>
      <c r="L14" s="314">
        <f>IFERROR(VLOOKUP($C14,'MONTHLY DUES 2026'!$C$5:$D$25,2,0),0)</f>
        <v>1000</v>
      </c>
      <c r="M14" s="312">
        <f>IFERROR(VLOOKUP($C14,'MONTHLY DUES 2027'!$C$5:$D$25,2,0),0)</f>
        <v>0</v>
      </c>
    </row>
    <row r="15" spans="1:15" s="9" customFormat="1" ht="26.1" customHeight="1" thickTop="1" thickBot="1" x14ac:dyDescent="0.45">
      <c r="B15" s="305">
        <v>8</v>
      </c>
      <c r="C15" s="298" t="s">
        <v>620</v>
      </c>
      <c r="D15" s="306" t="str">
        <f>IFERROR(VLOOKUP($C15,'MEMBERS LIST'!$C$5:$I$29,7,0),0)</f>
        <v>024 343 0617</v>
      </c>
      <c r="E15" s="307" t="str">
        <f t="shared" si="2"/>
        <v>ACTIVE</v>
      </c>
      <c r="F15" s="300">
        <f>IFERROR(VLOOKUP($C15,'YEARLY DUES FEES'!$C$5:$D$29,2,0),0)</f>
        <v>3300</v>
      </c>
      <c r="G15" s="301">
        <f t="shared" si="0"/>
        <v>3000</v>
      </c>
      <c r="H15" s="302">
        <f t="shared" si="1"/>
        <v>300</v>
      </c>
      <c r="I15" s="303">
        <f>IFERROR(VLOOKUP($C15,'MONTHLY DUES 2023'!$C$5:$D$24,2,0),0)</f>
        <v>0</v>
      </c>
      <c r="J15" s="303">
        <f>IFERROR(VLOOKUP($C15,'MONTHLY DUES 2024'!$C$5:$D$24,2,0),0)</f>
        <v>900</v>
      </c>
      <c r="K15" s="303">
        <f>IFERROR(VLOOKUP($C15,'MONTHLY DUES 2025'!$C$5:$D$27,2,0),0)</f>
        <v>1200</v>
      </c>
      <c r="L15" s="314">
        <f>IFERROR(VLOOKUP($C15,'MONTHLY DUES 2026'!$C$5:$D$25,2,0),0)</f>
        <v>900</v>
      </c>
      <c r="M15" s="312">
        <f>IFERROR(VLOOKUP($C15,'MONTHLY DUES 2027'!$C$5:$D$25,2,0),0)</f>
        <v>0</v>
      </c>
    </row>
    <row r="16" spans="1:15" s="9" customFormat="1" ht="26.1" customHeight="1" thickTop="1" thickBot="1" x14ac:dyDescent="0.45">
      <c r="B16" s="313">
        <v>9</v>
      </c>
      <c r="C16" s="298" t="s">
        <v>1136</v>
      </c>
      <c r="D16" s="306" t="str">
        <f>IFERROR(VLOOKUP($C16,'MEMBERS LIST'!$C$5:$I$29,7,0),0)</f>
        <v>024 312 9927</v>
      </c>
      <c r="E16" s="307" t="str">
        <f t="shared" si="2"/>
        <v>ACTIVE</v>
      </c>
      <c r="F16" s="300">
        <f>IFERROR(VLOOKUP($C16,'YEARLY DUES FEES'!$C$5:$D$29,2,0),0)</f>
        <v>1200</v>
      </c>
      <c r="G16" s="301">
        <f t="shared" si="0"/>
        <v>900</v>
      </c>
      <c r="H16" s="302">
        <f t="shared" si="1"/>
        <v>300</v>
      </c>
      <c r="I16" s="303">
        <f>IFERROR(VLOOKUP($C16,'MONTHLY DUES 2023'!$C$5:$D$24,2,0),0)</f>
        <v>0</v>
      </c>
      <c r="J16" s="303">
        <f>IFERROR(VLOOKUP($C16,'MONTHLY DUES 2024'!$C$5:$D$24,2,0),0)</f>
        <v>0</v>
      </c>
      <c r="K16" s="303">
        <f>IFERROR(VLOOKUP($C16,'MONTHLY DUES 2025'!$C$5:$D$27,2,0),0)</f>
        <v>0</v>
      </c>
      <c r="L16" s="314">
        <f>IFERROR(VLOOKUP($C16,'MONTHLY DUES 2026'!$C$5:$D$25,2,0),0)</f>
        <v>900</v>
      </c>
      <c r="M16" s="312">
        <f>IFERROR(VLOOKUP($C16,'MONTHLY DUES 2027'!$C$5:$D$25,2,0),0)</f>
        <v>0</v>
      </c>
    </row>
    <row r="17" spans="1:13" s="9" customFormat="1" ht="26.1" customHeight="1" thickTop="1" thickBot="1" x14ac:dyDescent="0.45">
      <c r="B17" s="305">
        <v>10</v>
      </c>
      <c r="C17" s="298" t="s">
        <v>346</v>
      </c>
      <c r="D17" s="306" t="str">
        <f>IFERROR(VLOOKUP($C17,'MEMBERS LIST'!$C$5:$I$29,7,0),0)</f>
        <v>024 453 3372</v>
      </c>
      <c r="E17" s="307" t="str">
        <f t="shared" si="2"/>
        <v>ACTIVE</v>
      </c>
      <c r="F17" s="300">
        <f>IFERROR(VLOOKUP($C17,'YEARLY DUES FEES'!$C$5:$D$29,2,0),0)</f>
        <v>3900</v>
      </c>
      <c r="G17" s="301">
        <f t="shared" si="0"/>
        <v>3600</v>
      </c>
      <c r="H17" s="302">
        <f t="shared" si="1"/>
        <v>300</v>
      </c>
      <c r="I17" s="303">
        <f>IFERROR(VLOOKUP($C17,'MONTHLY DUES 2023'!$C$5:$D$24,2,0),0)</f>
        <v>600</v>
      </c>
      <c r="J17" s="303">
        <f>IFERROR(VLOOKUP($C17,'MONTHLY DUES 2024'!$C$5:$D$24,2,0),0)</f>
        <v>900</v>
      </c>
      <c r="K17" s="303">
        <f>IFERROR(VLOOKUP($C17,'MONTHLY DUES 2025'!$C$5:$D$27,2,0),0)</f>
        <v>1200</v>
      </c>
      <c r="L17" s="314">
        <f>IFERROR(VLOOKUP($C17,'MONTHLY DUES 2026'!$C$5:$D$25,2,0),0)</f>
        <v>900</v>
      </c>
      <c r="M17" s="312">
        <f>IFERROR(VLOOKUP($C17,'MONTHLY DUES 2027'!$C$5:$D$25,2,0),0)</f>
        <v>0</v>
      </c>
    </row>
    <row r="18" spans="1:13" s="9" customFormat="1" ht="26.1" customHeight="1" thickTop="1" thickBot="1" x14ac:dyDescent="0.45">
      <c r="B18" s="313">
        <v>11</v>
      </c>
      <c r="C18" s="298" t="s">
        <v>410</v>
      </c>
      <c r="D18" s="306" t="str">
        <f>IFERROR(VLOOKUP($C18,'MEMBERS LIST'!$C$5:$I$29,7,0),0)</f>
        <v>024 046 6830</v>
      </c>
      <c r="E18" s="307" t="str">
        <f t="shared" si="2"/>
        <v>ACTIVE</v>
      </c>
      <c r="F18" s="300">
        <f>IFERROR(VLOOKUP($C18,'YEARLY DUES FEES'!$C$5:$D$29,2,0),0)</f>
        <v>3900</v>
      </c>
      <c r="G18" s="301">
        <f t="shared" si="0"/>
        <v>3500</v>
      </c>
      <c r="H18" s="302">
        <f t="shared" si="1"/>
        <v>400</v>
      </c>
      <c r="I18" s="303">
        <f>IFERROR(VLOOKUP($C18,'MONTHLY DUES 2023'!$C$5:$D$24,2,0),0)</f>
        <v>600</v>
      </c>
      <c r="J18" s="303">
        <f>IFERROR(VLOOKUP($C18,'MONTHLY DUES 2024'!$C$5:$D$24,2,0),0)</f>
        <v>900</v>
      </c>
      <c r="K18" s="303">
        <f>IFERROR(VLOOKUP($C18,'MONTHLY DUES 2025'!$C$5:$D$27,2,0),0)</f>
        <v>1200</v>
      </c>
      <c r="L18" s="314">
        <f>IFERROR(VLOOKUP($C18,'MONTHLY DUES 2026'!$C$5:$D$25,2,0),0)</f>
        <v>800</v>
      </c>
      <c r="M18" s="312">
        <f>IFERROR(VLOOKUP($C18,'MONTHLY DUES 2027'!$C$5:$D$25,2,0),0)</f>
        <v>0</v>
      </c>
    </row>
    <row r="19" spans="1:13" s="9" customFormat="1" ht="26.1" customHeight="1" thickTop="1" thickBot="1" x14ac:dyDescent="0.45">
      <c r="B19" s="305">
        <v>12</v>
      </c>
      <c r="C19" s="304" t="s">
        <v>524</v>
      </c>
      <c r="D19" s="306" t="str">
        <f>IFERROR(VLOOKUP($C19,'MEMBERS LIST'!$C$5:$I$29,7,0),0)</f>
        <v>024 428 3224</v>
      </c>
      <c r="E19" s="307" t="str">
        <f t="shared" si="2"/>
        <v>ACTIVE</v>
      </c>
      <c r="F19" s="300">
        <f>IFERROR(VLOOKUP($C19,'YEARLY DUES FEES'!$C$5:$D$29,2,0),0)</f>
        <v>3900</v>
      </c>
      <c r="G19" s="301">
        <f t="shared" si="0"/>
        <v>3500</v>
      </c>
      <c r="H19" s="302">
        <f t="shared" si="1"/>
        <v>400</v>
      </c>
      <c r="I19" s="303">
        <f>IFERROR(VLOOKUP($C19,'MONTHLY DUES 2023'!$C$5:$D$24,2,0),0)</f>
        <v>600</v>
      </c>
      <c r="J19" s="303">
        <f>IFERROR(VLOOKUP($C19,'MONTHLY DUES 2024'!$C$5:$D$24,2,0),0)</f>
        <v>900</v>
      </c>
      <c r="K19" s="303">
        <f>IFERROR(VLOOKUP($C19,'MONTHLY DUES 2025'!$C$5:$D$27,2,0),0)</f>
        <v>1200</v>
      </c>
      <c r="L19" s="314">
        <f>IFERROR(VLOOKUP($C19,'MONTHLY DUES 2026'!$C$5:$D$25,2,0),0)</f>
        <v>800</v>
      </c>
      <c r="M19" s="312">
        <f>IFERROR(VLOOKUP($C19,'MONTHLY DUES 2027'!$C$5:$D$25,2,0),0)</f>
        <v>0</v>
      </c>
    </row>
    <row r="20" spans="1:13" s="9" customFormat="1" ht="26.1" customHeight="1" thickTop="1" thickBot="1" x14ac:dyDescent="0.45">
      <c r="B20" s="313">
        <v>13</v>
      </c>
      <c r="C20" s="298" t="s">
        <v>458</v>
      </c>
      <c r="D20" s="306" t="str">
        <f>IFERROR(VLOOKUP($C20,'MEMBERS LIST'!$C$5:$I$29,7,0),0)</f>
        <v>024 418 1735</v>
      </c>
      <c r="E20" s="307" t="str">
        <f t="shared" si="2"/>
        <v>ACTIVE</v>
      </c>
      <c r="F20" s="300">
        <f>IFERROR(VLOOKUP($C20,'YEARLY DUES FEES'!$C$5:$D$29,2,0),0)</f>
        <v>3900</v>
      </c>
      <c r="G20" s="301">
        <f t="shared" si="0"/>
        <v>3400</v>
      </c>
      <c r="H20" s="302">
        <f t="shared" si="1"/>
        <v>500</v>
      </c>
      <c r="I20" s="303">
        <f>IFERROR(VLOOKUP($C20,'MONTHLY DUES 2023'!$C$5:$D$24,2,0),0)</f>
        <v>600</v>
      </c>
      <c r="J20" s="303">
        <f>IFERROR(VLOOKUP($C20,'MONTHLY DUES 2024'!$C$5:$D$24,2,0),0)</f>
        <v>900</v>
      </c>
      <c r="K20" s="303">
        <f>IFERROR(VLOOKUP($C20,'MONTHLY DUES 2025'!$C$5:$D$27,2,0),0)</f>
        <v>1200</v>
      </c>
      <c r="L20" s="314">
        <f>IFERROR(VLOOKUP($C20,'MONTHLY DUES 2026'!$C$5:$D$25,2,0),0)</f>
        <v>700</v>
      </c>
      <c r="M20" s="312">
        <f>IFERROR(VLOOKUP($C20,'MONTHLY DUES 2027'!$C$5:$D$25,2,0),0)</f>
        <v>0</v>
      </c>
    </row>
    <row r="21" spans="1:13" s="9" customFormat="1" ht="26.1" customHeight="1" thickTop="1" thickBot="1" x14ac:dyDescent="0.45">
      <c r="A21" s="9" t="s">
        <v>653</v>
      </c>
      <c r="B21" s="305">
        <v>14</v>
      </c>
      <c r="C21" s="298" t="s">
        <v>211</v>
      </c>
      <c r="D21" s="306" t="str">
        <f>IFERROR(VLOOKUP($C21,'MEMBERS LIST'!$C$5:$I$29,7,0),0)</f>
        <v>055 376 1600</v>
      </c>
      <c r="E21" s="307" t="str">
        <f t="shared" si="2"/>
        <v>ACTIVE</v>
      </c>
      <c r="F21" s="300">
        <f>IFERROR(VLOOKUP($C21,'YEARLY DUES FEES'!$C$5:$D$29,2,0),0)</f>
        <v>3900</v>
      </c>
      <c r="G21" s="301">
        <f t="shared" si="0"/>
        <v>3400</v>
      </c>
      <c r="H21" s="302">
        <f t="shared" si="1"/>
        <v>500</v>
      </c>
      <c r="I21" s="303">
        <f>IFERROR(VLOOKUP($C21,'MONTHLY DUES 2023'!$C$5:$D$24,2,0),0)</f>
        <v>600</v>
      </c>
      <c r="J21" s="303">
        <f>IFERROR(VLOOKUP($C21,'MONTHLY DUES 2024'!$C$5:$D$24,2,0),0)</f>
        <v>900</v>
      </c>
      <c r="K21" s="303">
        <f>IFERROR(VLOOKUP($C21,'MONTHLY DUES 2025'!$C$5:$D$27,2,0),0)</f>
        <v>1200</v>
      </c>
      <c r="L21" s="314">
        <f>IFERROR(VLOOKUP($C21,'MONTHLY DUES 2026'!$C$5:$D$25,2,0),0)</f>
        <v>700</v>
      </c>
      <c r="M21" s="312">
        <f>IFERROR(VLOOKUP($C21,'MONTHLY DUES 2027'!$C$5:$D$25,2,0),0)</f>
        <v>0</v>
      </c>
    </row>
    <row r="22" spans="1:13" s="9" customFormat="1" ht="26.1" customHeight="1" thickTop="1" thickBot="1" x14ac:dyDescent="0.45">
      <c r="B22" s="313">
        <v>15</v>
      </c>
      <c r="C22" s="298" t="s">
        <v>232</v>
      </c>
      <c r="D22" s="306" t="str">
        <f>IFERROR(VLOOKUP($C22,'MEMBERS LIST'!$C$5:$I$29,7,0),0)</f>
        <v>024 292 7915</v>
      </c>
      <c r="E22" s="307" t="str">
        <f t="shared" si="2"/>
        <v>ACTIVE</v>
      </c>
      <c r="F22" s="300">
        <f>IFERROR(VLOOKUP($C22,'YEARLY DUES FEES'!$C$5:$D$29,2,0),0)</f>
        <v>3900</v>
      </c>
      <c r="G22" s="301">
        <f t="shared" si="0"/>
        <v>3400</v>
      </c>
      <c r="H22" s="302">
        <f t="shared" si="1"/>
        <v>500</v>
      </c>
      <c r="I22" s="303">
        <f>IFERROR(VLOOKUP($C22,'MONTHLY DUES 2023'!$C$5:$D$24,2,0),0)</f>
        <v>600</v>
      </c>
      <c r="J22" s="303">
        <f>IFERROR(VLOOKUP($C22,'MONTHLY DUES 2024'!$C$5:$D$24,2,0),0)</f>
        <v>900</v>
      </c>
      <c r="K22" s="303">
        <f>IFERROR(VLOOKUP($C22,'MONTHLY DUES 2025'!$C$5:$D$27,2,0),0)</f>
        <v>1200</v>
      </c>
      <c r="L22" s="314">
        <f>IFERROR(VLOOKUP($C22,'MONTHLY DUES 2026'!$C$5:$D$25,2,0),0)</f>
        <v>700</v>
      </c>
      <c r="M22" s="312">
        <f>IFERROR(VLOOKUP($C22,'MONTHLY DUES 2027'!$C$5:$D$25,2,0),0)</f>
        <v>0</v>
      </c>
    </row>
    <row r="23" spans="1:13" s="9" customFormat="1" ht="26.1" customHeight="1" thickTop="1" thickBot="1" x14ac:dyDescent="0.45">
      <c r="B23" s="305">
        <v>16</v>
      </c>
      <c r="C23" s="304" t="s">
        <v>66</v>
      </c>
      <c r="D23" s="306" t="str">
        <f>IFERROR(VLOOKUP($C23,'MEMBERS LIST'!$C$5:$I$29,7,0),0)</f>
        <v>054 864 5220</v>
      </c>
      <c r="E23" s="307" t="str">
        <f t="shared" si="2"/>
        <v>PROBATION</v>
      </c>
      <c r="F23" s="300">
        <f>IFERROR(VLOOKUP($C23,'YEARLY DUES FEES'!$C$5:$D$29,2,0),0)</f>
        <v>3900</v>
      </c>
      <c r="G23" s="301">
        <f t="shared" si="0"/>
        <v>3300</v>
      </c>
      <c r="H23" s="302">
        <f t="shared" si="1"/>
        <v>600</v>
      </c>
      <c r="I23" s="303">
        <f>IFERROR(VLOOKUP($C23,'MONTHLY DUES 2023'!$C$5:$D$24,2,0),0)</f>
        <v>600</v>
      </c>
      <c r="J23" s="303">
        <f>IFERROR(VLOOKUP($C23,'MONTHLY DUES 2024'!$C$5:$D$24,2,0),0)</f>
        <v>900</v>
      </c>
      <c r="K23" s="303">
        <f>IFERROR(VLOOKUP($C23,'MONTHLY DUES 2025'!$C$5:$D$27,2,0),0)</f>
        <v>1200</v>
      </c>
      <c r="L23" s="314">
        <f>IFERROR(VLOOKUP($C23,'MONTHLY DUES 2026'!$C$5:$D$25,2,0),0)</f>
        <v>600</v>
      </c>
      <c r="M23" s="312">
        <f>IFERROR(VLOOKUP($C23,'MONTHLY DUES 2027'!$C$5:$D$25,2,0),0)</f>
        <v>0</v>
      </c>
    </row>
    <row r="24" spans="1:13" s="9" customFormat="1" ht="26.1" customHeight="1" thickTop="1" thickBot="1" x14ac:dyDescent="0.45">
      <c r="B24" s="313">
        <v>17</v>
      </c>
      <c r="C24" s="298" t="s">
        <v>687</v>
      </c>
      <c r="D24" s="306" t="str">
        <f>IFERROR(VLOOKUP($C24,'MEMBERS LIST'!$C$5:$I$29,7,0),0)</f>
        <v>024 499 1855</v>
      </c>
      <c r="E24" s="307" t="str">
        <f t="shared" si="2"/>
        <v>PROBATION</v>
      </c>
      <c r="F24" s="300">
        <f>IFERROR(VLOOKUP($C24,'YEARLY DUES FEES'!$C$5:$D$29,2,0),0)</f>
        <v>2400</v>
      </c>
      <c r="G24" s="301">
        <f t="shared" si="0"/>
        <v>1500</v>
      </c>
      <c r="H24" s="302">
        <f t="shared" si="1"/>
        <v>900</v>
      </c>
      <c r="I24" s="303"/>
      <c r="J24" s="303"/>
      <c r="K24" s="303">
        <f>IFERROR(VLOOKUP($C24,'MONTHLY DUES 2025'!$C$5:$D$27,2,0),0)</f>
        <v>1200</v>
      </c>
      <c r="L24" s="314">
        <f>IFERROR(VLOOKUP($C24,'MONTHLY DUES 2026'!$C$5:$D$25,2,0),0)</f>
        <v>300</v>
      </c>
      <c r="M24" s="312">
        <f>IFERROR(VLOOKUP($C24,'MONTHLY DUES 2027'!$C$5:$D$25,2,0),0)</f>
        <v>0</v>
      </c>
    </row>
    <row r="25" spans="1:13" s="9" customFormat="1" ht="26.1" customHeight="1" thickTop="1" thickBot="1" x14ac:dyDescent="0.45">
      <c r="B25" s="305">
        <v>18</v>
      </c>
      <c r="C25" s="298" t="s">
        <v>212</v>
      </c>
      <c r="D25" s="306" t="str">
        <f>IFERROR(VLOOKUP($C25,'MEMBERS LIST'!$C$5:$I$29,7,0),0)</f>
        <v>026 746 1029</v>
      </c>
      <c r="E25" s="307" t="str">
        <f t="shared" si="2"/>
        <v>PROBATION</v>
      </c>
      <c r="F25" s="300">
        <f>IFERROR(VLOOKUP($C25,'YEARLY DUES FEES'!$C$5:$D$29,2,0),0)</f>
        <v>3900</v>
      </c>
      <c r="G25" s="301">
        <f t="shared" si="0"/>
        <v>3000</v>
      </c>
      <c r="H25" s="302">
        <f t="shared" si="1"/>
        <v>900</v>
      </c>
      <c r="I25" s="303">
        <f>IFERROR(VLOOKUP($C25,'MONTHLY DUES 2023'!$C$5:$D$24,2,0),0)</f>
        <v>600</v>
      </c>
      <c r="J25" s="303">
        <f>IFERROR(VLOOKUP($C25,'MONTHLY DUES 2024'!$C$5:$D$24,2,0),0)</f>
        <v>900</v>
      </c>
      <c r="K25" s="303">
        <f>IFERROR(VLOOKUP($C25,'MONTHLY DUES 2025'!$C$5:$D$27,2,0),0)</f>
        <v>1200</v>
      </c>
      <c r="L25" s="314">
        <f>IFERROR(VLOOKUP($C25,'MONTHLY DUES 2026'!$C$5:$D$25,2,0),0)</f>
        <v>300</v>
      </c>
      <c r="M25" s="312">
        <f>IFERROR(VLOOKUP($C25,'MONTHLY DUES 2027'!$C$5:$D$25,2,0),0)</f>
        <v>0</v>
      </c>
    </row>
    <row r="26" spans="1:13" s="9" customFormat="1" ht="26.1" customHeight="1" thickTop="1" thickBot="1" x14ac:dyDescent="0.45">
      <c r="B26" s="313">
        <v>19</v>
      </c>
      <c r="C26" s="304" t="s">
        <v>158</v>
      </c>
      <c r="D26" s="306" t="str">
        <f>IFERROR(VLOOKUP($C26,'MEMBERS LIST'!$C$5:$I$29,7,0),0)</f>
        <v>024 750 5280</v>
      </c>
      <c r="E26" s="307" t="str">
        <f t="shared" si="2"/>
        <v>PROBATION</v>
      </c>
      <c r="F26" s="300">
        <f>IFERROR(VLOOKUP($C26,'YEARLY DUES FEES'!$C$5:$D$29,2,0),0)</f>
        <v>3900</v>
      </c>
      <c r="G26" s="301">
        <f t="shared" si="0"/>
        <v>3000</v>
      </c>
      <c r="H26" s="302">
        <f t="shared" si="1"/>
        <v>900</v>
      </c>
      <c r="I26" s="303">
        <f>IFERROR(VLOOKUP($C26,'MONTHLY DUES 2023'!$C$5:$D$24,2,0),0)</f>
        <v>600</v>
      </c>
      <c r="J26" s="303">
        <f>IFERROR(VLOOKUP($C26,'MONTHLY DUES 2024'!$C$5:$D$24,2,0),0)</f>
        <v>900</v>
      </c>
      <c r="K26" s="303">
        <f>IFERROR(VLOOKUP($C26,'MONTHLY DUES 2025'!$C$5:$D$27,2,0),0)</f>
        <v>1200</v>
      </c>
      <c r="L26" s="314">
        <f>IFERROR(VLOOKUP($C26,'MONTHLY DUES 2026'!$C$5:$D$25,2,0),0)</f>
        <v>300</v>
      </c>
      <c r="M26" s="312">
        <f>IFERROR(VLOOKUP($C26,'MONTHLY DUES 2027'!$C$5:$D$25,2,0),0)</f>
        <v>0</v>
      </c>
    </row>
    <row r="27" spans="1:13" s="9" customFormat="1" ht="26.1" customHeight="1" thickTop="1" thickBot="1" x14ac:dyDescent="0.45">
      <c r="B27" s="305">
        <v>20</v>
      </c>
      <c r="C27" s="298" t="s">
        <v>776</v>
      </c>
      <c r="D27" s="306" t="str">
        <f>IFERROR(VLOOKUP($C27,'MEMBERS LIST'!$C$5:$I$29,7,0),0)</f>
        <v>055 733 6020</v>
      </c>
      <c r="E27" s="307" t="str">
        <f t="shared" si="2"/>
        <v>REMOVED</v>
      </c>
      <c r="F27" s="300">
        <f>IFERROR(VLOOKUP($C27,'YEARLY DUES FEES'!$C$5:$D$29,2,0),0)</f>
        <v>2400</v>
      </c>
      <c r="G27" s="301">
        <f t="shared" si="0"/>
        <v>350</v>
      </c>
      <c r="H27" s="302">
        <f t="shared" si="1"/>
        <v>2050</v>
      </c>
      <c r="I27" s="303">
        <f>IFERROR(VLOOKUP($C27,'MONTHLY DUES 2023'!$C$5:$D$24,2,0),0)</f>
        <v>0</v>
      </c>
      <c r="J27" s="303">
        <f>IFERROR(VLOOKUP($C27,'MONTHLY DUES 2024'!$C$5:$D$24,2,0),0)</f>
        <v>0</v>
      </c>
      <c r="K27" s="303">
        <f>IFERROR(VLOOKUP($C27,'MONTHLY DUES 2025'!$C$5:$D$27,2,0),0)</f>
        <v>350</v>
      </c>
      <c r="L27" s="314">
        <f>IFERROR(VLOOKUP($C27,'MONTHLY DUES 2026'!$C$5:$D$25,2,0),0)</f>
        <v>0</v>
      </c>
      <c r="M27" s="312">
        <f>IFERROR(VLOOKUP($C27,'MONTHLY DUES 2027'!$C$5:$D$25,2,0),0)</f>
        <v>0</v>
      </c>
    </row>
    <row r="28" spans="1:13" s="9" customFormat="1" ht="26.1" customHeight="1" thickTop="1" thickBot="1" x14ac:dyDescent="0.45">
      <c r="B28" s="313">
        <v>21</v>
      </c>
      <c r="C28" s="298" t="s">
        <v>273</v>
      </c>
      <c r="D28" s="306" t="str">
        <f>IFERROR(VLOOKUP($C28,'MEMBERS LIST'!$C$5:$I$29,7,0),0)</f>
        <v>050 178 6106</v>
      </c>
      <c r="E28" s="307" t="str">
        <f t="shared" si="2"/>
        <v>REMOVED</v>
      </c>
      <c r="F28" s="300">
        <f>IFERROR(VLOOKUP($C28,'YEARLY DUES FEES'!$C$5:$D$29,2,0),0)</f>
        <v>2400</v>
      </c>
      <c r="G28" s="301">
        <f t="shared" si="0"/>
        <v>200</v>
      </c>
      <c r="H28" s="302">
        <f t="shared" si="1"/>
        <v>2200</v>
      </c>
      <c r="I28" s="303">
        <f>IFERROR(VLOOKUP($C28,'MONTHLY DUES 2023'!$C$5:$D$24,2,0),0)</f>
        <v>0</v>
      </c>
      <c r="J28" s="303">
        <f>IFERROR(VLOOKUP($C28,'MONTHLY DUES 2024'!$C$5:$D$24,2,0),0)</f>
        <v>0</v>
      </c>
      <c r="K28" s="303">
        <f>IFERROR(VLOOKUP($C28,'MONTHLY DUES 2025'!$C$5:$D$27,2,0),0)</f>
        <v>200</v>
      </c>
      <c r="L28" s="314">
        <f>IFERROR(VLOOKUP($C28,'MONTHLY DUES 2026'!$C$5:$D$25,2,0),0)</f>
        <v>0</v>
      </c>
      <c r="M28" s="312">
        <f>IFERROR(VLOOKUP($C28,'MONTHLY DUES 2027'!$C$5:$D$25,2,0),0)</f>
        <v>0</v>
      </c>
    </row>
    <row r="29" spans="1:13" s="9" customFormat="1" ht="26.1" customHeight="1" thickTop="1" thickBot="1" x14ac:dyDescent="0.45">
      <c r="B29" s="305">
        <v>22</v>
      </c>
      <c r="C29" s="298" t="s">
        <v>469</v>
      </c>
      <c r="D29" s="306" t="str">
        <f>IFERROR(VLOOKUP($C29,'MEMBERS LIST'!$C$5:$I$29,7,0),0)</f>
        <v>024 656 0312</v>
      </c>
      <c r="E29" s="307" t="str">
        <f t="shared" si="2"/>
        <v>REMOVED</v>
      </c>
      <c r="F29" s="300">
        <f>IFERROR(VLOOKUP($C29,'YEARLY DUES FEES'!$C$5:$D$29,2,0),0)</f>
        <v>3900</v>
      </c>
      <c r="G29" s="301">
        <f t="shared" si="0"/>
        <v>1700</v>
      </c>
      <c r="H29" s="302">
        <f t="shared" si="1"/>
        <v>2200</v>
      </c>
      <c r="I29" s="303">
        <f>IFERROR(VLOOKUP($C29,'MONTHLY DUES 2023'!$C$5:$D$24,2,0),0)</f>
        <v>600</v>
      </c>
      <c r="J29" s="303">
        <f>IFERROR(VLOOKUP($C29,'MONTHLY DUES 2024'!$C$5:$D$24,2,0),0)</f>
        <v>900</v>
      </c>
      <c r="K29" s="303">
        <f>IFERROR(VLOOKUP($C29,'MONTHLY DUES 2025'!$C$5:$D$27,2,0),0)</f>
        <v>200</v>
      </c>
      <c r="L29" s="314">
        <f>IFERROR(VLOOKUP($C29,'MONTHLY DUES 2026'!$C$5:$D$25,2,0),0)</f>
        <v>0</v>
      </c>
      <c r="M29" s="312">
        <f>IFERROR(VLOOKUP($C29,'MONTHLY DUES 2027'!$C$5:$D$25,2,0),0)</f>
        <v>0</v>
      </c>
    </row>
    <row r="30" spans="1:13" s="9" customFormat="1" ht="26.1" customHeight="1" thickTop="1" thickBot="1" x14ac:dyDescent="0.45">
      <c r="B30" s="313">
        <v>23</v>
      </c>
      <c r="C30" s="304" t="s">
        <v>68</v>
      </c>
      <c r="D30" s="306" t="str">
        <f>IFERROR(VLOOKUP($C30,'MEMBERS LIST'!$C$5:$I$29,7,0),0)</f>
        <v>026 871 3230</v>
      </c>
      <c r="E30" s="307" t="str">
        <f t="shared" si="2"/>
        <v>REMOVED</v>
      </c>
      <c r="F30" s="300">
        <f>IFERROR(VLOOKUP($C30,'YEARLY DUES FEES'!$C$5:$D$29,2,0),0)</f>
        <v>3900</v>
      </c>
      <c r="G30" s="301">
        <f t="shared" si="0"/>
        <v>1000</v>
      </c>
      <c r="H30" s="302">
        <f t="shared" si="1"/>
        <v>2900</v>
      </c>
      <c r="I30" s="303">
        <f>IFERROR(VLOOKUP($C30,'MONTHLY DUES 2023'!$C$5:$D$24,2,0),0)</f>
        <v>600</v>
      </c>
      <c r="J30" s="303">
        <f>IFERROR(VLOOKUP($C30,'MONTHLY DUES 2024'!$C$5:$D$24,2,0),0)</f>
        <v>400</v>
      </c>
      <c r="K30" s="303">
        <f>IFERROR(VLOOKUP($C30,'MONTHLY DUES 2025'!$C$5:$D$27,2,0),0)</f>
        <v>0</v>
      </c>
      <c r="L30" s="314">
        <f>IFERROR(VLOOKUP($C30,'MONTHLY DUES 2026'!$C$5:$D$25,2,0),0)</f>
        <v>0</v>
      </c>
      <c r="M30" s="312">
        <f>IFERROR(VLOOKUP($C30,'MONTHLY DUES 2027'!$C$5:$D$25,2,0),0)</f>
        <v>0</v>
      </c>
    </row>
    <row r="31" spans="1:13" s="9" customFormat="1" ht="26.1" customHeight="1" thickTop="1" thickBot="1" x14ac:dyDescent="0.45">
      <c r="B31" s="305">
        <v>24</v>
      </c>
      <c r="C31" s="304" t="s">
        <v>76</v>
      </c>
      <c r="D31" s="306" t="str">
        <f>IFERROR(VLOOKUP($C31,'MEMBERS LIST'!$C$5:$I$29,7,0),0)</f>
        <v>054 338 2738</v>
      </c>
      <c r="E31" s="307" t="str">
        <f t="shared" si="2"/>
        <v>REMOVED</v>
      </c>
      <c r="F31" s="300">
        <f>IFERROR(VLOOKUP($C31,'YEARLY DUES FEES'!$C$5:$D$29,2,0),0)</f>
        <v>3900</v>
      </c>
      <c r="G31" s="301">
        <f t="shared" si="0"/>
        <v>900</v>
      </c>
      <c r="H31" s="302">
        <f t="shared" si="1"/>
        <v>3000</v>
      </c>
      <c r="I31" s="303">
        <f>IFERROR(VLOOKUP($C31,'MONTHLY DUES 2023'!$C$5:$D$24,2,0),0)</f>
        <v>600</v>
      </c>
      <c r="J31" s="303">
        <f>IFERROR(VLOOKUP($C31,'MONTHLY DUES 2024'!$C$5:$D$24,2,0),0)</f>
        <v>300</v>
      </c>
      <c r="K31" s="303">
        <f>IFERROR(VLOOKUP($C31,'MONTHLY DUES 2025'!$C$5:$D$27,2,0),0)</f>
        <v>0</v>
      </c>
      <c r="L31" s="314">
        <f>IFERROR(VLOOKUP($C31,'MONTHLY DUES 2026'!$C$5:$D$25,2,0),0)</f>
        <v>0</v>
      </c>
      <c r="M31" s="312">
        <f>IFERROR(VLOOKUP($C31,'MONTHLY DUES 2027'!$C$5:$D$25,2,0),0)</f>
        <v>0</v>
      </c>
    </row>
    <row r="32" spans="1:13" s="9" customFormat="1" ht="26.1" customHeight="1" thickTop="1" thickBot="1" x14ac:dyDescent="0.45">
      <c r="B32" s="315"/>
      <c r="C32" s="316"/>
      <c r="D32" s="317"/>
      <c r="E32" s="318"/>
      <c r="F32" s="319"/>
      <c r="G32" s="320"/>
      <c r="H32" s="321"/>
      <c r="I32" s="322"/>
      <c r="J32" s="322"/>
      <c r="K32" s="322"/>
      <c r="L32" s="323"/>
      <c r="M32" s="323"/>
    </row>
    <row r="33" spans="2:13" s="9" customFormat="1" ht="34.5" customHeight="1" thickBot="1" x14ac:dyDescent="0.45">
      <c r="B33" s="1075" t="s">
        <v>466</v>
      </c>
      <c r="C33" s="1076"/>
      <c r="D33" s="194"/>
      <c r="E33" s="194"/>
      <c r="F33" s="194">
        <f t="shared" ref="F33:K33" si="3">SUM(F8:F31)</f>
        <v>85200</v>
      </c>
      <c r="G33" s="194">
        <f t="shared" si="3"/>
        <v>65950</v>
      </c>
      <c r="H33" s="194">
        <f t="shared" si="3"/>
        <v>19250</v>
      </c>
      <c r="I33" s="194">
        <f t="shared" si="3"/>
        <v>10800</v>
      </c>
      <c r="J33" s="194">
        <f t="shared" si="3"/>
        <v>16900</v>
      </c>
      <c r="K33" s="194">
        <f t="shared" si="3"/>
        <v>22350</v>
      </c>
      <c r="L33" s="194">
        <f>SUM(L8:L31)</f>
        <v>15900</v>
      </c>
      <c r="M33" s="194"/>
    </row>
    <row r="34" spans="2:13" s="9" customFormat="1" ht="23.25" customHeight="1" x14ac:dyDescent="0.25">
      <c r="G34" s="10"/>
    </row>
    <row r="35" spans="2:13" ht="24.75" customHeight="1" x14ac:dyDescent="0.4">
      <c r="B35" s="77"/>
      <c r="C35" s="77"/>
      <c r="D35" s="77"/>
      <c r="E35" s="77"/>
      <c r="H35" s="214"/>
    </row>
  </sheetData>
  <autoFilter ref="B7:M31" xr:uid="{00000000-0009-0000-0000-000025000000}"/>
  <sortState xmlns:xlrd2="http://schemas.microsoft.com/office/spreadsheetml/2017/richdata2" ref="C15:M17">
    <sortCondition ref="C15:C17"/>
  </sortState>
  <mergeCells count="2">
    <mergeCell ref="B33:C33"/>
    <mergeCell ref="C5:H5"/>
  </mergeCells>
  <phoneticPr fontId="27" type="noConversion"/>
  <conditionalFormatting sqref="B33:M33">
    <cfRule type="cellIs" dxfId="42" priority="27" operator="equal">
      <formula>0</formula>
    </cfRule>
  </conditionalFormatting>
  <conditionalFormatting sqref="E8:E31">
    <cfRule type="containsText" dxfId="41" priority="2" operator="containsText" text="REMOVED">
      <formula>NOT(ISERROR(SEARCH("REMOVED",E8)))</formula>
    </cfRule>
  </conditionalFormatting>
  <conditionalFormatting sqref="E8:E32">
    <cfRule type="containsText" dxfId="40" priority="3" operator="containsText" text="SUSPENSION">
      <formula>NOT(ISERROR(SEARCH("SUSPENSION",E8)))</formula>
    </cfRule>
    <cfRule type="containsText" dxfId="39" priority="4" operator="containsText" text="PROBATION">
      <formula>NOT(ISERROR(SEARCH("PROBATION",E8)))</formula>
    </cfRule>
    <cfRule type="containsText" dxfId="38" priority="5" operator="containsText" text="INACTIVE">
      <formula>NOT(ISERROR(SEARCH("INACTIVE",E8)))</formula>
    </cfRule>
    <cfRule type="containsText" dxfId="37" priority="6" operator="containsText" text="ACTIVE">
      <formula>NOT(ISERROR(SEARCH("ACTIVE",E8)))</formula>
    </cfRule>
  </conditionalFormatting>
  <conditionalFormatting sqref="E10:E11 E15 E17:E28 E30:E31">
    <cfRule type="containsText" dxfId="36" priority="1" operator="containsText" text="RESIGNED">
      <formula>NOT(ISERROR(SEARCH("RESIGNED",E10)))</formula>
    </cfRule>
  </conditionalFormatting>
  <conditionalFormatting sqref="F8:H32">
    <cfRule type="cellIs" dxfId="35" priority="18" operator="equal">
      <formula>0</formula>
    </cfRule>
  </conditionalFormatting>
  <conditionalFormatting sqref="I8:M32">
    <cfRule type="cellIs" dxfId="34" priority="28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F0"/>
  </sheetPr>
  <dimension ref="A1:H34"/>
  <sheetViews>
    <sheetView topLeftCell="A3" workbookViewId="0">
      <pane xSplit="7" ySplit="5" topLeftCell="H8" activePane="bottomRight" state="frozen"/>
      <selection pane="topRight"/>
      <selection pane="bottomLeft"/>
      <selection pane="bottomRight"/>
    </sheetView>
  </sheetViews>
  <sheetFormatPr defaultColWidth="9.140625" defaultRowHeight="21.95" customHeight="1" x14ac:dyDescent="0.25"/>
  <cols>
    <col min="1" max="1" width="2.42578125" style="77" customWidth="1"/>
    <col min="2" max="2" width="9.28515625" style="19" customWidth="1"/>
    <col min="3" max="3" width="42.42578125" style="80" bestFit="1" customWidth="1"/>
    <col min="4" max="4" width="23.5703125" style="80" bestFit="1" customWidth="1"/>
    <col min="5" max="6" width="21.7109375" style="77" bestFit="1" customWidth="1"/>
    <col min="7" max="7" width="23.7109375" style="77" customWidth="1"/>
    <col min="8" max="8" width="24.140625" style="80" bestFit="1" customWidth="1"/>
    <col min="9" max="16384" width="9.140625" style="77"/>
  </cols>
  <sheetData>
    <row r="1" spans="1:8" ht="18" x14ac:dyDescent="0.25">
      <c r="B1" s="89" t="s">
        <v>523</v>
      </c>
      <c r="C1" s="76"/>
      <c r="D1" s="76"/>
      <c r="H1" s="76"/>
    </row>
    <row r="2" spans="1:8" ht="22.5" customHeight="1" x14ac:dyDescent="0.25">
      <c r="B2" s="77"/>
      <c r="C2" s="76"/>
      <c r="D2" s="76"/>
      <c r="H2" s="76"/>
    </row>
    <row r="3" spans="1:8" ht="18" x14ac:dyDescent="0.25">
      <c r="A3" s="89"/>
      <c r="B3" s="76"/>
      <c r="C3" s="77"/>
      <c r="D3" s="77"/>
      <c r="H3" s="77"/>
    </row>
    <row r="4" spans="1:8" ht="22.5" customHeight="1" x14ac:dyDescent="0.25">
      <c r="B4" s="76"/>
      <c r="C4" s="77"/>
      <c r="D4" s="77"/>
      <c r="H4" s="77"/>
    </row>
    <row r="5" spans="1:8" s="70" customFormat="1" ht="42" customHeight="1" thickBot="1" x14ac:dyDescent="0.75">
      <c r="C5" s="1077" t="s">
        <v>701</v>
      </c>
      <c r="D5" s="1077"/>
      <c r="E5" s="1077"/>
      <c r="F5" s="82"/>
      <c r="G5" s="325"/>
      <c r="H5" s="325"/>
    </row>
    <row r="6" spans="1:8" s="9" customFormat="1" ht="48" thickTop="1" thickBot="1" x14ac:dyDescent="0.3">
      <c r="B6" s="217" t="s">
        <v>125</v>
      </c>
      <c r="C6" s="217" t="s">
        <v>57</v>
      </c>
      <c r="D6" s="217" t="s">
        <v>654</v>
      </c>
      <c r="E6" s="217" t="s">
        <v>699</v>
      </c>
      <c r="F6" s="217" t="s">
        <v>700</v>
      </c>
      <c r="G6" s="217" t="s">
        <v>55</v>
      </c>
      <c r="H6" s="217" t="s">
        <v>60</v>
      </c>
    </row>
    <row r="7" spans="1:8" s="81" customFormat="1" ht="30.75" customHeight="1" thickTop="1" thickBot="1" x14ac:dyDescent="0.45">
      <c r="B7" s="132"/>
      <c r="C7" s="132"/>
      <c r="D7" s="132"/>
      <c r="E7" s="132" t="s">
        <v>56</v>
      </c>
      <c r="F7" s="132" t="s">
        <v>56</v>
      </c>
      <c r="G7" s="132" t="s">
        <v>56</v>
      </c>
      <c r="H7" s="132"/>
    </row>
    <row r="8" spans="1:8" s="9" customFormat="1" ht="26.1" customHeight="1" thickTop="1" thickBot="1" x14ac:dyDescent="0.45">
      <c r="B8" s="313">
        <v>1</v>
      </c>
      <c r="C8" s="298" t="s">
        <v>620</v>
      </c>
      <c r="D8" s="299" t="str">
        <f>IFERROR(VLOOKUP($C8,'MEMBERS LIST'!$C$5:$I$29,5,0),0)</f>
        <v>Takoradi</v>
      </c>
      <c r="E8" s="311">
        <f>IFERROR(VLOOKUP($C8,' SPECIAL LEVY FEES'!$C$5:$D$29,2,0),0)</f>
        <v>700</v>
      </c>
      <c r="F8" s="311">
        <f>IFERROR(VLOOKUP($C8,'SPECIAL LEVY'!$C$4:$D$28,2,0),0)</f>
        <v>700</v>
      </c>
      <c r="G8" s="310">
        <f t="shared" ref="G8:G30" si="0">E8-F8</f>
        <v>0</v>
      </c>
      <c r="H8" s="307" t="str">
        <f>IF(G8&gt;=1,"REMOVED","ACTIVE")</f>
        <v>ACTIVE</v>
      </c>
    </row>
    <row r="9" spans="1:8" s="9" customFormat="1" ht="26.1" customHeight="1" thickTop="1" thickBot="1" x14ac:dyDescent="0.45">
      <c r="B9" s="313">
        <v>2</v>
      </c>
      <c r="C9" s="298" t="s">
        <v>687</v>
      </c>
      <c r="D9" s="299" t="str">
        <f>IFERROR(VLOOKUP($C9,'MEMBERS LIST'!$C$5:$I$29,5,0),0)</f>
        <v>Mampong</v>
      </c>
      <c r="E9" s="311">
        <f>IFERROR(VLOOKUP($C9,' SPECIAL LEVY FEES'!$C$5:$D$29,2,0),0)</f>
        <v>100</v>
      </c>
      <c r="F9" s="311">
        <f>IFERROR(VLOOKUP($C9,'SPECIAL LEVY'!$C$4:$D$28,2,0),0)</f>
        <v>100</v>
      </c>
      <c r="G9" s="310">
        <f t="shared" si="0"/>
        <v>0</v>
      </c>
      <c r="H9" s="307" t="str">
        <f t="shared" ref="H9:H25" si="1">IF(G9&gt;=1,"REMOVED","ACTIVE")</f>
        <v>ACTIVE</v>
      </c>
    </row>
    <row r="10" spans="1:8" s="9" customFormat="1" ht="26.1" customHeight="1" thickTop="1" thickBot="1" x14ac:dyDescent="0.45">
      <c r="B10" s="313">
        <v>3</v>
      </c>
      <c r="C10" s="298" t="s">
        <v>458</v>
      </c>
      <c r="D10" s="299" t="str">
        <f>IFERROR(VLOOKUP($C10,'MEMBERS LIST'!$C$5:$I$29,5,0),0)</f>
        <v>Mankessim</v>
      </c>
      <c r="E10" s="311">
        <f>IFERROR(VLOOKUP($C10,' SPECIAL LEVY FEES'!$C$5:$D$29,2,0),0)</f>
        <v>1000</v>
      </c>
      <c r="F10" s="311">
        <f>IFERROR(VLOOKUP($C10,'SPECIAL LEVY'!$C$4:$D$28,2,0),0)</f>
        <v>1000</v>
      </c>
      <c r="G10" s="310">
        <f t="shared" si="0"/>
        <v>0</v>
      </c>
      <c r="H10" s="307" t="str">
        <f t="shared" si="1"/>
        <v>ACTIVE</v>
      </c>
    </row>
    <row r="11" spans="1:8" s="9" customFormat="1" ht="26.1" customHeight="1" thickTop="1" thickBot="1" x14ac:dyDescent="0.45">
      <c r="B11" s="313">
        <v>4</v>
      </c>
      <c r="C11" s="298" t="s">
        <v>211</v>
      </c>
      <c r="D11" s="299" t="str">
        <f>IFERROR(VLOOKUP($C11,'MEMBERS LIST'!$C$5:$I$29,5,0),0)</f>
        <v>Ashaiman</v>
      </c>
      <c r="E11" s="311">
        <f>IFERROR(VLOOKUP($C11,' SPECIAL LEVY FEES'!$C$5:$D$29,2,0),0)</f>
        <v>1000</v>
      </c>
      <c r="F11" s="311">
        <f>IFERROR(VLOOKUP($C11,'SPECIAL LEVY'!$C$4:$D$28,2,0),0)</f>
        <v>1000</v>
      </c>
      <c r="G11" s="310">
        <f t="shared" si="0"/>
        <v>0</v>
      </c>
      <c r="H11" s="307" t="str">
        <f t="shared" si="1"/>
        <v>ACTIVE</v>
      </c>
    </row>
    <row r="12" spans="1:8" s="9" customFormat="1" ht="26.1" customHeight="1" thickTop="1" thickBot="1" x14ac:dyDescent="0.45">
      <c r="B12" s="313">
        <v>5</v>
      </c>
      <c r="C12" s="298" t="s">
        <v>351</v>
      </c>
      <c r="D12" s="299" t="str">
        <f>IFERROR(VLOOKUP($C12,'MEMBERS LIST'!$C$5:$I$29,5,0),0)</f>
        <v>Suame</v>
      </c>
      <c r="E12" s="311">
        <f>IFERROR(VLOOKUP($C12,' SPECIAL LEVY FEES'!$C$5:$D$29,2,0),0)</f>
        <v>100</v>
      </c>
      <c r="F12" s="311">
        <f>IFERROR(VLOOKUP($C12,'SPECIAL LEVY'!$C$4:$D$28,2,0),0)</f>
        <v>100</v>
      </c>
      <c r="G12" s="310">
        <f t="shared" si="0"/>
        <v>0</v>
      </c>
      <c r="H12" s="307" t="str">
        <f t="shared" si="1"/>
        <v>ACTIVE</v>
      </c>
    </row>
    <row r="13" spans="1:8" s="9" customFormat="1" ht="26.1" customHeight="1" thickTop="1" thickBot="1" x14ac:dyDescent="0.45">
      <c r="B13" s="313">
        <v>6</v>
      </c>
      <c r="C13" s="298" t="s">
        <v>776</v>
      </c>
      <c r="D13" s="299" t="str">
        <f>IFERROR(VLOOKUP($C13,'MEMBERS LIST'!$C$5:$I$29,5,0),0)</f>
        <v>Dansoman</v>
      </c>
      <c r="E13" s="311">
        <f>IFERROR(VLOOKUP($C13,' SPECIAL LEVY FEES'!$C$5:$D$29,2,0),0)</f>
        <v>100</v>
      </c>
      <c r="F13" s="311">
        <f>IFERROR(VLOOKUP($C13,'SPECIAL LEVY'!$C$4:$D$28,2,0),0)</f>
        <v>100</v>
      </c>
      <c r="G13" s="310">
        <f t="shared" si="0"/>
        <v>0</v>
      </c>
      <c r="H13" s="307" t="str">
        <f t="shared" si="1"/>
        <v>ACTIVE</v>
      </c>
    </row>
    <row r="14" spans="1:8" s="9" customFormat="1" ht="26.1" customHeight="1" thickTop="1" thickBot="1" x14ac:dyDescent="0.45">
      <c r="B14" s="313">
        <v>7</v>
      </c>
      <c r="C14" s="298" t="s">
        <v>232</v>
      </c>
      <c r="D14" s="299" t="str">
        <f>IFERROR(VLOOKUP($C14,'MEMBERS LIST'!$C$5:$I$29,5,0),0)</f>
        <v>Kotobabi</v>
      </c>
      <c r="E14" s="311">
        <f>IFERROR(VLOOKUP($C14,' SPECIAL LEVY FEES'!$C$5:$D$29,2,0),0)</f>
        <v>800</v>
      </c>
      <c r="F14" s="311">
        <f>IFERROR(VLOOKUP($C14,'SPECIAL LEVY'!$C$4:$D$28,2,0),0)</f>
        <v>800</v>
      </c>
      <c r="G14" s="310">
        <f t="shared" si="0"/>
        <v>0</v>
      </c>
      <c r="H14" s="307" t="str">
        <f t="shared" si="1"/>
        <v>ACTIVE</v>
      </c>
    </row>
    <row r="15" spans="1:8" s="9" customFormat="1" ht="26.1" customHeight="1" thickTop="1" thickBot="1" x14ac:dyDescent="0.45">
      <c r="B15" s="313">
        <v>8</v>
      </c>
      <c r="C15" s="298" t="s">
        <v>410</v>
      </c>
      <c r="D15" s="299" t="str">
        <f>IFERROR(VLOOKUP($C15,'MEMBERS LIST'!$C$5:$I$29,5,0),0)</f>
        <v>Takoradi</v>
      </c>
      <c r="E15" s="311">
        <f>IFERROR(VLOOKUP($C15,' SPECIAL LEVY FEES'!$C$5:$D$29,2,0),0)</f>
        <v>1000</v>
      </c>
      <c r="F15" s="311">
        <f>IFERROR(VLOOKUP($C15,'SPECIAL LEVY'!$C$4:$D$28,2,0),0)</f>
        <v>1000</v>
      </c>
      <c r="G15" s="310">
        <f t="shared" si="0"/>
        <v>0</v>
      </c>
      <c r="H15" s="307" t="str">
        <f t="shared" si="1"/>
        <v>ACTIVE</v>
      </c>
    </row>
    <row r="16" spans="1:8" s="9" customFormat="1" ht="26.1" customHeight="1" thickTop="1" thickBot="1" x14ac:dyDescent="0.45">
      <c r="B16" s="313">
        <v>9</v>
      </c>
      <c r="C16" s="298" t="s">
        <v>346</v>
      </c>
      <c r="D16" s="299" t="str">
        <f>IFERROR(VLOOKUP($C16,'MEMBERS LIST'!$C$5:$I$29,5,0),0)</f>
        <v>Atonsu</v>
      </c>
      <c r="E16" s="311">
        <f>IFERROR(VLOOKUP($C16,' SPECIAL LEVY FEES'!$C$5:$D$29,2,0),0)</f>
        <v>1000</v>
      </c>
      <c r="F16" s="311">
        <f>IFERROR(VLOOKUP($C16,'SPECIAL LEVY'!$C$4:$D$28,2,0),0)</f>
        <v>1000</v>
      </c>
      <c r="G16" s="310">
        <f t="shared" si="0"/>
        <v>0</v>
      </c>
      <c r="H16" s="307" t="str">
        <f t="shared" si="1"/>
        <v>ACTIVE</v>
      </c>
    </row>
    <row r="17" spans="2:8" s="9" customFormat="1" ht="26.1" customHeight="1" thickTop="1" thickBot="1" x14ac:dyDescent="0.45">
      <c r="B17" s="313">
        <v>10</v>
      </c>
      <c r="C17" s="304" t="s">
        <v>62</v>
      </c>
      <c r="D17" s="299" t="str">
        <f>IFERROR(VLOOKUP($C17,'MEMBERS LIST'!$C$5:$I$29,5,0),0)</f>
        <v>Aburi</v>
      </c>
      <c r="E17" s="311">
        <f>IFERROR(VLOOKUP($C17,' SPECIAL LEVY FEES'!$C$5:$D$29,2,0),0)</f>
        <v>800</v>
      </c>
      <c r="F17" s="311">
        <f>IFERROR(VLOOKUP($C17,'SPECIAL LEVY'!$C$4:$D$28,2,0),0)</f>
        <v>800</v>
      </c>
      <c r="G17" s="310">
        <f t="shared" si="0"/>
        <v>0</v>
      </c>
      <c r="H17" s="307" t="str">
        <f t="shared" si="1"/>
        <v>ACTIVE</v>
      </c>
    </row>
    <row r="18" spans="2:8" s="9" customFormat="1" ht="26.1" customHeight="1" thickTop="1" thickBot="1" x14ac:dyDescent="0.45">
      <c r="B18" s="313">
        <v>11</v>
      </c>
      <c r="C18" s="304" t="s">
        <v>158</v>
      </c>
      <c r="D18" s="299" t="str">
        <f>IFERROR(VLOOKUP($C18,'MEMBERS LIST'!$C$5:$I$29,5,0),0)</f>
        <v>Kasoa</v>
      </c>
      <c r="E18" s="311">
        <f>IFERROR(VLOOKUP($C18,' SPECIAL LEVY FEES'!$C$5:$D$29,2,0),0)</f>
        <v>1000</v>
      </c>
      <c r="F18" s="311">
        <f>IFERROR(VLOOKUP($C18,'SPECIAL LEVY'!$C$4:$D$28,2,0),0)</f>
        <v>1000</v>
      </c>
      <c r="G18" s="310">
        <f t="shared" si="0"/>
        <v>0</v>
      </c>
      <c r="H18" s="307" t="str">
        <f t="shared" si="1"/>
        <v>ACTIVE</v>
      </c>
    </row>
    <row r="19" spans="2:8" s="9" customFormat="1" ht="26.1" customHeight="1" thickTop="1" thickBot="1" x14ac:dyDescent="0.45">
      <c r="B19" s="313">
        <v>12</v>
      </c>
      <c r="C19" s="298" t="s">
        <v>212</v>
      </c>
      <c r="D19" s="299" t="str">
        <f>IFERROR(VLOOKUP($C19,'MEMBERS LIST'!$C$5:$I$29,5,0),0)</f>
        <v>Ashaiman</v>
      </c>
      <c r="E19" s="311">
        <f>IFERROR(VLOOKUP($C19,' SPECIAL LEVY FEES'!$C$5:$D$29,2,0),0)</f>
        <v>1000</v>
      </c>
      <c r="F19" s="311">
        <f>IFERROR(VLOOKUP($C19,'SPECIAL LEVY'!$C$4:$D$28,2,0),0)</f>
        <v>1000</v>
      </c>
      <c r="G19" s="310">
        <f t="shared" si="0"/>
        <v>0</v>
      </c>
      <c r="H19" s="307" t="str">
        <f t="shared" si="1"/>
        <v>ACTIVE</v>
      </c>
    </row>
    <row r="20" spans="2:8" s="9" customFormat="1" ht="26.1" customHeight="1" thickTop="1" thickBot="1" x14ac:dyDescent="0.45">
      <c r="B20" s="313">
        <v>13</v>
      </c>
      <c r="C20" s="304" t="s">
        <v>75</v>
      </c>
      <c r="D20" s="299" t="str">
        <f>IFERROR(VLOOKUP($C20,'MEMBERS LIST'!$C$5:$I$29,5,0),0)</f>
        <v>Teshie</v>
      </c>
      <c r="E20" s="311">
        <f>IFERROR(VLOOKUP($C20,' SPECIAL LEVY FEES'!$C$5:$D$29,2,0),0)</f>
        <v>1000</v>
      </c>
      <c r="F20" s="311">
        <f>IFERROR(VLOOKUP($C20,'SPECIAL LEVY'!$C$4:$D$28,2,0),0)</f>
        <v>1000</v>
      </c>
      <c r="G20" s="310">
        <f t="shared" si="0"/>
        <v>0</v>
      </c>
      <c r="H20" s="307" t="str">
        <f t="shared" si="1"/>
        <v>ACTIVE</v>
      </c>
    </row>
    <row r="21" spans="2:8" s="9" customFormat="1" ht="26.1" customHeight="1" thickTop="1" thickBot="1" x14ac:dyDescent="0.45">
      <c r="B21" s="313">
        <v>14</v>
      </c>
      <c r="C21" s="298" t="s">
        <v>134</v>
      </c>
      <c r="D21" s="299" t="str">
        <f>IFERROR(VLOOKUP($C21,'MEMBERS LIST'!$C$5:$I$29,5,0),0)</f>
        <v>Noyem</v>
      </c>
      <c r="E21" s="311">
        <f>IFERROR(VLOOKUP($C21,' SPECIAL LEVY FEES'!$C$5:$D$29,2,0),0)</f>
        <v>1000</v>
      </c>
      <c r="F21" s="311">
        <f>IFERROR(VLOOKUP($C21,'SPECIAL LEVY'!$C$4:$D$28,2,0),0)</f>
        <v>1000</v>
      </c>
      <c r="G21" s="310">
        <f t="shared" si="0"/>
        <v>0</v>
      </c>
      <c r="H21" s="307" t="str">
        <f t="shared" si="1"/>
        <v>ACTIVE</v>
      </c>
    </row>
    <row r="22" spans="2:8" s="9" customFormat="1" ht="26.1" customHeight="1" thickTop="1" thickBot="1" x14ac:dyDescent="0.45">
      <c r="B22" s="313">
        <v>15</v>
      </c>
      <c r="C22" s="304" t="s">
        <v>524</v>
      </c>
      <c r="D22" s="299" t="str">
        <f>IFERROR(VLOOKUP($C22,'MEMBERS LIST'!$C$5:$I$29,5,0),0)</f>
        <v>Kasoa</v>
      </c>
      <c r="E22" s="311">
        <f>IFERROR(VLOOKUP($C22,' SPECIAL LEVY FEES'!$C$5:$D$29,2,0),0)</f>
        <v>1000</v>
      </c>
      <c r="F22" s="311">
        <f>IFERROR(VLOOKUP($C22,'SPECIAL LEVY'!$C$4:$D$28,2,0),0)</f>
        <v>1000</v>
      </c>
      <c r="G22" s="310">
        <f t="shared" si="0"/>
        <v>0</v>
      </c>
      <c r="H22" s="307" t="str">
        <f t="shared" si="1"/>
        <v>ACTIVE</v>
      </c>
    </row>
    <row r="23" spans="2:8" s="9" customFormat="1" ht="26.1" customHeight="1" thickTop="1" thickBot="1" x14ac:dyDescent="0.45">
      <c r="B23" s="313">
        <v>16</v>
      </c>
      <c r="C23" s="304" t="s">
        <v>66</v>
      </c>
      <c r="D23" s="299" t="str">
        <f>IFERROR(VLOOKUP($C23,'MEMBERS LIST'!$C$5:$I$29,5,0),0)</f>
        <v>Aburi</v>
      </c>
      <c r="E23" s="311">
        <f>IFERROR(VLOOKUP($C23,' SPECIAL LEVY FEES'!$C$5:$D$29,2,0),0)</f>
        <v>900</v>
      </c>
      <c r="F23" s="311">
        <f>IFERROR(VLOOKUP($C23,'SPECIAL LEVY'!$C$4:$D$28,2,0),0)</f>
        <v>900</v>
      </c>
      <c r="G23" s="310">
        <f t="shared" si="0"/>
        <v>0</v>
      </c>
      <c r="H23" s="307" t="str">
        <f t="shared" si="1"/>
        <v>ACTIVE</v>
      </c>
    </row>
    <row r="24" spans="2:8" s="9" customFormat="1" ht="26.1" customHeight="1" thickTop="1" thickBot="1" x14ac:dyDescent="0.45">
      <c r="B24" s="313">
        <v>17</v>
      </c>
      <c r="C24" s="298" t="s">
        <v>758</v>
      </c>
      <c r="D24" s="299" t="str">
        <f>IFERROR(VLOOKUP($C24,'MEMBERS LIST'!$C$5:$I$29,5,0),0)</f>
        <v>Koforidua</v>
      </c>
      <c r="E24" s="311">
        <f>IFERROR(VLOOKUP($C24,' SPECIAL LEVY FEES'!$C$5:$D$29,2,0),0)</f>
        <v>1000</v>
      </c>
      <c r="F24" s="311">
        <f>IFERROR(VLOOKUP($C24,'SPECIAL LEVY'!$C$4:$D$28,2,0),0)</f>
        <v>1000</v>
      </c>
      <c r="G24" s="310">
        <f t="shared" si="0"/>
        <v>0</v>
      </c>
      <c r="H24" s="307" t="str">
        <f t="shared" si="1"/>
        <v>ACTIVE</v>
      </c>
    </row>
    <row r="25" spans="2:8" s="9" customFormat="1" ht="26.1" customHeight="1" thickTop="1" thickBot="1" x14ac:dyDescent="0.45">
      <c r="B25" s="313">
        <v>18</v>
      </c>
      <c r="C25" s="324" t="s">
        <v>213</v>
      </c>
      <c r="D25" s="306" t="str">
        <f>IFERROR(VLOOKUP($C25,'MEMBERS LIST'!$C$5:$I$29,5,0),0)</f>
        <v>Ashaiman</v>
      </c>
      <c r="E25" s="311">
        <f>IFERROR(VLOOKUP($C25,' SPECIAL LEVY FEES'!$C$5:$D$29,2,0),0)</f>
        <v>1000</v>
      </c>
      <c r="F25" s="311">
        <f>IFERROR(VLOOKUP($C25,'SPECIAL LEVY'!$C$4:$D$28,2,0),0)</f>
        <v>1000</v>
      </c>
      <c r="G25" s="310">
        <f t="shared" si="0"/>
        <v>0</v>
      </c>
      <c r="H25" s="307" t="str">
        <f t="shared" si="1"/>
        <v>ACTIVE</v>
      </c>
    </row>
    <row r="26" spans="2:8" s="9" customFormat="1" ht="26.1" customHeight="1" thickTop="1" thickBot="1" x14ac:dyDescent="0.45">
      <c r="B26" s="313">
        <v>19</v>
      </c>
      <c r="C26" s="298" t="s">
        <v>273</v>
      </c>
      <c r="D26" s="299" t="str">
        <f>IFERROR(VLOOKUP($C26,'MEMBERS LIST'!$C$5:$I$29,5,0),0)</f>
        <v>Dansoman</v>
      </c>
      <c r="E26" s="311">
        <f>IFERROR(VLOOKUP($C26,' SPECIAL LEVY FEES'!$C$5:$D$29,2,0),0)</f>
        <v>100</v>
      </c>
      <c r="F26" s="311">
        <f>IFERROR(VLOOKUP($C26,'SPECIAL LEVY'!$C$4:$D$28,2,0),0)</f>
        <v>100</v>
      </c>
      <c r="G26" s="310">
        <f t="shared" si="0"/>
        <v>0</v>
      </c>
      <c r="H26" s="307" t="s">
        <v>963</v>
      </c>
    </row>
    <row r="27" spans="2:8" s="9" customFormat="1" ht="26.1" customHeight="1" thickTop="1" thickBot="1" x14ac:dyDescent="0.45">
      <c r="B27" s="313">
        <v>20</v>
      </c>
      <c r="C27" s="298" t="s">
        <v>186</v>
      </c>
      <c r="D27" s="299" t="str">
        <f>IFERROR(VLOOKUP($C27,'MEMBERS LIST'!$C$5:$I$29,5,0),0)</f>
        <v>Nsawam</v>
      </c>
      <c r="E27" s="311">
        <f>IFERROR(VLOOKUP($C27,' SPECIAL LEVY FEES'!$C$5:$D$29,2,0),0)</f>
        <v>800</v>
      </c>
      <c r="F27" s="311">
        <f>IFERROR(VLOOKUP($C27,'SPECIAL LEVY'!$C$4:$D$28,2,0),0)</f>
        <v>800</v>
      </c>
      <c r="G27" s="310">
        <f t="shared" si="0"/>
        <v>0</v>
      </c>
      <c r="H27" s="307" t="s">
        <v>963</v>
      </c>
    </row>
    <row r="28" spans="2:8" s="9" customFormat="1" ht="26.1" customHeight="1" thickTop="1" thickBot="1" x14ac:dyDescent="0.45">
      <c r="B28" s="313">
        <v>21</v>
      </c>
      <c r="C28" s="304" t="s">
        <v>68</v>
      </c>
      <c r="D28" s="299" t="str">
        <f>IFERROR(VLOOKUP($C28,'MEMBERS LIST'!$C$5:$I$29,5,0),0)</f>
        <v>Odorkor</v>
      </c>
      <c r="E28" s="311">
        <f>IFERROR(VLOOKUP($C28,' SPECIAL LEVY FEES'!$C$5:$D$29,2,0),0)</f>
        <v>1000</v>
      </c>
      <c r="F28" s="311">
        <f>IFERROR(VLOOKUP($C28,'SPECIAL LEVY'!$C$4:$D$28,2,0),0)</f>
        <v>1000</v>
      </c>
      <c r="G28" s="310">
        <f t="shared" si="0"/>
        <v>0</v>
      </c>
      <c r="H28" s="307" t="s">
        <v>963</v>
      </c>
    </row>
    <row r="29" spans="2:8" s="9" customFormat="1" ht="26.1" customHeight="1" thickTop="1" thickBot="1" x14ac:dyDescent="0.45">
      <c r="B29" s="313">
        <v>22</v>
      </c>
      <c r="C29" s="304" t="s">
        <v>76</v>
      </c>
      <c r="D29" s="299" t="str">
        <f>IFERROR(VLOOKUP($C29,'MEMBERS LIST'!$C$5:$I$29,5,0),0)</f>
        <v>Kasoa</v>
      </c>
      <c r="E29" s="311">
        <f>IFERROR(VLOOKUP($C29,' SPECIAL LEVY FEES'!$C$5:$D$29,2,0),0)</f>
        <v>1000</v>
      </c>
      <c r="F29" s="311">
        <f>IFERROR(VLOOKUP($C29,'SPECIAL LEVY'!$C$4:$D$28,2,0),0)</f>
        <v>1000</v>
      </c>
      <c r="G29" s="310">
        <f t="shared" si="0"/>
        <v>0</v>
      </c>
      <c r="H29" s="307" t="s">
        <v>963</v>
      </c>
    </row>
    <row r="30" spans="2:8" s="9" customFormat="1" ht="26.1" customHeight="1" thickTop="1" thickBot="1" x14ac:dyDescent="0.45">
      <c r="B30" s="313">
        <v>23</v>
      </c>
      <c r="C30" s="298" t="s">
        <v>469</v>
      </c>
      <c r="D30" s="299" t="str">
        <f>IFERROR(VLOOKUP($C30,'MEMBERS LIST'!$C$5:$I$29,5,0),0)</f>
        <v>Darkuman</v>
      </c>
      <c r="E30" s="311">
        <f>IFERROR(VLOOKUP($C30,' SPECIAL LEVY FEES'!$C$5:$D$29,2,0),0)</f>
        <v>700</v>
      </c>
      <c r="F30" s="311">
        <f>IFERROR(VLOOKUP($C30,'SPECIAL LEVY'!$C$4:$D$28,2,0),0)</f>
        <v>700</v>
      </c>
      <c r="G30" s="310">
        <f t="shared" si="0"/>
        <v>0</v>
      </c>
      <c r="H30" s="307" t="s">
        <v>963</v>
      </c>
    </row>
    <row r="31" spans="2:8" s="9" customFormat="1" ht="26.1" customHeight="1" thickTop="1" thickBot="1" x14ac:dyDescent="0.45">
      <c r="B31" s="315"/>
      <c r="C31" s="316"/>
      <c r="D31" s="317"/>
      <c r="E31" s="322"/>
      <c r="F31" s="322"/>
      <c r="G31" s="321"/>
      <c r="H31" s="318"/>
    </row>
    <row r="32" spans="2:8" s="9" customFormat="1" ht="34.5" customHeight="1" thickBot="1" x14ac:dyDescent="0.45">
      <c r="B32" s="1075" t="s">
        <v>466</v>
      </c>
      <c r="C32" s="1076"/>
      <c r="D32" s="194"/>
      <c r="E32" s="194">
        <f>SUM(E8:E23)</f>
        <v>12500</v>
      </c>
      <c r="F32" s="194">
        <f>SUM(F8:F23)</f>
        <v>12500</v>
      </c>
      <c r="G32" s="194">
        <f>SUM(G8:G23)</f>
        <v>0</v>
      </c>
      <c r="H32" s="194"/>
    </row>
    <row r="33" spans="7:7" s="9" customFormat="1" ht="23.25" customHeight="1" x14ac:dyDescent="0.25"/>
    <row r="34" spans="7:7" s="77" customFormat="1" ht="24.75" customHeight="1" x14ac:dyDescent="0.4">
      <c r="G34" s="214"/>
    </row>
  </sheetData>
  <autoFilter ref="B7:G23" xr:uid="{00000000-0009-0000-0000-000026000000}"/>
  <sortState xmlns:xlrd2="http://schemas.microsoft.com/office/spreadsheetml/2017/richdata2" ref="C8:G25">
    <sortCondition ref="C8:C25"/>
  </sortState>
  <mergeCells count="2">
    <mergeCell ref="B32:C32"/>
    <mergeCell ref="C5:E5"/>
  </mergeCells>
  <conditionalFormatting sqref="B32:H32">
    <cfRule type="cellIs" dxfId="33" priority="8" operator="equal">
      <formula>0</formula>
    </cfRule>
  </conditionalFormatting>
  <conditionalFormatting sqref="E8:F31">
    <cfRule type="cellIs" dxfId="32" priority="9" operator="equal">
      <formula>0</formula>
    </cfRule>
  </conditionalFormatting>
  <conditionalFormatting sqref="G8:G31">
    <cfRule type="cellIs" dxfId="31" priority="7" operator="equal">
      <formula>0</formula>
    </cfRule>
  </conditionalFormatting>
  <conditionalFormatting sqref="H8:H30">
    <cfRule type="containsText" dxfId="30" priority="2" operator="containsText" text="REMOVED">
      <formula>NOT(ISERROR(SEARCH("REMOVED",H8)))</formula>
    </cfRule>
  </conditionalFormatting>
  <conditionalFormatting sqref="H8:H31">
    <cfRule type="containsText" dxfId="29" priority="3" operator="containsText" text="SUSPENSION">
      <formula>NOT(ISERROR(SEARCH("SUSPENSION",H8)))</formula>
    </cfRule>
    <cfRule type="containsText" dxfId="28" priority="4" operator="containsText" text="PROBATION">
      <formula>NOT(ISERROR(SEARCH("PROBATION",H8)))</formula>
    </cfRule>
    <cfRule type="containsText" dxfId="27" priority="5" operator="containsText" text="INACTIVE">
      <formula>NOT(ISERROR(SEARCH("INACTIVE",H8)))</formula>
    </cfRule>
    <cfRule type="containsText" dxfId="26" priority="6" operator="containsText" text="ACTIVE">
      <formula>NOT(ISERROR(SEARCH("ACTIVE",H8)))</formula>
    </cfRule>
  </conditionalFormatting>
  <conditionalFormatting sqref="H9:H10 H12 H18:H21 H23 H26:H30">
    <cfRule type="containsText" dxfId="25" priority="1" operator="containsText" text="RESIGNED">
      <formula>NOT(ISERROR(SEARCH("RESIGNED",H9)))</formula>
    </cfRule>
  </conditionalFormatting>
  <pageMargins left="0.7" right="0.7" top="0.75" bottom="0.75" header="0.3" footer="0.3"/>
  <pageSetup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FC4E-FC28-4624-92D7-CBD3E5EAEE05}">
  <sheetPr>
    <tabColor rgb="FF00B0F0"/>
  </sheetPr>
  <dimension ref="B3:N27"/>
  <sheetViews>
    <sheetView workbookViewId="0">
      <pane xSplit="5" ySplit="5" topLeftCell="F6" activePane="bottomRight" state="frozen"/>
      <selection activeCell="N15" sqref="N15"/>
      <selection pane="topRight" activeCell="N15" sqref="N15"/>
      <selection pane="bottomLeft" activeCell="N15" sqref="N15"/>
      <selection pane="bottomRight" activeCell="D5" sqref="D5"/>
    </sheetView>
  </sheetViews>
  <sheetFormatPr defaultColWidth="9.140625" defaultRowHeight="18" x14ac:dyDescent="0.25"/>
  <cols>
    <col min="1" max="1" width="2.85546875" style="216" customWidth="1"/>
    <col min="2" max="2" width="9.140625" style="371"/>
    <col min="3" max="3" width="48.140625" style="216" customWidth="1"/>
    <col min="4" max="4" width="22.5703125" style="216" bestFit="1" customWidth="1"/>
    <col min="5" max="5" width="15.7109375" style="216" customWidth="1"/>
    <col min="6" max="6" width="18.7109375" style="216" bestFit="1" customWidth="1"/>
    <col min="7" max="14" width="13.7109375" style="216" customWidth="1"/>
    <col min="15" max="18" width="14.7109375" style="216" customWidth="1"/>
    <col min="19" max="23" width="19.28515625" style="216" customWidth="1"/>
    <col min="24" max="16384" width="9.140625" style="216"/>
  </cols>
  <sheetData>
    <row r="3" spans="2:14" ht="47.25" thickBot="1" x14ac:dyDescent="0.8">
      <c r="B3" s="1043" t="s">
        <v>941</v>
      </c>
      <c r="C3" s="1043"/>
      <c r="D3" s="1043"/>
      <c r="E3" s="1043"/>
      <c r="F3" s="115"/>
      <c r="G3" s="115"/>
      <c r="H3" s="115"/>
      <c r="I3" s="115"/>
      <c r="J3" s="115"/>
      <c r="K3" s="115"/>
      <c r="L3" s="115"/>
      <c r="M3" s="115"/>
      <c r="N3" s="115"/>
    </row>
    <row r="4" spans="2:14" s="165" customFormat="1" ht="35.25" customHeight="1" thickTop="1" thickBot="1" x14ac:dyDescent="0.45">
      <c r="B4" s="772" t="s">
        <v>125</v>
      </c>
      <c r="C4" s="772" t="s">
        <v>57</v>
      </c>
      <c r="D4" s="772" t="s">
        <v>1036</v>
      </c>
      <c r="E4" s="772" t="s">
        <v>1</v>
      </c>
      <c r="F4" s="772" t="s">
        <v>1037</v>
      </c>
      <c r="G4" s="772">
        <v>2023</v>
      </c>
      <c r="H4" s="772">
        <v>2024</v>
      </c>
      <c r="I4" s="772">
        <v>2025</v>
      </c>
      <c r="J4" s="772">
        <v>2026</v>
      </c>
      <c r="K4" s="772">
        <v>2027</v>
      </c>
      <c r="L4" s="772">
        <v>2028</v>
      </c>
      <c r="M4" s="772">
        <v>2029</v>
      </c>
      <c r="N4" s="772">
        <v>2030</v>
      </c>
    </row>
    <row r="5" spans="2:14" s="165" customFormat="1" ht="35.25" customHeight="1" thickTop="1" thickBot="1" x14ac:dyDescent="0.45">
      <c r="B5" s="772"/>
      <c r="C5" s="772"/>
      <c r="D5" s="778">
        <f>'CASH FLOW'!C41</f>
        <v>66564.36</v>
      </c>
      <c r="E5" s="773" t="s">
        <v>487</v>
      </c>
      <c r="F5" s="773" t="s">
        <v>487</v>
      </c>
      <c r="G5" s="773" t="s">
        <v>487</v>
      </c>
      <c r="H5" s="773" t="s">
        <v>487</v>
      </c>
      <c r="I5" s="773" t="s">
        <v>487</v>
      </c>
      <c r="J5" s="773" t="s">
        <v>487</v>
      </c>
      <c r="K5" s="773" t="s">
        <v>487</v>
      </c>
      <c r="L5" s="773" t="s">
        <v>487</v>
      </c>
      <c r="M5" s="773" t="s">
        <v>487</v>
      </c>
      <c r="N5" s="773" t="s">
        <v>487</v>
      </c>
    </row>
    <row r="6" spans="2:14" ht="27.75" thickTop="1" thickBot="1" x14ac:dyDescent="0.3">
      <c r="B6" s="769">
        <v>1</v>
      </c>
      <c r="C6" s="654" t="s">
        <v>621</v>
      </c>
      <c r="D6" s="777">
        <f t="shared" ref="D6:D25" si="0">$D$5/$E$26*E6</f>
        <v>3034.8492401215804</v>
      </c>
      <c r="E6" s="770">
        <f t="shared" ref="E6:E24" si="1">SUM(F6:O6)</f>
        <v>60</v>
      </c>
      <c r="F6" s="771">
        <f>IFERROR(VLOOKUP($C6,'VEHICLE SHARES HOLDING'!$C$8:$E$31,3,0),0)</f>
        <v>0</v>
      </c>
      <c r="G6" s="771">
        <f>IFERROR(VLOOKUP($C6,'MONTHLY DUES 2023'!$C$5:$E$24,3,0),0)</f>
        <v>0</v>
      </c>
      <c r="H6" s="771">
        <f>IFERROR(VLOOKUP($C6,'MONTHLY DUES 2024'!$C$5:$E$24,3,0),0)</f>
        <v>18</v>
      </c>
      <c r="I6" s="771">
        <f>IFERROR(VLOOKUP($C6,'MONTHLY DUES 2025'!$C$5:$E$24,3,0),0)</f>
        <v>24</v>
      </c>
      <c r="J6" s="771">
        <f>IFERROR(VLOOKUP($C6,'MONTHLY DUES 2026'!$C$5:$E$25,3,0),0)</f>
        <v>18</v>
      </c>
      <c r="K6" s="771">
        <f>IFERROR(VLOOKUP($C6,'MONTHLY DUES 2027'!$C$5:$E$24,3,0),0)</f>
        <v>0</v>
      </c>
      <c r="L6" s="771">
        <f>IFERROR(VLOOKUP($C6,'MONTHLY DUES 2028'!$C$5:$E$24,3,0),0)</f>
        <v>0</v>
      </c>
      <c r="M6" s="771">
        <f>IFERROR(VLOOKUP($C6,'MONTHLY DUES 2029'!$C$5:$E$24,3,0),0)</f>
        <v>0</v>
      </c>
      <c r="N6" s="771">
        <f>IFERROR(VLOOKUP($C6,'MONTHLY DUES 2030'!$C$5:$E$24,3,0),0)</f>
        <v>0</v>
      </c>
    </row>
    <row r="7" spans="2:14" ht="27.75" thickTop="1" thickBot="1" x14ac:dyDescent="0.3">
      <c r="B7" s="653">
        <v>2</v>
      </c>
      <c r="C7" s="776" t="s">
        <v>691</v>
      </c>
      <c r="D7" s="777">
        <f t="shared" si="0"/>
        <v>1517.4246200607902</v>
      </c>
      <c r="E7" s="661">
        <f t="shared" si="1"/>
        <v>30</v>
      </c>
      <c r="F7" s="771">
        <f>IFERROR(VLOOKUP($C7,'VEHICLE SHARES HOLDING'!$C$8:$E$31,3,0),0)</f>
        <v>0</v>
      </c>
      <c r="G7" s="662">
        <f>IFERROR(VLOOKUP($C7,'MONTHLY DUES 2023'!$C$5:$E$24,3,0),0)</f>
        <v>0</v>
      </c>
      <c r="H7" s="662">
        <f>IFERROR(VLOOKUP($C7,'MONTHLY DUES 2024'!$C$5:$E$24,3,0),0)</f>
        <v>0</v>
      </c>
      <c r="I7" s="662">
        <f>IFERROR(VLOOKUP($C7,'MONTHLY DUES 2025'!$C$5:$E$24,3,0),0)</f>
        <v>24</v>
      </c>
      <c r="J7" s="662">
        <f>IFERROR(VLOOKUP($C7,'MONTHLY DUES 2026'!$C$5:$E$25,3,0),0)</f>
        <v>6</v>
      </c>
      <c r="K7" s="662">
        <f>IFERROR(VLOOKUP($C7,'MONTHLY DUES 2027'!$C$5:$E$24,3,0),0)</f>
        <v>0</v>
      </c>
      <c r="L7" s="662">
        <f>IFERROR(VLOOKUP($C7,'MONTHLY DUES 2028'!$C$5:$E$24,3,0),0)</f>
        <v>0</v>
      </c>
      <c r="M7" s="662">
        <f>IFERROR(VLOOKUP($C7,'MONTHLY DUES 2029'!$C$5:$E$24,3,0),0)</f>
        <v>0</v>
      </c>
      <c r="N7" s="662">
        <f>IFERROR(VLOOKUP($C7,'MONTHLY DUES 2030'!$C$5:$E$24,3,0),0)</f>
        <v>0</v>
      </c>
    </row>
    <row r="8" spans="2:14" ht="27.75" thickTop="1" thickBot="1" x14ac:dyDescent="0.3">
      <c r="B8" s="653">
        <v>3</v>
      </c>
      <c r="C8" s="654" t="s">
        <v>502</v>
      </c>
      <c r="D8" s="777">
        <f t="shared" si="0"/>
        <v>3439.4958054711246</v>
      </c>
      <c r="E8" s="661">
        <f t="shared" si="1"/>
        <v>68</v>
      </c>
      <c r="F8" s="771">
        <f>IFERROR(VLOOKUP($C8,'VEHICLE SHARES HOLDING'!$C$8:$E$31,3,0),0)</f>
        <v>0</v>
      </c>
      <c r="G8" s="662">
        <f>IFERROR(VLOOKUP($C8,'MONTHLY DUES 2023'!$C$5:$E$24,3,0),0)</f>
        <v>12</v>
      </c>
      <c r="H8" s="662">
        <f>IFERROR(VLOOKUP($C8,'MONTHLY DUES 2024'!$C$5:$E$24,3,0),0)</f>
        <v>18</v>
      </c>
      <c r="I8" s="662">
        <f>IFERROR(VLOOKUP($C8,'MONTHLY DUES 2025'!$C$5:$E$24,3,0),0)</f>
        <v>24</v>
      </c>
      <c r="J8" s="662">
        <f>IFERROR(VLOOKUP($C8,'MONTHLY DUES 2026'!$C$5:$E$25,3,0),0)</f>
        <v>14</v>
      </c>
      <c r="K8" s="662">
        <f>IFERROR(VLOOKUP($C8,'MONTHLY DUES 2027'!$C$5:$E$24,3,0),0)</f>
        <v>0</v>
      </c>
      <c r="L8" s="662">
        <f>IFERROR(VLOOKUP($C8,'MONTHLY DUES 2028'!$C$5:$E$24,3,0),0)</f>
        <v>0</v>
      </c>
      <c r="M8" s="662">
        <f>IFERROR(VLOOKUP($C8,'MONTHLY DUES 2029'!$C$5:$E$24,3,0),0)</f>
        <v>0</v>
      </c>
      <c r="N8" s="662">
        <f>IFERROR(VLOOKUP($C8,'MONTHLY DUES 2030'!$C$5:$E$24,3,0),0)</f>
        <v>0</v>
      </c>
    </row>
    <row r="9" spans="2:14" ht="27.75" thickTop="1" thickBot="1" x14ac:dyDescent="0.3">
      <c r="B9" s="653">
        <v>4</v>
      </c>
      <c r="C9" s="654" t="s">
        <v>504</v>
      </c>
      <c r="D9" s="777">
        <f t="shared" si="0"/>
        <v>3439.4958054711246</v>
      </c>
      <c r="E9" s="661">
        <f t="shared" si="1"/>
        <v>68</v>
      </c>
      <c r="F9" s="771">
        <f>IFERROR(VLOOKUP($C9,'VEHICLE SHARES HOLDING'!$C$8:$E$31,3,0),0)</f>
        <v>0</v>
      </c>
      <c r="G9" s="662">
        <f>IFERROR(VLOOKUP($C9,'MONTHLY DUES 2023'!$C$5:$E$24,3,0),0)</f>
        <v>12</v>
      </c>
      <c r="H9" s="662">
        <f>IFERROR(VLOOKUP($C9,'MONTHLY DUES 2024'!$C$5:$E$24,3,0),0)</f>
        <v>18</v>
      </c>
      <c r="I9" s="662">
        <f>IFERROR(VLOOKUP($C9,'MONTHLY DUES 2025'!$C$5:$E$24,3,0),0)</f>
        <v>24</v>
      </c>
      <c r="J9" s="662">
        <f>IFERROR(VLOOKUP($C9,'MONTHLY DUES 2026'!$C$5:$E$25,3,0),0)</f>
        <v>14</v>
      </c>
      <c r="K9" s="662">
        <f>IFERROR(VLOOKUP($C9,'MONTHLY DUES 2027'!$C$5:$E$24,3,0),0)</f>
        <v>0</v>
      </c>
      <c r="L9" s="662">
        <f>IFERROR(VLOOKUP($C9,'MONTHLY DUES 2028'!$C$5:$E$24,3,0),0)</f>
        <v>0</v>
      </c>
      <c r="M9" s="662">
        <f>IFERROR(VLOOKUP($C9,'MONTHLY DUES 2029'!$C$5:$E$24,3,0),0)</f>
        <v>0</v>
      </c>
      <c r="N9" s="662">
        <f>IFERROR(VLOOKUP($C9,'MONTHLY DUES 2030'!$C$5:$E$24,3,0),0)</f>
        <v>0</v>
      </c>
    </row>
    <row r="10" spans="2:14" ht="27.75" thickTop="1" thickBot="1" x14ac:dyDescent="0.3">
      <c r="B10" s="653">
        <v>5</v>
      </c>
      <c r="C10" s="654" t="s">
        <v>518</v>
      </c>
      <c r="D10" s="777">
        <f t="shared" si="0"/>
        <v>3945.3040121580548</v>
      </c>
      <c r="E10" s="661">
        <f t="shared" si="1"/>
        <v>78</v>
      </c>
      <c r="F10" s="771">
        <f>IFERROR(VLOOKUP($C10,'VEHICLE SHARES HOLDING'!$C$8:$E$31,3,0),0)</f>
        <v>0</v>
      </c>
      <c r="G10" s="662">
        <f>IFERROR(VLOOKUP($C10,'MONTHLY DUES 2023'!$C$5:$E$24,3,0),0)</f>
        <v>12</v>
      </c>
      <c r="H10" s="662">
        <f>IFERROR(VLOOKUP($C10,'MONTHLY DUES 2024'!$C$5:$E$24,3,0),0)</f>
        <v>18</v>
      </c>
      <c r="I10" s="662">
        <f>IFERROR(VLOOKUP($C10,'MONTHLY DUES 2025'!$C$5:$E$24,3,0),0)</f>
        <v>24</v>
      </c>
      <c r="J10" s="662">
        <f>IFERROR(VLOOKUP($C10,'MONTHLY DUES 2026'!$C$5:$E$25,3,0),0)</f>
        <v>24</v>
      </c>
      <c r="K10" s="662">
        <f>IFERROR(VLOOKUP($C10,'MONTHLY DUES 2027'!$C$5:$E$24,3,0),0)</f>
        <v>0</v>
      </c>
      <c r="L10" s="662">
        <f>IFERROR(VLOOKUP($C10,'MONTHLY DUES 2028'!$C$5:$E$24,3,0),0)</f>
        <v>0</v>
      </c>
      <c r="M10" s="662">
        <f>IFERROR(VLOOKUP($C10,'MONTHLY DUES 2029'!$C$5:$E$24,3,0),0)</f>
        <v>0</v>
      </c>
      <c r="N10" s="662">
        <f>IFERROR(VLOOKUP($C10,'MONTHLY DUES 2030'!$C$5:$E$24,3,0),0)</f>
        <v>0</v>
      </c>
    </row>
    <row r="11" spans="2:14" ht="27.75" thickTop="1" thickBot="1" x14ac:dyDescent="0.3">
      <c r="B11" s="653">
        <v>6</v>
      </c>
      <c r="C11" s="654" t="s">
        <v>686</v>
      </c>
      <c r="D11" s="777">
        <f t="shared" si="0"/>
        <v>3338.3341641337383</v>
      </c>
      <c r="E11" s="661">
        <f t="shared" si="1"/>
        <v>66</v>
      </c>
      <c r="F11" s="771">
        <f>IFERROR(VLOOKUP($C11,'VEHICLE SHARES HOLDING'!$C$8:$E$31,3,0),0)</f>
        <v>0</v>
      </c>
      <c r="G11" s="662">
        <f>IFERROR(VLOOKUP($C11,'MONTHLY DUES 2023'!$C$5:$E$24,3,0),0)</f>
        <v>0</v>
      </c>
      <c r="H11" s="662">
        <f>IFERROR(VLOOKUP($C11,'MONTHLY DUES 2024'!$C$5:$E$24,3,0),0)</f>
        <v>18</v>
      </c>
      <c r="I11" s="662">
        <f>IFERROR(VLOOKUP($C11,'MONTHLY DUES 2025'!$C$5:$E$24,3,0),0)</f>
        <v>24</v>
      </c>
      <c r="J11" s="662">
        <f>IFERROR(VLOOKUP($C11,'MONTHLY DUES 2026'!$C$5:$E$25,3,0),0)</f>
        <v>24</v>
      </c>
      <c r="K11" s="662">
        <f>IFERROR(VLOOKUP($C11,'MONTHLY DUES 2027'!$C$5:$E$24,3,0),0)</f>
        <v>0</v>
      </c>
      <c r="L11" s="662">
        <f>IFERROR(VLOOKUP($C11,'MONTHLY DUES 2028'!$C$5:$E$24,3,0),0)</f>
        <v>0</v>
      </c>
      <c r="M11" s="662">
        <f>IFERROR(VLOOKUP($C11,'MONTHLY DUES 2029'!$C$5:$E$24,3,0),0)</f>
        <v>0</v>
      </c>
      <c r="N11" s="662">
        <f>IFERROR(VLOOKUP($C11,'MONTHLY DUES 2030'!$C$5:$E$24,3,0),0)</f>
        <v>0</v>
      </c>
    </row>
    <row r="12" spans="2:14" ht="27.75" thickTop="1" thickBot="1" x14ac:dyDescent="0.3">
      <c r="B12" s="653">
        <v>7</v>
      </c>
      <c r="C12" s="654" t="s">
        <v>1141</v>
      </c>
      <c r="D12" s="777">
        <f t="shared" si="0"/>
        <v>910.4547720364742</v>
      </c>
      <c r="E12" s="661">
        <f t="shared" ref="E12" si="2">SUM(F12:O12)</f>
        <v>18</v>
      </c>
      <c r="F12" s="771">
        <f>IFERROR(VLOOKUP($C12,'VEHICLE SHARES HOLDING'!$C$8:$E$31,3,0),0)</f>
        <v>0</v>
      </c>
      <c r="G12" s="662">
        <f>IFERROR(VLOOKUP($C12,'MONTHLY DUES 2023'!$C$5:$E$24,3,0),0)</f>
        <v>0</v>
      </c>
      <c r="H12" s="662">
        <f>IFERROR(VLOOKUP($C12,'MONTHLY DUES 2024'!$C$5:$E$24,3,0),0)</f>
        <v>0</v>
      </c>
      <c r="I12" s="662">
        <f>IFERROR(VLOOKUP($C12,'MONTHLY DUES 2025'!$C$5:$E$24,3,0),0)</f>
        <v>0</v>
      </c>
      <c r="J12" s="662">
        <f>IFERROR(VLOOKUP($C12,'MONTHLY DUES 2026'!$C$5:$E$25,3,0),0)</f>
        <v>18</v>
      </c>
      <c r="K12" s="662">
        <f>IFERROR(VLOOKUP($C12,'MONTHLY DUES 2027'!$C$5:$E$24,3,0),0)</f>
        <v>0</v>
      </c>
      <c r="L12" s="662">
        <f>IFERROR(VLOOKUP($C12,'MONTHLY DUES 2028'!$C$5:$E$24,3,0),0)</f>
        <v>0</v>
      </c>
      <c r="M12" s="662">
        <f>IFERROR(VLOOKUP($C12,'MONTHLY DUES 2029'!$C$5:$E$24,3,0),0)</f>
        <v>0</v>
      </c>
      <c r="N12" s="662">
        <f>IFERROR(VLOOKUP($C12,'MONTHLY DUES 2030'!$C$5:$E$24,3,0),0)</f>
        <v>0</v>
      </c>
    </row>
    <row r="13" spans="2:14" ht="27.75" thickTop="1" thickBot="1" x14ac:dyDescent="0.3">
      <c r="B13" s="653">
        <v>8</v>
      </c>
      <c r="C13" s="654" t="s">
        <v>505</v>
      </c>
      <c r="D13" s="777">
        <f t="shared" si="0"/>
        <v>3439.4958054711246</v>
      </c>
      <c r="E13" s="661">
        <f t="shared" si="1"/>
        <v>68</v>
      </c>
      <c r="F13" s="771">
        <f>IFERROR(VLOOKUP($C13,'VEHICLE SHARES HOLDING'!$C$8:$E$31,3,0),0)</f>
        <v>0</v>
      </c>
      <c r="G13" s="662">
        <f>IFERROR(VLOOKUP($C13,'MONTHLY DUES 2023'!$C$5:$E$24,3,0),0)</f>
        <v>12</v>
      </c>
      <c r="H13" s="662">
        <f>IFERROR(VLOOKUP($C13,'MONTHLY DUES 2024'!$C$5:$E$24,3,0),0)</f>
        <v>18</v>
      </c>
      <c r="I13" s="662">
        <f>IFERROR(VLOOKUP($C13,'MONTHLY DUES 2025'!$C$5:$E$24,3,0),0)</f>
        <v>24</v>
      </c>
      <c r="J13" s="662">
        <f>IFERROR(VLOOKUP($C13,'MONTHLY DUES 2026'!$C$5:$E$25,3,0),0)</f>
        <v>14</v>
      </c>
      <c r="K13" s="662">
        <f>IFERROR(VLOOKUP($C13,'MONTHLY DUES 2027'!$C$5:$E$24,3,0),0)</f>
        <v>0</v>
      </c>
      <c r="L13" s="662">
        <f>IFERROR(VLOOKUP($C13,'MONTHLY DUES 2028'!$C$5:$E$24,3,0),0)</f>
        <v>0</v>
      </c>
      <c r="M13" s="662">
        <f>IFERROR(VLOOKUP($C13,'MONTHLY DUES 2029'!$C$5:$E$24,3,0),0)</f>
        <v>0</v>
      </c>
      <c r="N13" s="662">
        <f>IFERROR(VLOOKUP($C13,'MONTHLY DUES 2030'!$C$5:$E$24,3,0),0)</f>
        <v>0</v>
      </c>
    </row>
    <row r="14" spans="2:14" ht="27.75" thickTop="1" thickBot="1" x14ac:dyDescent="0.3">
      <c r="B14" s="653">
        <v>9</v>
      </c>
      <c r="C14" s="654" t="s">
        <v>506</v>
      </c>
      <c r="D14" s="777">
        <f t="shared" si="0"/>
        <v>3540.6574468085105</v>
      </c>
      <c r="E14" s="661">
        <f t="shared" si="1"/>
        <v>70</v>
      </c>
      <c r="F14" s="771">
        <f>IFERROR(VLOOKUP($C14,'VEHICLE SHARES HOLDING'!$C$8:$E$31,3,0),0)</f>
        <v>0</v>
      </c>
      <c r="G14" s="662">
        <f>IFERROR(VLOOKUP($C14,'MONTHLY DUES 2023'!$C$5:$E$24,3,0),0)</f>
        <v>12</v>
      </c>
      <c r="H14" s="662">
        <f>IFERROR(VLOOKUP($C14,'MONTHLY DUES 2024'!$C$5:$E$24,3,0),0)</f>
        <v>18</v>
      </c>
      <c r="I14" s="662">
        <f>IFERROR(VLOOKUP($C14,'MONTHLY DUES 2025'!$C$5:$E$24,3,0),0)</f>
        <v>24</v>
      </c>
      <c r="J14" s="662">
        <f>IFERROR(VLOOKUP($C14,'MONTHLY DUES 2026'!$C$5:$E$25,3,0),0)</f>
        <v>16</v>
      </c>
      <c r="K14" s="662">
        <f>IFERROR(VLOOKUP($C14,'MONTHLY DUES 2027'!$C$5:$E$24,3,0),0)</f>
        <v>0</v>
      </c>
      <c r="L14" s="662">
        <f>IFERROR(VLOOKUP($C14,'MONTHLY DUES 2028'!$C$5:$E$24,3,0),0)</f>
        <v>0</v>
      </c>
      <c r="M14" s="662">
        <f>IFERROR(VLOOKUP($C14,'MONTHLY DUES 2029'!$C$5:$E$24,3,0),0)</f>
        <v>0</v>
      </c>
      <c r="N14" s="662">
        <f>IFERROR(VLOOKUP($C14,'MONTHLY DUES 2030'!$C$5:$E$24,3,0),0)</f>
        <v>0</v>
      </c>
    </row>
    <row r="15" spans="2:14" ht="27.75" thickTop="1" thickBot="1" x14ac:dyDescent="0.3">
      <c r="B15" s="653">
        <v>10</v>
      </c>
      <c r="C15" s="654" t="s">
        <v>507</v>
      </c>
      <c r="D15" s="777">
        <f t="shared" si="0"/>
        <v>3641.8190881458968</v>
      </c>
      <c r="E15" s="661">
        <f t="shared" si="1"/>
        <v>72</v>
      </c>
      <c r="F15" s="771">
        <f>IFERROR(VLOOKUP($C15,'VEHICLE SHARES HOLDING'!$C$8:$E$31,3,0),0)</f>
        <v>0</v>
      </c>
      <c r="G15" s="662">
        <f>IFERROR(VLOOKUP($C15,'MONTHLY DUES 2023'!$C$5:$E$24,3,0),0)</f>
        <v>12</v>
      </c>
      <c r="H15" s="662">
        <f>IFERROR(VLOOKUP($C15,'MONTHLY DUES 2024'!$C$5:$E$24,3,0),0)</f>
        <v>18</v>
      </c>
      <c r="I15" s="662">
        <f>IFERROR(VLOOKUP($C15,'MONTHLY DUES 2025'!$C$5:$E$24,3,0),0)</f>
        <v>24</v>
      </c>
      <c r="J15" s="662">
        <f>IFERROR(VLOOKUP($C15,'MONTHLY DUES 2026'!$C$5:$E$25,3,0),0)</f>
        <v>18</v>
      </c>
      <c r="K15" s="662">
        <f>IFERROR(VLOOKUP($C15,'MONTHLY DUES 2027'!$C$5:$E$24,3,0),0)</f>
        <v>0</v>
      </c>
      <c r="L15" s="662">
        <f>IFERROR(VLOOKUP($C15,'MONTHLY DUES 2028'!$C$5:$E$24,3,0),0)</f>
        <v>0</v>
      </c>
      <c r="M15" s="662">
        <f>IFERROR(VLOOKUP($C15,'MONTHLY DUES 2029'!$C$5:$E$24,3,0),0)</f>
        <v>0</v>
      </c>
      <c r="N15" s="662">
        <f>IFERROR(VLOOKUP($C15,'MONTHLY DUES 2030'!$C$5:$E$24,3,0),0)</f>
        <v>0</v>
      </c>
    </row>
    <row r="16" spans="2:14" ht="27.75" thickTop="1" thickBot="1" x14ac:dyDescent="0.3">
      <c r="B16" s="653">
        <v>11</v>
      </c>
      <c r="C16" s="654" t="s">
        <v>508</v>
      </c>
      <c r="D16" s="777">
        <f t="shared" si="0"/>
        <v>5968.5368389057749</v>
      </c>
      <c r="E16" s="661">
        <f t="shared" si="1"/>
        <v>118</v>
      </c>
      <c r="F16" s="771">
        <f>IFERROR(VLOOKUP($C16,'VEHICLE SHARES HOLDING'!$C$8:$E$31,3,0),0)</f>
        <v>40</v>
      </c>
      <c r="G16" s="662">
        <f>IFERROR(VLOOKUP($C16,'MONTHLY DUES 2023'!$C$5:$E$24,3,0),0)</f>
        <v>12</v>
      </c>
      <c r="H16" s="662">
        <f>IFERROR(VLOOKUP($C16,'MONTHLY DUES 2024'!$C$5:$E$24,3,0),0)</f>
        <v>18</v>
      </c>
      <c r="I16" s="662">
        <f>IFERROR(VLOOKUP($C16,'MONTHLY DUES 2025'!$C$5:$E$24,3,0),0)</f>
        <v>24</v>
      </c>
      <c r="J16" s="662">
        <f>IFERROR(VLOOKUP($C16,'MONTHLY DUES 2026'!$C$5:$E$25,3,0),0)</f>
        <v>24</v>
      </c>
      <c r="K16" s="662">
        <f>IFERROR(VLOOKUP($C16,'MONTHLY DUES 2027'!$C$5:$E$24,3,0),0)</f>
        <v>0</v>
      </c>
      <c r="L16" s="662">
        <f>IFERROR(VLOOKUP($C16,'MONTHLY DUES 2028'!$C$5:$E$24,3,0),0)</f>
        <v>0</v>
      </c>
      <c r="M16" s="662">
        <f>IFERROR(VLOOKUP($C16,'MONTHLY DUES 2029'!$C$5:$E$24,3,0),0)</f>
        <v>0</v>
      </c>
      <c r="N16" s="662">
        <f>IFERROR(VLOOKUP($C16,'MONTHLY DUES 2030'!$C$5:$E$24,3,0),0)</f>
        <v>0</v>
      </c>
    </row>
    <row r="17" spans="2:14" ht="27.75" thickTop="1" thickBot="1" x14ac:dyDescent="0.3">
      <c r="B17" s="653">
        <v>12</v>
      </c>
      <c r="C17" s="654" t="s">
        <v>510</v>
      </c>
      <c r="D17" s="777">
        <f t="shared" si="0"/>
        <v>3034.8492401215804</v>
      </c>
      <c r="E17" s="661">
        <f t="shared" si="1"/>
        <v>60</v>
      </c>
      <c r="F17" s="771">
        <f>IFERROR(VLOOKUP($C17,'VEHICLE SHARES HOLDING'!$C$8:$E$31,3,0),0)</f>
        <v>0</v>
      </c>
      <c r="G17" s="662">
        <f>IFERROR(VLOOKUP($C17,'MONTHLY DUES 2023'!$C$5:$E$24,3,0),0)</f>
        <v>12</v>
      </c>
      <c r="H17" s="662">
        <f>IFERROR(VLOOKUP($C17,'MONTHLY DUES 2024'!$C$5:$E$24,3,0),0)</f>
        <v>18</v>
      </c>
      <c r="I17" s="662">
        <f>IFERROR(VLOOKUP($C17,'MONTHLY DUES 2025'!$C$5:$E$24,3,0),0)</f>
        <v>24</v>
      </c>
      <c r="J17" s="662">
        <f>IFERROR(VLOOKUP($C17,'MONTHLY DUES 2026'!$C$5:$E$25,3,0),0)</f>
        <v>6</v>
      </c>
      <c r="K17" s="662">
        <f>IFERROR(VLOOKUP($C17,'MONTHLY DUES 2027'!$C$5:$E$24,3,0),0)</f>
        <v>0</v>
      </c>
      <c r="L17" s="662">
        <f>IFERROR(VLOOKUP($C17,'MONTHLY DUES 2028'!$C$5:$E$24,3,0),0)</f>
        <v>0</v>
      </c>
      <c r="M17" s="662">
        <f>IFERROR(VLOOKUP($C17,'MONTHLY DUES 2029'!$C$5:$E$24,3,0),0)</f>
        <v>0</v>
      </c>
      <c r="N17" s="662">
        <f>IFERROR(VLOOKUP($C17,'MONTHLY DUES 2030'!$C$5:$E$24,3,0),0)</f>
        <v>0</v>
      </c>
    </row>
    <row r="18" spans="2:14" ht="27.75" thickTop="1" thickBot="1" x14ac:dyDescent="0.3">
      <c r="B18" s="653">
        <v>13</v>
      </c>
      <c r="C18" s="654" t="s">
        <v>511</v>
      </c>
      <c r="D18" s="777">
        <f t="shared" si="0"/>
        <v>3034.8492401215804</v>
      </c>
      <c r="E18" s="661">
        <f t="shared" si="1"/>
        <v>60</v>
      </c>
      <c r="F18" s="771">
        <f>IFERROR(VLOOKUP($C18,'VEHICLE SHARES HOLDING'!$C$8:$E$31,3,0),0)</f>
        <v>0</v>
      </c>
      <c r="G18" s="662">
        <f>IFERROR(VLOOKUP($C18,'MONTHLY DUES 2023'!$C$5:$E$24,3,0),0)</f>
        <v>12</v>
      </c>
      <c r="H18" s="662">
        <f>IFERROR(VLOOKUP($C18,'MONTHLY DUES 2024'!$C$5:$E$24,3,0),0)</f>
        <v>18</v>
      </c>
      <c r="I18" s="662">
        <f>IFERROR(VLOOKUP($C18,'MONTHLY DUES 2025'!$C$5:$E$24,3,0),0)</f>
        <v>24</v>
      </c>
      <c r="J18" s="662">
        <f>IFERROR(VLOOKUP($C18,'MONTHLY DUES 2026'!$C$5:$E$25,3,0),0)</f>
        <v>6</v>
      </c>
      <c r="K18" s="662">
        <f>IFERROR(VLOOKUP($C18,'MONTHLY DUES 2027'!$C$5:$E$24,3,0),0)</f>
        <v>0</v>
      </c>
      <c r="L18" s="662">
        <f>IFERROR(VLOOKUP($C18,'MONTHLY DUES 2028'!$C$5:$E$24,3,0),0)</f>
        <v>0</v>
      </c>
      <c r="M18" s="662">
        <f>IFERROR(VLOOKUP($C18,'MONTHLY DUES 2029'!$C$5:$E$24,3,0),0)</f>
        <v>0</v>
      </c>
      <c r="N18" s="662">
        <f>IFERROR(VLOOKUP($C18,'MONTHLY DUES 2030'!$C$5:$E$24,3,0),0)</f>
        <v>0</v>
      </c>
    </row>
    <row r="19" spans="2:14" ht="27.75" thickTop="1" thickBot="1" x14ac:dyDescent="0.3">
      <c r="B19" s="653">
        <v>14</v>
      </c>
      <c r="C19" s="654" t="s">
        <v>512</v>
      </c>
      <c r="D19" s="777">
        <f t="shared" si="0"/>
        <v>3742.9807294832826</v>
      </c>
      <c r="E19" s="661">
        <f t="shared" si="1"/>
        <v>74</v>
      </c>
      <c r="F19" s="771">
        <f>IFERROR(VLOOKUP($C19,'VEHICLE SHARES HOLDING'!$C$8:$E$31,3,0),0)</f>
        <v>0</v>
      </c>
      <c r="G19" s="662">
        <f>IFERROR(VLOOKUP($C19,'MONTHLY DUES 2023'!$C$5:$E$24,3,0),0)</f>
        <v>12</v>
      </c>
      <c r="H19" s="662">
        <f>IFERROR(VLOOKUP($C19,'MONTHLY DUES 2024'!$C$5:$E$24,3,0),0)</f>
        <v>18</v>
      </c>
      <c r="I19" s="662">
        <f>IFERROR(VLOOKUP($C19,'MONTHLY DUES 2025'!$C$5:$E$24,3,0),0)</f>
        <v>24</v>
      </c>
      <c r="J19" s="662">
        <f>IFERROR(VLOOKUP($C19,'MONTHLY DUES 2026'!$C$5:$E$25,3,0),0)</f>
        <v>20</v>
      </c>
      <c r="K19" s="662">
        <f>IFERROR(VLOOKUP($C19,'MONTHLY DUES 2027'!$C$5:$E$24,3,0),0)</f>
        <v>0</v>
      </c>
      <c r="L19" s="662">
        <f>IFERROR(VLOOKUP($C19,'MONTHLY DUES 2028'!$C$5:$E$24,3,0),0)</f>
        <v>0</v>
      </c>
      <c r="M19" s="662">
        <f>IFERROR(VLOOKUP($C19,'MONTHLY DUES 2029'!$C$5:$E$24,3,0),0)</f>
        <v>0</v>
      </c>
      <c r="N19" s="662">
        <f>IFERROR(VLOOKUP($C19,'MONTHLY DUES 2030'!$C$5:$E$24,3,0),0)</f>
        <v>0</v>
      </c>
    </row>
    <row r="20" spans="2:14" ht="27.75" thickTop="1" thickBot="1" x14ac:dyDescent="0.3">
      <c r="B20" s="653">
        <v>15</v>
      </c>
      <c r="C20" s="654" t="s">
        <v>513</v>
      </c>
      <c r="D20" s="777">
        <f t="shared" si="0"/>
        <v>3945.3040121580548</v>
      </c>
      <c r="E20" s="661">
        <f t="shared" si="1"/>
        <v>78</v>
      </c>
      <c r="F20" s="771">
        <f>IFERROR(VLOOKUP($C20,'VEHICLE SHARES HOLDING'!$C$8:$E$31,3,0),0)</f>
        <v>0</v>
      </c>
      <c r="G20" s="662">
        <f>IFERROR(VLOOKUP($C20,'MONTHLY DUES 2023'!$C$5:$E$24,3,0),0)</f>
        <v>12</v>
      </c>
      <c r="H20" s="662">
        <f>IFERROR(VLOOKUP($C20,'MONTHLY DUES 2024'!$C$5:$E$24,3,0),0)</f>
        <v>18</v>
      </c>
      <c r="I20" s="662">
        <f>IFERROR(VLOOKUP($C20,'MONTHLY DUES 2025'!$C$5:$E$24,3,0),0)</f>
        <v>24</v>
      </c>
      <c r="J20" s="662">
        <f>IFERROR(VLOOKUP($C20,'MONTHLY DUES 2026'!$C$5:$E$25,3,0),0)</f>
        <v>24</v>
      </c>
      <c r="K20" s="662">
        <f>IFERROR(VLOOKUP($C20,'MONTHLY DUES 2027'!$C$5:$E$24,3,0),0)</f>
        <v>0</v>
      </c>
      <c r="L20" s="662">
        <f>IFERROR(VLOOKUP($C20,'MONTHLY DUES 2028'!$C$5:$E$24,3,0),0)</f>
        <v>0</v>
      </c>
      <c r="M20" s="662">
        <f>IFERROR(VLOOKUP($C20,'MONTHLY DUES 2029'!$C$5:$E$24,3,0),0)</f>
        <v>0</v>
      </c>
      <c r="N20" s="662">
        <f>IFERROR(VLOOKUP($C20,'MONTHLY DUES 2030'!$C$5:$E$24,3,0),0)</f>
        <v>0</v>
      </c>
    </row>
    <row r="21" spans="2:14" ht="27.75" thickTop="1" thickBot="1" x14ac:dyDescent="0.3">
      <c r="B21" s="653">
        <v>16</v>
      </c>
      <c r="C21" s="654" t="s">
        <v>557</v>
      </c>
      <c r="D21" s="777">
        <f t="shared" si="0"/>
        <v>5563.8902735562306</v>
      </c>
      <c r="E21" s="661">
        <f t="shared" si="1"/>
        <v>110</v>
      </c>
      <c r="F21" s="771">
        <f>IFERROR(VLOOKUP($C21,'VEHICLE SHARES HOLDING'!$C$8:$E$31,3,0),0)</f>
        <v>40</v>
      </c>
      <c r="G21" s="662">
        <f>IFERROR(VLOOKUP($C21,'MONTHLY DUES 2023'!$C$5:$E$24,3,0),0)</f>
        <v>12</v>
      </c>
      <c r="H21" s="662">
        <f>IFERROR(VLOOKUP($C21,'MONTHLY DUES 2024'!$C$5:$E$24,3,0),0)</f>
        <v>18</v>
      </c>
      <c r="I21" s="662">
        <f>IFERROR(VLOOKUP($C21,'MONTHLY DUES 2025'!$C$5:$E$24,3,0),0)</f>
        <v>24</v>
      </c>
      <c r="J21" s="662">
        <f>IFERROR(VLOOKUP($C21,'MONTHLY DUES 2026'!$C$5:$E$25,3,0),0)</f>
        <v>16</v>
      </c>
      <c r="K21" s="662">
        <f>IFERROR(VLOOKUP($C21,'MONTHLY DUES 2027'!$C$5:$E$24,3,0),0)</f>
        <v>0</v>
      </c>
      <c r="L21" s="662">
        <f>IFERROR(VLOOKUP($C21,'MONTHLY DUES 2028'!$C$5:$E$24,3,0),0)</f>
        <v>0</v>
      </c>
      <c r="M21" s="662">
        <f>IFERROR(VLOOKUP($C21,'MONTHLY DUES 2029'!$C$5:$E$24,3,0),0)</f>
        <v>0</v>
      </c>
      <c r="N21" s="662">
        <f>IFERROR(VLOOKUP($C21,'MONTHLY DUES 2030'!$C$5:$E$24,3,0),0)</f>
        <v>0</v>
      </c>
    </row>
    <row r="22" spans="2:14" ht="27.75" thickTop="1" thickBot="1" x14ac:dyDescent="0.3">
      <c r="B22" s="653">
        <v>17</v>
      </c>
      <c r="C22" s="654" t="s">
        <v>515</v>
      </c>
      <c r="D22" s="777">
        <f t="shared" si="0"/>
        <v>3338.3341641337383</v>
      </c>
      <c r="E22" s="661">
        <f t="shared" si="1"/>
        <v>66</v>
      </c>
      <c r="F22" s="771">
        <f>IFERROR(VLOOKUP($C22,'VEHICLE SHARES HOLDING'!$C$8:$E$31,3,0),0)</f>
        <v>0</v>
      </c>
      <c r="G22" s="662">
        <f>IFERROR(VLOOKUP($C22,'MONTHLY DUES 2023'!$C$5:$E$24,3,0),0)</f>
        <v>12</v>
      </c>
      <c r="H22" s="662">
        <f>IFERROR(VLOOKUP($C22,'MONTHLY DUES 2024'!$C$5:$E$24,3,0),0)</f>
        <v>18</v>
      </c>
      <c r="I22" s="662">
        <f>IFERROR(VLOOKUP($C22,'MONTHLY DUES 2025'!$C$5:$E$24,3,0),0)</f>
        <v>24</v>
      </c>
      <c r="J22" s="662">
        <f>IFERROR(VLOOKUP($C22,'MONTHLY DUES 2026'!$C$5:$E$25,3,0),0)</f>
        <v>12</v>
      </c>
      <c r="K22" s="662">
        <f>IFERROR(VLOOKUP($C22,'MONTHLY DUES 2027'!$C$5:$E$24,3,0),0)</f>
        <v>0</v>
      </c>
      <c r="L22" s="662">
        <f>IFERROR(VLOOKUP($C22,'MONTHLY DUES 2028'!$C$5:$E$24,3,0),0)</f>
        <v>0</v>
      </c>
      <c r="M22" s="662">
        <f>IFERROR(VLOOKUP($C22,'MONTHLY DUES 2029'!$C$5:$E$24,3,0),0)</f>
        <v>0</v>
      </c>
      <c r="N22" s="662">
        <f>IFERROR(VLOOKUP($C22,'MONTHLY DUES 2030'!$C$5:$E$24,3,0),0)</f>
        <v>0</v>
      </c>
    </row>
    <row r="23" spans="2:14" ht="27.75" thickTop="1" thickBot="1" x14ac:dyDescent="0.3">
      <c r="B23" s="653">
        <v>18</v>
      </c>
      <c r="C23" s="654" t="s">
        <v>763</v>
      </c>
      <c r="D23" s="777">
        <f t="shared" si="0"/>
        <v>3742.9807294832826</v>
      </c>
      <c r="E23" s="661">
        <f t="shared" si="1"/>
        <v>74</v>
      </c>
      <c r="F23" s="771">
        <f>IFERROR(VLOOKUP($C23,'VEHICLE SHARES HOLDING'!$C$8:$E$31,3,0),0)</f>
        <v>0</v>
      </c>
      <c r="G23" s="662">
        <f>IFERROR(VLOOKUP($C23,'MONTHLY DUES 2023'!$C$5:$E$24,3,0),0)</f>
        <v>12</v>
      </c>
      <c r="H23" s="662">
        <f>IFERROR(VLOOKUP($C23,'MONTHLY DUES 2024'!$C$5:$E$24,3,0),0)</f>
        <v>18</v>
      </c>
      <c r="I23" s="662">
        <f>IFERROR(VLOOKUP($C23,'MONTHLY DUES 2025'!$C$5:$E$24,3,0),0)</f>
        <v>24</v>
      </c>
      <c r="J23" s="662">
        <f>IFERROR(VLOOKUP($C23,'MONTHLY DUES 2026'!$C$5:$E$25,3,0),0)</f>
        <v>20</v>
      </c>
      <c r="K23" s="662">
        <f>IFERROR(VLOOKUP($C23,'MONTHLY DUES 2027'!$C$5:$E$24,3,0),0)</f>
        <v>0</v>
      </c>
      <c r="L23" s="662">
        <f>IFERROR(VLOOKUP($C23,'MONTHLY DUES 2028'!$C$5:$E$24,3,0),0)</f>
        <v>0</v>
      </c>
      <c r="M23" s="662">
        <f>IFERROR(VLOOKUP($C23,'MONTHLY DUES 2029'!$C$5:$E$24,3,0),0)</f>
        <v>0</v>
      </c>
      <c r="N23" s="662">
        <f>IFERROR(VLOOKUP($C23,'MONTHLY DUES 2030'!$C$5:$E$24,3,0),0)</f>
        <v>0</v>
      </c>
    </row>
    <row r="24" spans="2:14" ht="27.75" thickTop="1" thickBot="1" x14ac:dyDescent="0.3">
      <c r="B24" s="653">
        <v>19</v>
      </c>
      <c r="C24" s="654" t="s">
        <v>517</v>
      </c>
      <c r="D24" s="777">
        <f t="shared" si="0"/>
        <v>3945.3040121580548</v>
      </c>
      <c r="E24" s="661">
        <f t="shared" si="1"/>
        <v>78</v>
      </c>
      <c r="F24" s="771">
        <f>IFERROR(VLOOKUP($C24,'VEHICLE SHARES HOLDING'!$C$8:$E$31,3,0),0)</f>
        <v>0</v>
      </c>
      <c r="G24" s="662">
        <f>IFERROR(VLOOKUP($C24,'MONTHLY DUES 2023'!$C$5:$E$24,3,0),0)</f>
        <v>12</v>
      </c>
      <c r="H24" s="662">
        <f>IFERROR(VLOOKUP($C24,'MONTHLY DUES 2024'!$C$5:$E$24,3,0),0)</f>
        <v>18</v>
      </c>
      <c r="I24" s="662">
        <f>IFERROR(VLOOKUP($C24,'MONTHLY DUES 2025'!$C$5:$E$24,3,0),0)</f>
        <v>24</v>
      </c>
      <c r="J24" s="662">
        <f>IFERROR(VLOOKUP($C24,'MONTHLY DUES 2026'!$C$5:$E$25,3,0),0)</f>
        <v>24</v>
      </c>
      <c r="K24" s="662">
        <f>IFERROR(VLOOKUP($C24,'MONTHLY DUES 2027'!$C$5:$E$24,3,0),0)</f>
        <v>0</v>
      </c>
      <c r="L24" s="662">
        <f>IFERROR(VLOOKUP($C24,'MONTHLY DUES 2028'!$C$5:$E$24,3,0),0)</f>
        <v>0</v>
      </c>
      <c r="M24" s="662">
        <f>IFERROR(VLOOKUP($C24,'MONTHLY DUES 2029'!$C$5:$E$24,3,0),0)</f>
        <v>0</v>
      </c>
      <c r="N24" s="662">
        <f>IFERROR(VLOOKUP($C24,'MONTHLY DUES 2030'!$C$5:$E$24,3,0),0)</f>
        <v>0</v>
      </c>
    </row>
    <row r="25" spans="2:14" ht="27.75" thickTop="1" thickBot="1" x14ac:dyDescent="0.3">
      <c r="B25" s="655"/>
      <c r="C25" s="656"/>
      <c r="D25" s="777">
        <f t="shared" si="0"/>
        <v>0</v>
      </c>
      <c r="E25" s="663"/>
      <c r="F25" s="771">
        <f>IFERROR(VLOOKUP($C25,'VEHICLE SHARES HOLDING'!$C$8:$E$31,3,0),0)</f>
        <v>0</v>
      </c>
      <c r="G25" s="664"/>
      <c r="H25" s="664">
        <f>IFERROR(VLOOKUP($C25,'MONTHLY DUES 2024'!$C$7:$E$28,3,0),0)</f>
        <v>0</v>
      </c>
      <c r="I25" s="664">
        <f>IFERROR(VLOOKUP($C25,'MONTHLY DUES 2025'!$C$7:$E$29,3,0),0)</f>
        <v>0</v>
      </c>
      <c r="J25" s="664"/>
      <c r="K25" s="664"/>
      <c r="L25" s="664"/>
      <c r="M25" s="664"/>
      <c r="N25" s="664">
        <f>IFERROR(VLOOKUP($C25,'MONTHLY DUES 2026'!$C$8:$E$27,3,0),0)</f>
        <v>0</v>
      </c>
    </row>
    <row r="26" spans="2:14" ht="31.5" customHeight="1" thickTop="1" thickBot="1" x14ac:dyDescent="0.45">
      <c r="B26" s="657">
        <f>SUBTOTAL(3,B6:B25)</f>
        <v>19</v>
      </c>
      <c r="C26" s="658">
        <f>SUBTOTAL(3,C6:C25)</f>
        <v>19</v>
      </c>
      <c r="D26" s="774">
        <f>SUBTOTAL(9,D6:D25)</f>
        <v>66564.359999999986</v>
      </c>
      <c r="E26" s="659">
        <f>SUM(E6:E25)</f>
        <v>1316</v>
      </c>
      <c r="F26" s="603">
        <f>SUM(F6:F25)</f>
        <v>80</v>
      </c>
      <c r="G26" s="603">
        <f>SUM(G6:G25)</f>
        <v>180</v>
      </c>
      <c r="H26" s="603">
        <f>SUM(H6:H25)</f>
        <v>306</v>
      </c>
      <c r="I26" s="603">
        <f t="shared" ref="I26:N26" si="3">SUM(I6:I25)</f>
        <v>432</v>
      </c>
      <c r="J26" s="603">
        <f t="shared" si="3"/>
        <v>318</v>
      </c>
      <c r="K26" s="603">
        <f t="shared" si="3"/>
        <v>0</v>
      </c>
      <c r="L26" s="603">
        <f t="shared" si="3"/>
        <v>0</v>
      </c>
      <c r="M26" s="603">
        <f t="shared" si="3"/>
        <v>0</v>
      </c>
      <c r="N26" s="603">
        <f t="shared" si="3"/>
        <v>0</v>
      </c>
    </row>
    <row r="27" spans="2:14" x14ac:dyDescent="0.25">
      <c r="D27" s="775"/>
    </row>
  </sheetData>
  <mergeCells count="1">
    <mergeCell ref="B3:E3"/>
  </mergeCells>
  <conditionalFormatting sqref="B26:N26">
    <cfRule type="cellIs" dxfId="24" priority="2" operator="equal">
      <formula>0</formula>
    </cfRule>
  </conditionalFormatting>
  <conditionalFormatting sqref="D6:N25">
    <cfRule type="cellIs" dxfId="23" priority="1" operator="equal">
      <formula>0</formula>
    </cfRule>
  </conditionalFormatting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G44"/>
  <sheetViews>
    <sheetView workbookViewId="0"/>
  </sheetViews>
  <sheetFormatPr defaultColWidth="8.7109375" defaultRowHeight="30" customHeight="1" x14ac:dyDescent="0.4"/>
  <cols>
    <col min="1" max="1" width="3.85546875" style="12" customWidth="1"/>
    <col min="2" max="2" width="69.85546875" style="12" bestFit="1" customWidth="1"/>
    <col min="3" max="3" width="25.42578125" style="12" bestFit="1" customWidth="1"/>
    <col min="4" max="4" width="25.28515625" style="12" customWidth="1"/>
    <col min="5" max="5" width="21.7109375" style="811" bestFit="1" customWidth="1"/>
    <col min="6" max="6" width="8.7109375" style="12"/>
    <col min="7" max="7" width="27.42578125" style="232" customWidth="1"/>
    <col min="8" max="16384" width="8.7109375" style="12"/>
  </cols>
  <sheetData>
    <row r="1" spans="1:7" s="77" customFormat="1" ht="26.25" x14ac:dyDescent="0.4">
      <c r="A1" s="89"/>
      <c r="B1" s="76"/>
      <c r="E1" s="811"/>
      <c r="G1" s="765"/>
    </row>
    <row r="2" spans="1:7" s="70" customFormat="1" ht="51.75" thickBot="1" x14ac:dyDescent="0.85">
      <c r="B2" s="1065" t="s">
        <v>939</v>
      </c>
      <c r="C2" s="1065"/>
      <c r="D2" s="1065"/>
      <c r="E2" s="810"/>
      <c r="G2" s="766"/>
    </row>
    <row r="3" spans="1:7" ht="37.5" customHeight="1" thickTop="1" thickBot="1" x14ac:dyDescent="0.45">
      <c r="B3" s="911" t="s">
        <v>52</v>
      </c>
      <c r="C3" s="1078" t="s">
        <v>124</v>
      </c>
      <c r="D3" s="1079"/>
    </row>
    <row r="4" spans="1:7" ht="37.5" customHeight="1" thickTop="1" thickBot="1" x14ac:dyDescent="0.45">
      <c r="B4" s="912"/>
      <c r="C4" s="911" t="s">
        <v>53</v>
      </c>
      <c r="D4" s="911" t="s">
        <v>54</v>
      </c>
    </row>
    <row r="5" spans="1:7" ht="30" customHeight="1" thickTop="1" thickBot="1" x14ac:dyDescent="0.45">
      <c r="B5" s="506" t="s">
        <v>484</v>
      </c>
      <c r="C5" s="787">
        <f>'TRAIL BALANCE'!C6</f>
        <v>4800</v>
      </c>
      <c r="D5" s="788"/>
    </row>
    <row r="6" spans="1:7" ht="30" customHeight="1" thickTop="1" thickBot="1" x14ac:dyDescent="0.45">
      <c r="B6" s="507" t="s">
        <v>922</v>
      </c>
      <c r="C6" s="612">
        <f>'TRAIL BALANCE'!C7</f>
        <v>10800</v>
      </c>
      <c r="D6" s="613"/>
    </row>
    <row r="7" spans="1:7" ht="30" customHeight="1" thickTop="1" thickBot="1" x14ac:dyDescent="0.45">
      <c r="B7" s="507" t="s">
        <v>923</v>
      </c>
      <c r="C7" s="612">
        <f>'TRAIL BALANCE'!C8</f>
        <v>16900</v>
      </c>
      <c r="D7" s="613"/>
    </row>
    <row r="8" spans="1:7" ht="30" customHeight="1" thickTop="1" thickBot="1" x14ac:dyDescent="0.45">
      <c r="B8" s="507" t="s">
        <v>924</v>
      </c>
      <c r="C8" s="612">
        <f>'TRAIL BALANCE'!C9</f>
        <v>22350</v>
      </c>
      <c r="D8" s="613"/>
    </row>
    <row r="9" spans="1:7" ht="30" customHeight="1" thickTop="1" thickBot="1" x14ac:dyDescent="0.45">
      <c r="B9" s="507" t="s">
        <v>925</v>
      </c>
      <c r="C9" s="612">
        <f>'TRAIL BALANCE'!C10</f>
        <v>15900</v>
      </c>
      <c r="D9" s="613"/>
    </row>
    <row r="10" spans="1:7" ht="30" customHeight="1" thickTop="1" thickBot="1" x14ac:dyDescent="0.45">
      <c r="B10" s="507" t="s">
        <v>1283</v>
      </c>
      <c r="C10" s="612">
        <f>'TRAIL BALANCE'!C11</f>
        <v>10502.699226995881</v>
      </c>
      <c r="D10" s="613"/>
    </row>
    <row r="11" spans="1:7" ht="30" customHeight="1" thickTop="1" thickBot="1" x14ac:dyDescent="0.45">
      <c r="B11" s="507" t="s">
        <v>1120</v>
      </c>
      <c r="C11" s="612">
        <f>'TRAIL BALANCE'!C12</f>
        <v>1250.5</v>
      </c>
      <c r="D11" s="613"/>
    </row>
    <row r="12" spans="1:7" ht="30" customHeight="1" thickTop="1" thickBot="1" x14ac:dyDescent="0.45">
      <c r="B12" s="507" t="s">
        <v>1280</v>
      </c>
      <c r="C12" s="612">
        <f>'TRAIL BALANCE'!C13</f>
        <v>4000</v>
      </c>
      <c r="D12" s="613"/>
    </row>
    <row r="13" spans="1:7" ht="30" customHeight="1" thickTop="1" thickBot="1" x14ac:dyDescent="0.45">
      <c r="B13" s="507" t="s">
        <v>1038</v>
      </c>
      <c r="C13" s="612"/>
      <c r="D13" s="613">
        <f>'TRAIL BALANCE'!D14</f>
        <v>100</v>
      </c>
    </row>
    <row r="14" spans="1:7" ht="30" customHeight="1" thickTop="1" thickBot="1" x14ac:dyDescent="0.45">
      <c r="B14" s="507" t="s">
        <v>1033</v>
      </c>
      <c r="C14" s="612"/>
      <c r="D14" s="613">
        <f>'TRAIL BALANCE'!D15</f>
        <v>1091.8000000000002</v>
      </c>
    </row>
    <row r="15" spans="1:7" ht="30" customHeight="1" thickTop="1" thickBot="1" x14ac:dyDescent="0.45">
      <c r="B15" s="507" t="s">
        <v>1029</v>
      </c>
      <c r="C15" s="612"/>
      <c r="D15" s="613">
        <f>'TRAIL BALANCE'!D18</f>
        <v>5100</v>
      </c>
    </row>
    <row r="16" spans="1:7" ht="30" customHeight="1" thickTop="1" thickBot="1" x14ac:dyDescent="0.45">
      <c r="B16" s="507" t="s">
        <v>770</v>
      </c>
      <c r="C16" s="612"/>
      <c r="D16" s="613">
        <f>'TRAIL BALANCE'!D19</f>
        <v>1010</v>
      </c>
    </row>
    <row r="17" spans="2:5" ht="30" customHeight="1" thickTop="1" thickBot="1" x14ac:dyDescent="0.45">
      <c r="B17" s="507" t="s">
        <v>493</v>
      </c>
      <c r="C17" s="612"/>
      <c r="D17" s="613">
        <f>'TRAIL BALANCE'!D20</f>
        <v>285</v>
      </c>
    </row>
    <row r="18" spans="2:5" ht="30" customHeight="1" thickTop="1" thickBot="1" x14ac:dyDescent="0.45">
      <c r="B18" s="507" t="s">
        <v>1025</v>
      </c>
      <c r="C18" s="612"/>
      <c r="D18" s="613">
        <f>'TRAIL BALANCE'!D21</f>
        <v>500</v>
      </c>
    </row>
    <row r="19" spans="2:5" ht="30" customHeight="1" thickTop="1" thickBot="1" x14ac:dyDescent="0.45">
      <c r="B19" s="507" t="s">
        <v>1032</v>
      </c>
      <c r="C19" s="612"/>
      <c r="D19" s="613">
        <f>'TRAIL BALANCE'!D22</f>
        <v>1300</v>
      </c>
    </row>
    <row r="20" spans="2:5" ht="30" customHeight="1" thickTop="1" thickBot="1" x14ac:dyDescent="0.45">
      <c r="B20" s="507" t="s">
        <v>1046</v>
      </c>
      <c r="C20" s="612"/>
      <c r="D20" s="613">
        <f>'TRAIL BALANCE'!D16</f>
        <v>15</v>
      </c>
    </row>
    <row r="21" spans="2:5" ht="30" customHeight="1" thickTop="1" thickBot="1" x14ac:dyDescent="0.45">
      <c r="B21" s="507" t="s">
        <v>1052</v>
      </c>
      <c r="C21" s="612"/>
      <c r="D21" s="613">
        <f>'TRAIL BALANCE'!D17</f>
        <v>34.340000000000003</v>
      </c>
    </row>
    <row r="22" spans="2:5" ht="30" customHeight="1" thickTop="1" thickBot="1" x14ac:dyDescent="0.45">
      <c r="B22" s="507" t="s">
        <v>926</v>
      </c>
      <c r="C22" s="612"/>
      <c r="D22" s="613"/>
    </row>
    <row r="23" spans="2:5" ht="30" customHeight="1" thickTop="1" thickBot="1" x14ac:dyDescent="0.45">
      <c r="B23" s="507" t="s">
        <v>927</v>
      </c>
      <c r="C23" s="612"/>
      <c r="D23" s="613"/>
    </row>
    <row r="24" spans="2:5" ht="30" customHeight="1" thickTop="1" thickBot="1" x14ac:dyDescent="0.45">
      <c r="B24" s="507" t="s">
        <v>928</v>
      </c>
      <c r="C24" s="612"/>
      <c r="D24" s="613"/>
    </row>
    <row r="25" spans="2:5" ht="30" customHeight="1" thickTop="1" thickBot="1" x14ac:dyDescent="0.45">
      <c r="B25" s="507" t="s">
        <v>977</v>
      </c>
      <c r="C25" s="612"/>
      <c r="D25" s="613"/>
    </row>
    <row r="26" spans="2:5" ht="30" customHeight="1" thickTop="1" thickBot="1" x14ac:dyDescent="0.45">
      <c r="B26" s="507" t="s">
        <v>929</v>
      </c>
      <c r="C26" s="612"/>
      <c r="D26" s="613"/>
    </row>
    <row r="27" spans="2:5" ht="30" customHeight="1" thickTop="1" thickBot="1" x14ac:dyDescent="0.45">
      <c r="B27" s="507" t="s">
        <v>978</v>
      </c>
      <c r="C27" s="612"/>
      <c r="D27" s="613"/>
    </row>
    <row r="28" spans="2:5" ht="30" customHeight="1" thickTop="1" thickBot="1" x14ac:dyDescent="0.45">
      <c r="B28" s="507" t="s">
        <v>1031</v>
      </c>
      <c r="C28" s="612"/>
      <c r="D28" s="613"/>
    </row>
    <row r="29" spans="2:5" ht="30" customHeight="1" thickTop="1" thickBot="1" x14ac:dyDescent="0.45">
      <c r="B29" s="507" t="s">
        <v>522</v>
      </c>
      <c r="C29" s="612"/>
      <c r="D29" s="613"/>
    </row>
    <row r="30" spans="2:5" ht="30" customHeight="1" thickTop="1" thickBot="1" x14ac:dyDescent="0.45">
      <c r="B30" s="507" t="s">
        <v>745</v>
      </c>
      <c r="C30" s="612"/>
      <c r="D30" s="613"/>
    </row>
    <row r="31" spans="2:5" ht="30" customHeight="1" thickTop="1" thickBot="1" x14ac:dyDescent="0.45">
      <c r="B31" s="507" t="s">
        <v>1030</v>
      </c>
      <c r="C31" s="612"/>
      <c r="D31" s="613"/>
    </row>
    <row r="32" spans="2:5" ht="30" customHeight="1" thickTop="1" thickBot="1" x14ac:dyDescent="0.45">
      <c r="B32" s="786" t="s">
        <v>1</v>
      </c>
      <c r="C32" s="648">
        <f>SUM(C5:C31)</f>
        <v>86503.199226995886</v>
      </c>
      <c r="D32" s="648">
        <f>SUM(D5:D31)</f>
        <v>9436.14</v>
      </c>
      <c r="E32" s="812"/>
    </row>
    <row r="33" spans="2:5" ht="30" customHeight="1" thickTop="1" thickBot="1" x14ac:dyDescent="0.45">
      <c r="B33" s="512" t="s">
        <v>54</v>
      </c>
      <c r="C33" s="789">
        <f>D32</f>
        <v>9436.14</v>
      </c>
      <c r="D33" s="789"/>
      <c r="E33" s="812"/>
    </row>
    <row r="34" spans="2:5" ht="30" customHeight="1" thickTop="1" thickBot="1" x14ac:dyDescent="0.45">
      <c r="B34" s="508" t="s">
        <v>1039</v>
      </c>
      <c r="C34" s="612">
        <f>C32-C33</f>
        <v>77067.059226995887</v>
      </c>
      <c r="D34" s="612"/>
    </row>
    <row r="35" spans="2:5" ht="27.75" thickTop="1" thickBot="1" x14ac:dyDescent="0.45">
      <c r="B35" s="507" t="s">
        <v>651</v>
      </c>
      <c r="C35" s="612"/>
      <c r="D35" s="612">
        <f>'TRAIL BALANCE'!D25</f>
        <v>1.9500000000116415</v>
      </c>
    </row>
    <row r="36" spans="2:5" ht="30" customHeight="1" thickTop="1" thickBot="1" x14ac:dyDescent="0.45">
      <c r="B36" s="507" t="s">
        <v>789</v>
      </c>
      <c r="C36" s="612"/>
      <c r="D36" s="612">
        <f>'TRAIL BALANCE'!D23</f>
        <v>366.23999999999978</v>
      </c>
    </row>
    <row r="37" spans="2:5" ht="30" customHeight="1" thickTop="1" thickBot="1" x14ac:dyDescent="0.45">
      <c r="B37" s="507" t="s">
        <v>788</v>
      </c>
      <c r="C37" s="612"/>
      <c r="D37" s="612">
        <f>'FIDELITY BANK'!F67</f>
        <v>10698.87999999999</v>
      </c>
    </row>
    <row r="38" spans="2:5" ht="30" customHeight="1" thickTop="1" thickBot="1" x14ac:dyDescent="0.45">
      <c r="B38" s="507" t="s">
        <v>1132</v>
      </c>
      <c r="C38" s="612"/>
      <c r="D38" s="612">
        <f>'TRAIL BALANCE'!D26</f>
        <v>66000</v>
      </c>
    </row>
    <row r="39" spans="2:5" ht="30" customHeight="1" thickTop="1" thickBot="1" x14ac:dyDescent="0.45">
      <c r="B39" s="512" t="s">
        <v>1</v>
      </c>
      <c r="C39" s="513">
        <f>SUM(C34:C38)</f>
        <v>77067.059226995887</v>
      </c>
      <c r="D39" s="513">
        <f>SUM(D34:D38)</f>
        <v>77067.070000000007</v>
      </c>
    </row>
    <row r="40" spans="2:5" ht="30" customHeight="1" thickTop="1" x14ac:dyDescent="0.4">
      <c r="D40" s="84">
        <f>C39-D39</f>
        <v>-1.0773004119982943E-2</v>
      </c>
    </row>
    <row r="41" spans="2:5" ht="30" customHeight="1" x14ac:dyDescent="0.4">
      <c r="B41" s="1035" t="s">
        <v>1284</v>
      </c>
      <c r="C41" s="812">
        <f>C43-C42</f>
        <v>66564.36</v>
      </c>
    </row>
    <row r="42" spans="2:5" ht="30" customHeight="1" thickBot="1" x14ac:dyDescent="0.45">
      <c r="B42" s="1035" t="s">
        <v>1283</v>
      </c>
      <c r="C42" s="1036">
        <f>C10</f>
        <v>10502.699226995881</v>
      </c>
    </row>
    <row r="43" spans="2:5" ht="30" customHeight="1" thickTop="1" thickBot="1" x14ac:dyDescent="0.45">
      <c r="B43" s="1035" t="s">
        <v>1039</v>
      </c>
      <c r="C43" s="1037">
        <f>C34</f>
        <v>77067.059226995887</v>
      </c>
    </row>
    <row r="44" spans="2:5" ht="30" customHeight="1" thickTop="1" x14ac:dyDescent="0.4"/>
  </sheetData>
  <mergeCells count="2">
    <mergeCell ref="C3:D3"/>
    <mergeCell ref="B2:D2"/>
  </mergeCells>
  <phoneticPr fontId="27" type="noConversion"/>
  <pageMargins left="0.7" right="0.7" top="0.75" bottom="0.75" header="0.3" footer="0.3"/>
  <pageSetup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B749-7E31-42F1-8F81-E84A9A34DF4A}">
  <sheetPr>
    <tabColor rgb="FFFFFF00"/>
  </sheetPr>
  <dimension ref="B1:I27"/>
  <sheetViews>
    <sheetView workbookViewId="0">
      <pane xSplit="8" ySplit="5" topLeftCell="I6" activePane="bottomRight" state="frozen"/>
      <selection activeCell="N15" sqref="N15"/>
      <selection pane="topRight" activeCell="N15" sqref="N15"/>
      <selection pane="bottomLeft" activeCell="N15" sqref="N15"/>
      <selection pane="bottomRight"/>
    </sheetView>
  </sheetViews>
  <sheetFormatPr defaultColWidth="9.140625" defaultRowHeight="18" x14ac:dyDescent="0.25"/>
  <cols>
    <col min="1" max="1" width="2.85546875" style="216" customWidth="1"/>
    <col min="2" max="2" width="7.7109375" style="371" bestFit="1" customWidth="1"/>
    <col min="3" max="3" width="46.85546875" style="216" bestFit="1" customWidth="1"/>
    <col min="4" max="4" width="22.7109375" style="216" customWidth="1"/>
    <col min="5" max="6" width="19.5703125" style="216" bestFit="1" customWidth="1"/>
    <col min="7" max="7" width="16.140625" style="216" bestFit="1" customWidth="1"/>
    <col min="8" max="8" width="16.28515625" style="216" customWidth="1"/>
    <col min="9" max="9" width="21.7109375" style="216" bestFit="1" customWidth="1"/>
    <col min="10" max="12" width="14.7109375" style="216" customWidth="1"/>
    <col min="13" max="17" width="19.28515625" style="216" customWidth="1"/>
    <col min="18" max="16384" width="9.140625" style="216"/>
  </cols>
  <sheetData>
    <row r="1" spans="2:8" ht="19.5" customHeight="1" x14ac:dyDescent="0.25"/>
    <row r="3" spans="2:8" ht="47.25" thickBot="1" x14ac:dyDescent="0.8">
      <c r="B3" s="1043" t="s">
        <v>1034</v>
      </c>
      <c r="C3" s="1043"/>
      <c r="D3" s="1043"/>
      <c r="E3" s="1043"/>
      <c r="F3" s="1043"/>
      <c r="G3" s="1043"/>
      <c r="H3" s="1043"/>
    </row>
    <row r="4" spans="2:8" ht="48" thickTop="1" thickBot="1" x14ac:dyDescent="0.3">
      <c r="B4" s="414" t="s">
        <v>125</v>
      </c>
      <c r="C4" s="414" t="s">
        <v>483</v>
      </c>
      <c r="D4" s="414" t="s">
        <v>1</v>
      </c>
      <c r="E4" s="414" t="s">
        <v>933</v>
      </c>
      <c r="F4" s="414" t="s">
        <v>934</v>
      </c>
      <c r="G4" s="414" t="s">
        <v>935</v>
      </c>
      <c r="H4" s="414" t="s">
        <v>936</v>
      </c>
    </row>
    <row r="5" spans="2:8" ht="31.5" thickTop="1" thickBot="1" x14ac:dyDescent="0.45">
      <c r="B5" s="401"/>
      <c r="C5" s="767"/>
      <c r="D5" s="472" t="s">
        <v>56</v>
      </c>
      <c r="E5" s="472" t="s">
        <v>56</v>
      </c>
      <c r="F5" s="472" t="s">
        <v>56</v>
      </c>
      <c r="G5" s="472" t="s">
        <v>56</v>
      </c>
      <c r="H5" s="472" t="s">
        <v>56</v>
      </c>
    </row>
    <row r="6" spans="2:8" ht="24.95" customHeight="1" thickBot="1" x14ac:dyDescent="0.3">
      <c r="B6" s="652">
        <v>1</v>
      </c>
      <c r="C6" s="650" t="s">
        <v>621</v>
      </c>
      <c r="D6" s="665">
        <f>SUM(E6:H6)</f>
        <v>2.1460892049127342</v>
      </c>
      <c r="E6" s="667">
        <f>IFERROR(VLOOKUP($C6,'B O G SHARES DEVIDENT '!$C$8:$D$21,2,0),0)</f>
        <v>0</v>
      </c>
      <c r="F6" s="667">
        <f>IFERROR(VLOOKUP($C6,'B O G SHARES DEVIDENT '!$C$30:$D$42,2,0),0)</f>
        <v>0</v>
      </c>
      <c r="G6" s="668">
        <f>IFERROR(VLOOKUP($C6,'B O G SHARES DEVIDENT '!$C$50:$D$63,2,0),0)</f>
        <v>0</v>
      </c>
      <c r="H6" s="669">
        <f>IFERROR(VLOOKUP($C6,'B O G SHARES DEVIDENT '!$C$71:$D$88,2,0),0)</f>
        <v>2.1460892049127342</v>
      </c>
    </row>
    <row r="7" spans="2:8" ht="24.95" customHeight="1" thickTop="1" thickBot="1" x14ac:dyDescent="0.3">
      <c r="B7" s="653">
        <v>2</v>
      </c>
      <c r="C7" s="651" t="s">
        <v>691</v>
      </c>
      <c r="D7" s="665">
        <f t="shared" ref="D7:D23" si="0">SUM(E7:H7)</f>
        <v>56.1690815971359</v>
      </c>
      <c r="E7" s="667">
        <f>IFERROR(VLOOKUP($C7,'B O G SHARES DEVIDENT '!$C$8:$D$21,2,0),0)</f>
        <v>0</v>
      </c>
      <c r="F7" s="667">
        <f>IFERROR(VLOOKUP($C7,'B O G SHARES DEVIDENT '!$C$30:$D$42,2,0),0)</f>
        <v>0</v>
      </c>
      <c r="G7" s="668">
        <f>IFERROR(VLOOKUP($C7,'B O G SHARES DEVIDENT '!$C$50:$D$63,2,0),0)</f>
        <v>54.022992392223166</v>
      </c>
      <c r="H7" s="669">
        <f>IFERROR(VLOOKUP($C7,'B O G SHARES DEVIDENT '!$C$71:$D$88,2,0),0)</f>
        <v>2.1460892049127342</v>
      </c>
    </row>
    <row r="8" spans="2:8" ht="24.95" customHeight="1" thickTop="1" thickBot="1" x14ac:dyDescent="0.3">
      <c r="B8" s="653">
        <v>3</v>
      </c>
      <c r="C8" s="651" t="s">
        <v>502</v>
      </c>
      <c r="D8" s="665">
        <f t="shared" si="0"/>
        <v>828.35525802261668</v>
      </c>
      <c r="E8" s="667">
        <f>IFERROR(VLOOKUP($C8,'B O G SHARES DEVIDENT '!$C$8:$D$21,2,0),0)</f>
        <v>497.68269230769232</v>
      </c>
      <c r="F8" s="667">
        <f>IFERROR(VLOOKUP($C8,'B O G SHARES DEVIDENT '!$C$30:$D$42,2,0),0)</f>
        <v>274.50348411778845</v>
      </c>
      <c r="G8" s="668">
        <f>IFERROR(VLOOKUP($C8,'B O G SHARES DEVIDENT '!$C$50:$D$63,2,0),0)</f>
        <v>54.022992392223166</v>
      </c>
      <c r="H8" s="669">
        <f>IFERROR(VLOOKUP($C8,'B O G SHARES DEVIDENT '!$C$71:$D$88,2,0),0)</f>
        <v>2.1460892049127342</v>
      </c>
    </row>
    <row r="9" spans="2:8" ht="24.95" customHeight="1" thickTop="1" thickBot="1" x14ac:dyDescent="0.3">
      <c r="B9" s="653">
        <v>4</v>
      </c>
      <c r="C9" s="651" t="s">
        <v>504</v>
      </c>
      <c r="D9" s="665">
        <f t="shared" si="0"/>
        <v>828.35525802261668</v>
      </c>
      <c r="E9" s="667">
        <f>IFERROR(VLOOKUP($C9,'B O G SHARES DEVIDENT '!$C$8:$D$21,2,0),0)</f>
        <v>497.68269230769232</v>
      </c>
      <c r="F9" s="667">
        <f>IFERROR(VLOOKUP($C9,'B O G SHARES DEVIDENT '!$C$30:$D$42,2,0),0)</f>
        <v>274.50348411778845</v>
      </c>
      <c r="G9" s="668">
        <f>IFERROR(VLOOKUP($C9,'B O G SHARES DEVIDENT '!$C$50:$D$63,2,0),0)</f>
        <v>54.022992392223166</v>
      </c>
      <c r="H9" s="669">
        <f>IFERROR(VLOOKUP($C9,'B O G SHARES DEVIDENT '!$C$71:$D$88,2,0),0)</f>
        <v>2.1460892049127342</v>
      </c>
    </row>
    <row r="10" spans="2:8" ht="24.95" customHeight="1" thickTop="1" thickBot="1" x14ac:dyDescent="0.3">
      <c r="B10" s="653">
        <v>5</v>
      </c>
      <c r="C10" s="651" t="s">
        <v>518</v>
      </c>
      <c r="D10" s="665">
        <f t="shared" si="0"/>
        <v>2.1460892049127342</v>
      </c>
      <c r="E10" s="667">
        <f>IFERROR(VLOOKUP($C10,'B O G SHARES DEVIDENT '!$C$8:$D$21,2,0),0)</f>
        <v>0</v>
      </c>
      <c r="F10" s="667">
        <f>IFERROR(VLOOKUP($C10,'B O G SHARES DEVIDENT '!$C$30:$D$42,2,0),0)</f>
        <v>0</v>
      </c>
      <c r="G10" s="668">
        <f>IFERROR(VLOOKUP($C10,'B O G SHARES DEVIDENT '!$C$50:$D$63,2,0),0)</f>
        <v>0</v>
      </c>
      <c r="H10" s="669">
        <f>IFERROR(VLOOKUP($C10,'B O G SHARES DEVIDENT '!$C$71:$D$88,2,0),0)</f>
        <v>2.1460892049127342</v>
      </c>
    </row>
    <row r="11" spans="2:8" ht="24.95" customHeight="1" thickTop="1" thickBot="1" x14ac:dyDescent="0.3">
      <c r="B11" s="653">
        <v>6</v>
      </c>
      <c r="C11" s="651" t="s">
        <v>686</v>
      </c>
      <c r="D11" s="665">
        <f t="shared" si="0"/>
        <v>56.1690815971359</v>
      </c>
      <c r="E11" s="667">
        <f>IFERROR(VLOOKUP($C11,'B O G SHARES DEVIDENT '!$C$8:$D$21,2,0),0)</f>
        <v>0</v>
      </c>
      <c r="F11" s="667">
        <f>IFERROR(VLOOKUP($C11,'B O G SHARES DEVIDENT '!$C$30:$D$42,2,0),0)</f>
        <v>0</v>
      </c>
      <c r="G11" s="668">
        <f>IFERROR(VLOOKUP($C11,'B O G SHARES DEVIDENT '!$C$50:$D$63,2,0),0)</f>
        <v>54.022992392223166</v>
      </c>
      <c r="H11" s="669">
        <f>IFERROR(VLOOKUP($C11,'B O G SHARES DEVIDENT '!$C$71:$D$88,2,0),0)</f>
        <v>2.1460892049127342</v>
      </c>
    </row>
    <row r="12" spans="2:8" ht="24.95" customHeight="1" thickTop="1" thickBot="1" x14ac:dyDescent="0.3">
      <c r="B12" s="653">
        <v>7</v>
      </c>
      <c r="C12" s="651" t="s">
        <v>505</v>
      </c>
      <c r="D12" s="665">
        <f t="shared" si="0"/>
        <v>499.82878151260508</v>
      </c>
      <c r="E12" s="667">
        <f>IFERROR(VLOOKUP($C12,'B O G SHARES DEVIDENT '!$C$8:$D$21,2,0),0)</f>
        <v>497.68269230769232</v>
      </c>
      <c r="F12" s="667">
        <f>IFERROR(VLOOKUP($C12,'B O G SHARES DEVIDENT '!$C$30:$D$42,2,0),0)</f>
        <v>0</v>
      </c>
      <c r="G12" s="668">
        <f>IFERROR(VLOOKUP($C12,'B O G SHARES DEVIDENT '!$C$50:$D$63,2,0),0)</f>
        <v>0</v>
      </c>
      <c r="H12" s="669">
        <f>IFERROR(VLOOKUP($C12,'B O G SHARES DEVIDENT '!$C$71:$D$88,2,0),0)</f>
        <v>2.1460892049127342</v>
      </c>
    </row>
    <row r="13" spans="2:8" ht="24.95" customHeight="1" thickTop="1" thickBot="1" x14ac:dyDescent="0.3">
      <c r="B13" s="653">
        <v>8</v>
      </c>
      <c r="C13" s="651" t="s">
        <v>506</v>
      </c>
      <c r="D13" s="665">
        <f t="shared" si="0"/>
        <v>828.35525802261668</v>
      </c>
      <c r="E13" s="667">
        <f>IFERROR(VLOOKUP($C13,'B O G SHARES DEVIDENT '!$C$8:$D$21,2,0),0)</f>
        <v>497.68269230769232</v>
      </c>
      <c r="F13" s="667">
        <f>IFERROR(VLOOKUP($C13,'B O G SHARES DEVIDENT '!$C$30:$D$42,2,0),0)</f>
        <v>274.50348411778845</v>
      </c>
      <c r="G13" s="668">
        <f>IFERROR(VLOOKUP($C13,'B O G SHARES DEVIDENT '!$C$50:$D$63,2,0),0)</f>
        <v>54.022992392223166</v>
      </c>
      <c r="H13" s="669">
        <f>IFERROR(VLOOKUP($C13,'B O G SHARES DEVIDENT '!$C$71:$D$88,2,0),0)</f>
        <v>2.1460892049127342</v>
      </c>
    </row>
    <row r="14" spans="2:8" ht="24.95" customHeight="1" thickTop="1" thickBot="1" x14ac:dyDescent="0.3">
      <c r="B14" s="653">
        <v>9</v>
      </c>
      <c r="C14" s="651" t="s">
        <v>507</v>
      </c>
      <c r="D14" s="665">
        <f t="shared" si="0"/>
        <v>2.1460892049127342</v>
      </c>
      <c r="E14" s="667">
        <f>IFERROR(VLOOKUP($C14,'B O G SHARES DEVIDENT '!$C$8:$D$21,2,0),0)</f>
        <v>0</v>
      </c>
      <c r="F14" s="667">
        <f>IFERROR(VLOOKUP($C14,'B O G SHARES DEVIDENT '!$C$30:$D$42,2,0),0)</f>
        <v>0</v>
      </c>
      <c r="G14" s="668">
        <f>IFERROR(VLOOKUP($C14,'B O G SHARES DEVIDENT '!$C$50:$D$63,2,0),0)</f>
        <v>0</v>
      </c>
      <c r="H14" s="669">
        <f>IFERROR(VLOOKUP($C14,'B O G SHARES DEVIDENT '!$C$71:$D$88,2,0),0)</f>
        <v>2.1460892049127342</v>
      </c>
    </row>
    <row r="15" spans="2:8" ht="24.95" customHeight="1" thickTop="1" thickBot="1" x14ac:dyDescent="0.3">
      <c r="B15" s="653">
        <v>10</v>
      </c>
      <c r="C15" s="651" t="s">
        <v>508</v>
      </c>
      <c r="D15" s="665">
        <f t="shared" si="0"/>
        <v>828.35525802261668</v>
      </c>
      <c r="E15" s="667">
        <f>IFERROR(VLOOKUP($C15,'B O G SHARES DEVIDENT '!$C$8:$D$21,2,0),0)</f>
        <v>497.68269230769232</v>
      </c>
      <c r="F15" s="667">
        <f>IFERROR(VLOOKUP($C15,'B O G SHARES DEVIDENT '!$C$30:$D$42,2,0),0)</f>
        <v>274.50348411778845</v>
      </c>
      <c r="G15" s="668">
        <f>IFERROR(VLOOKUP($C15,'B O G SHARES DEVIDENT '!$C$50:$D$63,2,0),0)</f>
        <v>54.022992392223166</v>
      </c>
      <c r="H15" s="669">
        <f>IFERROR(VLOOKUP($C15,'B O G SHARES DEVIDENT '!$C$71:$D$88,2,0),0)</f>
        <v>2.1460892049127342</v>
      </c>
    </row>
    <row r="16" spans="2:8" ht="24.95" customHeight="1" thickTop="1" thickBot="1" x14ac:dyDescent="0.3">
      <c r="B16" s="653">
        <v>11</v>
      </c>
      <c r="C16" s="651" t="s">
        <v>510</v>
      </c>
      <c r="D16" s="665">
        <f t="shared" si="0"/>
        <v>772.18617642548077</v>
      </c>
      <c r="E16" s="667">
        <f>IFERROR(VLOOKUP($C16,'B O G SHARES DEVIDENT '!$C$8:$D$21,2,0),0)</f>
        <v>497.68269230769232</v>
      </c>
      <c r="F16" s="667">
        <f>IFERROR(VLOOKUP($C16,'B O G SHARES DEVIDENT '!$C$30:$D$42,2,0),0)</f>
        <v>274.50348411778845</v>
      </c>
      <c r="G16" s="668">
        <f>IFERROR(VLOOKUP($C16,'B O G SHARES DEVIDENT '!$C$50:$D$63,2,0),0)</f>
        <v>0</v>
      </c>
      <c r="H16" s="669">
        <f>IFERROR(VLOOKUP($C16,'B O G SHARES DEVIDENT '!$C$71:$D$88,2,0),0)</f>
        <v>0</v>
      </c>
    </row>
    <row r="17" spans="2:9" ht="24.95" customHeight="1" thickTop="1" thickBot="1" x14ac:dyDescent="0.3">
      <c r="B17" s="653">
        <v>12</v>
      </c>
      <c r="C17" s="651" t="s">
        <v>511</v>
      </c>
      <c r="D17" s="665">
        <f t="shared" si="0"/>
        <v>828.35525802261668</v>
      </c>
      <c r="E17" s="667">
        <f>IFERROR(VLOOKUP($C17,'B O G SHARES DEVIDENT '!$C$8:$D$21,2,0),0)</f>
        <v>497.68269230769232</v>
      </c>
      <c r="F17" s="667">
        <f>IFERROR(VLOOKUP($C17,'B O G SHARES DEVIDENT '!$C$30:$D$42,2,0),0)</f>
        <v>274.50348411778845</v>
      </c>
      <c r="G17" s="668">
        <f>IFERROR(VLOOKUP($C17,'B O G SHARES DEVIDENT '!$C$50:$D$63,2,0),0)</f>
        <v>54.022992392223166</v>
      </c>
      <c r="H17" s="669">
        <f>IFERROR(VLOOKUP($C17,'B O G SHARES DEVIDENT '!$C$71:$D$88,2,0),0)</f>
        <v>2.1460892049127342</v>
      </c>
    </row>
    <row r="18" spans="2:9" ht="24.95" customHeight="1" thickTop="1" thickBot="1" x14ac:dyDescent="0.3">
      <c r="B18" s="653">
        <v>13</v>
      </c>
      <c r="C18" s="651" t="s">
        <v>512</v>
      </c>
      <c r="D18" s="665">
        <f t="shared" si="0"/>
        <v>828.35525802261668</v>
      </c>
      <c r="E18" s="667">
        <f>IFERROR(VLOOKUP($C18,'B O G SHARES DEVIDENT '!$C$8:$D$21,2,0),0)</f>
        <v>497.68269230769232</v>
      </c>
      <c r="F18" s="667">
        <f>IFERROR(VLOOKUP($C18,'B O G SHARES DEVIDENT '!$C$30:$D$42,2,0),0)</f>
        <v>274.50348411778845</v>
      </c>
      <c r="G18" s="668">
        <f>IFERROR(VLOOKUP($C18,'B O G SHARES DEVIDENT '!$C$50:$D$63,2,0),0)</f>
        <v>54.022992392223166</v>
      </c>
      <c r="H18" s="669">
        <f>IFERROR(VLOOKUP($C18,'B O G SHARES DEVIDENT '!$C$71:$D$88,2,0),0)</f>
        <v>2.1460892049127342</v>
      </c>
    </row>
    <row r="19" spans="2:9" ht="24.95" customHeight="1" thickTop="1" thickBot="1" x14ac:dyDescent="0.3">
      <c r="B19" s="653">
        <v>14</v>
      </c>
      <c r="C19" s="651" t="s">
        <v>513</v>
      </c>
      <c r="D19" s="665">
        <f t="shared" si="0"/>
        <v>828.35525802261668</v>
      </c>
      <c r="E19" s="667">
        <f>IFERROR(VLOOKUP($C19,'B O G SHARES DEVIDENT '!$C$8:$D$21,2,0),0)</f>
        <v>497.68269230769232</v>
      </c>
      <c r="F19" s="667">
        <f>IFERROR(VLOOKUP($C19,'B O G SHARES DEVIDENT '!$C$30:$D$42,2,0),0)</f>
        <v>274.50348411778845</v>
      </c>
      <c r="G19" s="668">
        <f>IFERROR(VLOOKUP($C19,'B O G SHARES DEVIDENT '!$C$50:$D$63,2,0),0)</f>
        <v>54.022992392223166</v>
      </c>
      <c r="H19" s="669">
        <f>IFERROR(VLOOKUP($C19,'B O G SHARES DEVIDENT '!$C$71:$D$88,2,0),0)</f>
        <v>2.1460892049127342</v>
      </c>
    </row>
    <row r="20" spans="2:9" ht="24.95" customHeight="1" thickTop="1" thickBot="1" x14ac:dyDescent="0.3">
      <c r="B20" s="653">
        <v>15</v>
      </c>
      <c r="C20" s="651" t="s">
        <v>557</v>
      </c>
      <c r="D20" s="665">
        <f t="shared" si="0"/>
        <v>828.35525802261668</v>
      </c>
      <c r="E20" s="667">
        <f>IFERROR(VLOOKUP($C20,'B O G SHARES DEVIDENT '!$C$8:$D$21,2,0),0)</f>
        <v>497.68269230769232</v>
      </c>
      <c r="F20" s="667">
        <f>IFERROR(VLOOKUP($C20,'B O G SHARES DEVIDENT '!$C$30:$D$42,2,0),0)</f>
        <v>274.50348411778845</v>
      </c>
      <c r="G20" s="668">
        <f>IFERROR(VLOOKUP($C20,'B O G SHARES DEVIDENT '!$C$50:$D$63,2,0),0)</f>
        <v>54.022992392223166</v>
      </c>
      <c r="H20" s="669">
        <f>IFERROR(VLOOKUP($C20,'B O G SHARES DEVIDENT '!$C$71:$D$88,2,0),0)</f>
        <v>2.1460892049127342</v>
      </c>
    </row>
    <row r="21" spans="2:9" ht="24.95" customHeight="1" thickTop="1" thickBot="1" x14ac:dyDescent="0.3">
      <c r="B21" s="653">
        <v>16</v>
      </c>
      <c r="C21" s="651" t="s">
        <v>515</v>
      </c>
      <c r="D21" s="665">
        <f t="shared" si="0"/>
        <v>828.35525802261668</v>
      </c>
      <c r="E21" s="667">
        <f>IFERROR(VLOOKUP($C21,'B O G SHARES DEVIDENT '!$C$8:$D$21,2,0),0)</f>
        <v>497.68269230769232</v>
      </c>
      <c r="F21" s="667">
        <f>IFERROR(VLOOKUP($C21,'B O G SHARES DEVIDENT '!$C$30:$D$42,2,0),0)</f>
        <v>274.50348411778845</v>
      </c>
      <c r="G21" s="668">
        <f>IFERROR(VLOOKUP($C21,'B O G SHARES DEVIDENT '!$C$50:$D$63,2,0),0)</f>
        <v>54.022992392223166</v>
      </c>
      <c r="H21" s="669">
        <f>IFERROR(VLOOKUP($C21,'B O G SHARES DEVIDENT '!$C$71:$D$88,2,0),0)</f>
        <v>2.1460892049127342</v>
      </c>
    </row>
    <row r="22" spans="2:9" ht="24.95" customHeight="1" thickTop="1" thickBot="1" x14ac:dyDescent="0.3">
      <c r="B22" s="653">
        <v>17</v>
      </c>
      <c r="C22" s="651" t="s">
        <v>763</v>
      </c>
      <c r="D22" s="665">
        <f t="shared" si="0"/>
        <v>828.35525802261668</v>
      </c>
      <c r="E22" s="667">
        <f>IFERROR(VLOOKUP($C22,'B O G SHARES DEVIDENT '!$C$8:$D$21,2,0),0)</f>
        <v>497.68269230769232</v>
      </c>
      <c r="F22" s="667">
        <f>IFERROR(VLOOKUP($C22,'B O G SHARES DEVIDENT '!$C$30:$D$42,2,0),0)</f>
        <v>274.50348411778845</v>
      </c>
      <c r="G22" s="668">
        <f>IFERROR(VLOOKUP($C22,'B O G SHARES DEVIDENT '!$C$50:$D$63,2,0),0)</f>
        <v>54.022992392223166</v>
      </c>
      <c r="H22" s="669">
        <f>IFERROR(VLOOKUP($C22,'B O G SHARES DEVIDENT '!$C$71:$D$88,2,0),0)</f>
        <v>2.1460892049127342</v>
      </c>
    </row>
    <row r="23" spans="2:9" ht="24.95" customHeight="1" thickTop="1" thickBot="1" x14ac:dyDescent="0.3">
      <c r="B23" s="653">
        <v>18</v>
      </c>
      <c r="C23" s="651" t="s">
        <v>517</v>
      </c>
      <c r="D23" s="665">
        <f t="shared" si="0"/>
        <v>828.35525802261668</v>
      </c>
      <c r="E23" s="667">
        <f>IFERROR(VLOOKUP($C23,'B O G SHARES DEVIDENT '!$C$8:$D$21,2,0),0)</f>
        <v>497.68269230769232</v>
      </c>
      <c r="F23" s="667">
        <f>IFERROR(VLOOKUP($C23,'B O G SHARES DEVIDENT '!$C$30:$D$42,2,0),0)</f>
        <v>274.50348411778845</v>
      </c>
      <c r="G23" s="668">
        <f>IFERROR(VLOOKUP($C23,'B O G SHARES DEVIDENT '!$C$50:$D$63,2,0),0)</f>
        <v>54.022992392223166</v>
      </c>
      <c r="H23" s="669">
        <f>IFERROR(VLOOKUP($C23,'B O G SHARES DEVIDENT '!$C$71:$D$88,2,0),0)</f>
        <v>2.1460892049127342</v>
      </c>
    </row>
    <row r="24" spans="2:9" ht="24.95" customHeight="1" thickTop="1" thickBot="1" x14ac:dyDescent="0.3">
      <c r="B24" s="655"/>
      <c r="C24" s="660"/>
      <c r="D24" s="666"/>
      <c r="E24" s="670"/>
      <c r="F24" s="671"/>
      <c r="G24" s="670"/>
      <c r="H24" s="669">
        <f>IFERROR(VLOOKUP($C24,'B O G SHARES DEVIDENT '!$C$71:$D$88,2,0),0)</f>
        <v>0</v>
      </c>
    </row>
    <row r="25" spans="2:9" s="81" customFormat="1" ht="35.25" customHeight="1" thickTop="1" thickBot="1" x14ac:dyDescent="0.45">
      <c r="B25" s="492">
        <f>SUBTOTAL(3,B6:B24)</f>
        <v>18</v>
      </c>
      <c r="C25" s="492">
        <f>SUBTOTAL(3,C6:C24)</f>
        <v>18</v>
      </c>
      <c r="D25" s="137">
        <f>SUM(D6:D23)</f>
        <v>10502.699226995881</v>
      </c>
      <c r="E25" s="493">
        <f t="shared" ref="E25:G25" si="1">SUM(E6:E24)</f>
        <v>6469.875</v>
      </c>
      <c r="F25" s="493">
        <f t="shared" si="1"/>
        <v>3294.0418094134616</v>
      </c>
      <c r="G25" s="493">
        <f t="shared" si="1"/>
        <v>702.29890109890118</v>
      </c>
      <c r="H25" s="493">
        <f>SUM(H6:H24)</f>
        <v>36.483516483516482</v>
      </c>
      <c r="I25" s="768"/>
    </row>
    <row r="26" spans="2:9" ht="31.5" customHeight="1" thickTop="1" thickBot="1" x14ac:dyDescent="0.45">
      <c r="B26" s="1080" t="s">
        <v>650</v>
      </c>
      <c r="C26" s="1080"/>
      <c r="D26" s="503">
        <f t="shared" ref="D26:H26" si="2">COUNTIF(D6:D24,"&gt;1")</f>
        <v>18</v>
      </c>
      <c r="E26" s="503">
        <f t="shared" si="2"/>
        <v>13</v>
      </c>
      <c r="F26" s="503">
        <f t="shared" si="2"/>
        <v>12</v>
      </c>
      <c r="G26" s="503">
        <f t="shared" si="2"/>
        <v>13</v>
      </c>
      <c r="H26" s="503">
        <f t="shared" si="2"/>
        <v>17</v>
      </c>
    </row>
    <row r="27" spans="2:9" ht="18.75" thickTop="1" x14ac:dyDescent="0.25"/>
  </sheetData>
  <mergeCells count="2">
    <mergeCell ref="B3:H3"/>
    <mergeCell ref="B26:C26"/>
  </mergeCells>
  <conditionalFormatting sqref="D6:H24">
    <cfRule type="cellIs" dxfId="22" priority="1" operator="equal">
      <formula>0</formula>
    </cfRule>
  </conditionalFormatting>
  <conditionalFormatting sqref="E6:F24">
    <cfRule type="cellIs" dxfId="21" priority="3" operator="equal">
      <formula>0</formula>
    </cfRule>
    <cfRule type="cellIs" dxfId="20" priority="4" operator="equal">
      <formula>0</formula>
    </cfRule>
  </conditionalFormatting>
  <conditionalFormatting sqref="E6:H24">
    <cfRule type="cellIs" dxfId="19" priority="2" operator="equal">
      <formula>0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22B6-4F4F-4AAE-B08F-88F5590FC399}">
  <sheetPr>
    <tabColor rgb="FFFFFF00"/>
  </sheetPr>
  <dimension ref="B3:F26"/>
  <sheetViews>
    <sheetView workbookViewId="0">
      <pane xSplit="6" ySplit="4" topLeftCell="G5" activePane="bottomRight" state="frozen"/>
      <selection activeCell="N15" sqref="N15"/>
      <selection pane="topRight" activeCell="N15" sqref="N15"/>
      <selection pane="bottomLeft" activeCell="N15" sqref="N15"/>
      <selection pane="bottomRight" activeCell="L9" sqref="L9"/>
    </sheetView>
  </sheetViews>
  <sheetFormatPr defaultColWidth="9.140625" defaultRowHeight="18" x14ac:dyDescent="0.25"/>
  <cols>
    <col min="1" max="1" width="2.85546875" style="216" customWidth="1"/>
    <col min="2" max="2" width="9.140625" style="371"/>
    <col min="3" max="3" width="47.7109375" style="216" customWidth="1"/>
    <col min="4" max="4" width="21.7109375" style="216" bestFit="1" customWidth="1"/>
    <col min="5" max="5" width="23.42578125" style="216" bestFit="1" customWidth="1"/>
    <col min="6" max="6" width="23" style="216" customWidth="1"/>
    <col min="7" max="16384" width="9.140625" style="216"/>
  </cols>
  <sheetData>
    <row r="3" spans="2:6" s="70" customFormat="1" ht="47.25" thickBot="1" x14ac:dyDescent="0.8">
      <c r="B3" s="115" t="s">
        <v>937</v>
      </c>
      <c r="C3" s="115"/>
      <c r="D3" s="115"/>
      <c r="E3" s="115"/>
      <c r="F3" s="115"/>
    </row>
    <row r="4" spans="2:6" s="114" customFormat="1" ht="48" thickTop="1" thickBot="1" x14ac:dyDescent="0.3">
      <c r="B4" s="400" t="s">
        <v>125</v>
      </c>
      <c r="C4" s="400" t="s">
        <v>483</v>
      </c>
      <c r="D4" s="673" t="s">
        <v>1003</v>
      </c>
      <c r="E4" s="673" t="s">
        <v>1004</v>
      </c>
      <c r="F4" s="673" t="s">
        <v>1002</v>
      </c>
    </row>
    <row r="5" spans="2:6" s="70" customFormat="1" ht="27.75" thickTop="1" thickBot="1" x14ac:dyDescent="0.35">
      <c r="B5" s="672">
        <v>1</v>
      </c>
      <c r="C5" s="651" t="s">
        <v>621</v>
      </c>
      <c r="D5" s="674">
        <f>IFERROR(VLOOKUP($C5,'MEMBERS SHARES DEVIDENT'!$C$6:$D$25,2,0),0)</f>
        <v>3034.8492401215804</v>
      </c>
      <c r="E5" s="701">
        <f>IFERROR(VLOOKUP($C5,'TREASURE BILL FOR MEMBERS'!$C$6:$D$24,2,0),0)</f>
        <v>2.1460892049127342</v>
      </c>
      <c r="F5" s="675">
        <f>SUM(D5:E5)</f>
        <v>3036.995329326493</v>
      </c>
    </row>
    <row r="6" spans="2:6" s="70" customFormat="1" ht="27.75" thickTop="1" thickBot="1" x14ac:dyDescent="0.35">
      <c r="B6" s="404">
        <v>2</v>
      </c>
      <c r="C6" s="651" t="s">
        <v>691</v>
      </c>
      <c r="D6" s="674">
        <f>IFERROR(VLOOKUP($C6,'MEMBERS SHARES DEVIDENT'!$C$6:$D$25,2,0),0)</f>
        <v>1517.4246200607902</v>
      </c>
      <c r="E6" s="701">
        <f>IFERROR(VLOOKUP($C6,'TREASURE BILL FOR MEMBERS'!$C$6:$D$24,2,0),0)</f>
        <v>56.1690815971359</v>
      </c>
      <c r="F6" s="675">
        <f t="shared" ref="F6:F23" si="0">SUM(D6:E6)</f>
        <v>1573.593701657926</v>
      </c>
    </row>
    <row r="7" spans="2:6" ht="27.75" thickTop="1" thickBot="1" x14ac:dyDescent="0.35">
      <c r="B7" s="404">
        <v>3</v>
      </c>
      <c r="C7" s="651" t="s">
        <v>502</v>
      </c>
      <c r="D7" s="674">
        <f>IFERROR(VLOOKUP($C7,'MEMBERS SHARES DEVIDENT'!$C$6:$D$25,2,0),0)</f>
        <v>3439.4958054711246</v>
      </c>
      <c r="E7" s="701">
        <f>IFERROR(VLOOKUP($C7,'TREASURE BILL FOR MEMBERS'!$C$6:$D$24,2,0),0)</f>
        <v>828.35525802261668</v>
      </c>
      <c r="F7" s="675">
        <f t="shared" si="0"/>
        <v>4267.8510634937411</v>
      </c>
    </row>
    <row r="8" spans="2:6" ht="27.75" thickTop="1" thickBot="1" x14ac:dyDescent="0.35">
      <c r="B8" s="404">
        <v>4</v>
      </c>
      <c r="C8" s="651" t="s">
        <v>504</v>
      </c>
      <c r="D8" s="674">
        <f>IFERROR(VLOOKUP($C8,'MEMBERS SHARES DEVIDENT'!$C$6:$D$25,2,0),0)</f>
        <v>3439.4958054711246</v>
      </c>
      <c r="E8" s="701">
        <f>IFERROR(VLOOKUP($C8,'TREASURE BILL FOR MEMBERS'!$C$6:$D$24,2,0),0)</f>
        <v>828.35525802261668</v>
      </c>
      <c r="F8" s="675">
        <f t="shared" si="0"/>
        <v>4267.8510634937411</v>
      </c>
    </row>
    <row r="9" spans="2:6" s="70" customFormat="1" ht="27.75" thickTop="1" thickBot="1" x14ac:dyDescent="0.35">
      <c r="B9" s="404">
        <v>5</v>
      </c>
      <c r="C9" s="651" t="s">
        <v>518</v>
      </c>
      <c r="D9" s="674">
        <f>IFERROR(VLOOKUP($C9,'MEMBERS SHARES DEVIDENT'!$C$6:$D$25,2,0),0)</f>
        <v>3945.3040121580548</v>
      </c>
      <c r="E9" s="701">
        <f>IFERROR(VLOOKUP($C9,'TREASURE BILL FOR MEMBERS'!$C$6:$D$24,2,0),0)</f>
        <v>2.1460892049127342</v>
      </c>
      <c r="F9" s="675">
        <f t="shared" si="0"/>
        <v>3947.4501013629674</v>
      </c>
    </row>
    <row r="10" spans="2:6" s="215" customFormat="1" ht="27.75" thickTop="1" thickBot="1" x14ac:dyDescent="0.35">
      <c r="B10" s="404">
        <v>6</v>
      </c>
      <c r="C10" s="651" t="s">
        <v>686</v>
      </c>
      <c r="D10" s="674">
        <f>IFERROR(VLOOKUP($C10,'MEMBERS SHARES DEVIDENT'!$C$6:$D$25,2,0),0)</f>
        <v>3338.3341641337383</v>
      </c>
      <c r="E10" s="701">
        <f>IFERROR(VLOOKUP($C10,'TREASURE BILL FOR MEMBERS'!$C$6:$D$24,2,0),0)</f>
        <v>56.1690815971359</v>
      </c>
      <c r="F10" s="675">
        <f t="shared" si="0"/>
        <v>3394.5032457308744</v>
      </c>
    </row>
    <row r="11" spans="2:6" s="215" customFormat="1" ht="27.75" thickTop="1" thickBot="1" x14ac:dyDescent="0.35">
      <c r="B11" s="404">
        <v>7</v>
      </c>
      <c r="C11" s="651" t="s">
        <v>1141</v>
      </c>
      <c r="D11" s="674">
        <f>IFERROR(VLOOKUP($C11,'MEMBERS SHARES DEVIDENT'!$C$6:$D$25,2,0),0)</f>
        <v>910.4547720364742</v>
      </c>
      <c r="E11" s="701">
        <f>IFERROR(VLOOKUP($C11,'TREASURE BILL FOR MEMBERS'!$C$6:$D$24,2,0),0)</f>
        <v>0</v>
      </c>
      <c r="F11" s="675">
        <f t="shared" ref="F11:F12" si="1">SUM(D11:E11)</f>
        <v>910.4547720364742</v>
      </c>
    </row>
    <row r="12" spans="2:6" ht="27.75" thickTop="1" thickBot="1" x14ac:dyDescent="0.35">
      <c r="B12" s="404">
        <v>8</v>
      </c>
      <c r="C12" s="651" t="s">
        <v>505</v>
      </c>
      <c r="D12" s="674">
        <f>IFERROR(VLOOKUP($C12,'MEMBERS SHARES DEVIDENT'!$C$6:$D$25,2,0),0)</f>
        <v>3439.4958054711246</v>
      </c>
      <c r="E12" s="701">
        <f>IFERROR(VLOOKUP($C12,'TREASURE BILL FOR MEMBERS'!$C$6:$D$24,2,0),0)</f>
        <v>499.82878151260508</v>
      </c>
      <c r="F12" s="675">
        <f t="shared" si="1"/>
        <v>3939.3245869837297</v>
      </c>
    </row>
    <row r="13" spans="2:6" ht="27.75" thickTop="1" thickBot="1" x14ac:dyDescent="0.35">
      <c r="B13" s="404">
        <v>9</v>
      </c>
      <c r="C13" s="651" t="s">
        <v>506</v>
      </c>
      <c r="D13" s="674">
        <f>IFERROR(VLOOKUP($C13,'MEMBERS SHARES DEVIDENT'!$C$6:$D$25,2,0),0)</f>
        <v>3540.6574468085105</v>
      </c>
      <c r="E13" s="701">
        <f>IFERROR(VLOOKUP($C13,'TREASURE BILL FOR MEMBERS'!$C$6:$D$24,2,0),0)</f>
        <v>828.35525802261668</v>
      </c>
      <c r="F13" s="675">
        <f t="shared" si="0"/>
        <v>4369.0127048311269</v>
      </c>
    </row>
    <row r="14" spans="2:6" ht="27.75" thickTop="1" thickBot="1" x14ac:dyDescent="0.35">
      <c r="B14" s="404">
        <v>10</v>
      </c>
      <c r="C14" s="651" t="s">
        <v>507</v>
      </c>
      <c r="D14" s="674">
        <f>IFERROR(VLOOKUP($C14,'MEMBERS SHARES DEVIDENT'!$C$6:$D$25,2,0),0)</f>
        <v>3641.8190881458968</v>
      </c>
      <c r="E14" s="701">
        <f>IFERROR(VLOOKUP($C14,'TREASURE BILL FOR MEMBERS'!$C$6:$D$24,2,0),0)</f>
        <v>2.1460892049127342</v>
      </c>
      <c r="F14" s="675">
        <f t="shared" si="0"/>
        <v>3643.9651773508094</v>
      </c>
    </row>
    <row r="15" spans="2:6" ht="27.75" thickTop="1" thickBot="1" x14ac:dyDescent="0.35">
      <c r="B15" s="404">
        <v>11</v>
      </c>
      <c r="C15" s="651" t="s">
        <v>508</v>
      </c>
      <c r="D15" s="674">
        <f>IFERROR(VLOOKUP($C15,'MEMBERS SHARES DEVIDENT'!$C$6:$D$25,2,0),0)</f>
        <v>5968.5368389057749</v>
      </c>
      <c r="E15" s="701">
        <f>IFERROR(VLOOKUP($C15,'TREASURE BILL FOR MEMBERS'!$C$6:$D$24,2,0),0)</f>
        <v>828.35525802261668</v>
      </c>
      <c r="F15" s="675">
        <f t="shared" si="0"/>
        <v>6796.8920969283918</v>
      </c>
    </row>
    <row r="16" spans="2:6" ht="27.75" thickTop="1" thickBot="1" x14ac:dyDescent="0.35">
      <c r="B16" s="404">
        <v>12</v>
      </c>
      <c r="C16" s="651" t="s">
        <v>510</v>
      </c>
      <c r="D16" s="674">
        <f>IFERROR(VLOOKUP($C16,'MEMBERS SHARES DEVIDENT'!$C$6:$D$25,2,0),0)</f>
        <v>3034.8492401215804</v>
      </c>
      <c r="E16" s="701">
        <f>IFERROR(VLOOKUP($C16,'TREASURE BILL FOR MEMBERS'!$C$6:$D$24,2,0),0)</f>
        <v>772.18617642548077</v>
      </c>
      <c r="F16" s="675">
        <f t="shared" si="0"/>
        <v>3807.0354165470612</v>
      </c>
    </row>
    <row r="17" spans="2:6" ht="27.75" thickTop="1" thickBot="1" x14ac:dyDescent="0.35">
      <c r="B17" s="404">
        <v>13</v>
      </c>
      <c r="C17" s="651" t="s">
        <v>511</v>
      </c>
      <c r="D17" s="674">
        <f>IFERROR(VLOOKUP($C17,'MEMBERS SHARES DEVIDENT'!$C$6:$D$25,2,0),0)</f>
        <v>3034.8492401215804</v>
      </c>
      <c r="E17" s="701">
        <f>IFERROR(VLOOKUP($C17,'TREASURE BILL FOR MEMBERS'!$C$6:$D$24,2,0),0)</f>
        <v>828.35525802261668</v>
      </c>
      <c r="F17" s="675">
        <f t="shared" si="0"/>
        <v>3863.2044981441968</v>
      </c>
    </row>
    <row r="18" spans="2:6" ht="27.75" thickTop="1" thickBot="1" x14ac:dyDescent="0.35">
      <c r="B18" s="404">
        <v>14</v>
      </c>
      <c r="C18" s="651" t="s">
        <v>512</v>
      </c>
      <c r="D18" s="674">
        <f>IFERROR(VLOOKUP($C18,'MEMBERS SHARES DEVIDENT'!$C$6:$D$25,2,0),0)</f>
        <v>3742.9807294832826</v>
      </c>
      <c r="E18" s="701">
        <f>IFERROR(VLOOKUP($C18,'TREASURE BILL FOR MEMBERS'!$C$6:$D$24,2,0),0)</f>
        <v>828.35525802261668</v>
      </c>
      <c r="F18" s="675">
        <f t="shared" si="0"/>
        <v>4571.3359875058995</v>
      </c>
    </row>
    <row r="19" spans="2:6" ht="27.75" thickTop="1" thickBot="1" x14ac:dyDescent="0.35">
      <c r="B19" s="404">
        <v>15</v>
      </c>
      <c r="C19" s="651" t="s">
        <v>513</v>
      </c>
      <c r="D19" s="674">
        <f>IFERROR(VLOOKUP($C19,'MEMBERS SHARES DEVIDENT'!$C$6:$D$25,2,0),0)</f>
        <v>3945.3040121580548</v>
      </c>
      <c r="E19" s="701">
        <f>IFERROR(VLOOKUP($C19,'TREASURE BILL FOR MEMBERS'!$C$6:$D$24,2,0),0)</f>
        <v>828.35525802261668</v>
      </c>
      <c r="F19" s="675">
        <f t="shared" si="0"/>
        <v>4773.6592701806712</v>
      </c>
    </row>
    <row r="20" spans="2:6" ht="27.75" thickTop="1" thickBot="1" x14ac:dyDescent="0.35">
      <c r="B20" s="404">
        <v>16</v>
      </c>
      <c r="C20" s="651" t="s">
        <v>557</v>
      </c>
      <c r="D20" s="674">
        <f>IFERROR(VLOOKUP($C20,'MEMBERS SHARES DEVIDENT'!$C$6:$D$25,2,0),0)</f>
        <v>5563.8902735562306</v>
      </c>
      <c r="E20" s="701">
        <f>IFERROR(VLOOKUP($C20,'TREASURE BILL FOR MEMBERS'!$C$6:$D$24,2,0),0)</f>
        <v>828.35525802261668</v>
      </c>
      <c r="F20" s="675">
        <f t="shared" si="0"/>
        <v>6392.2455315788475</v>
      </c>
    </row>
    <row r="21" spans="2:6" ht="27.75" thickTop="1" thickBot="1" x14ac:dyDescent="0.35">
      <c r="B21" s="404">
        <v>17</v>
      </c>
      <c r="C21" s="651" t="s">
        <v>515</v>
      </c>
      <c r="D21" s="674">
        <f>IFERROR(VLOOKUP($C21,'MEMBERS SHARES DEVIDENT'!$C$6:$D$25,2,0),0)</f>
        <v>3338.3341641337383</v>
      </c>
      <c r="E21" s="701">
        <f>IFERROR(VLOOKUP($C21,'TREASURE BILL FOR MEMBERS'!$C$6:$D$24,2,0),0)</f>
        <v>828.35525802261668</v>
      </c>
      <c r="F21" s="675">
        <f t="shared" si="0"/>
        <v>4166.6894221563552</v>
      </c>
    </row>
    <row r="22" spans="2:6" ht="27.75" thickTop="1" thickBot="1" x14ac:dyDescent="0.35">
      <c r="B22" s="404">
        <v>18</v>
      </c>
      <c r="C22" s="651" t="s">
        <v>763</v>
      </c>
      <c r="D22" s="674">
        <f>IFERROR(VLOOKUP($C22,'MEMBERS SHARES DEVIDENT'!$C$6:$D$25,2,0),0)</f>
        <v>3742.9807294832826</v>
      </c>
      <c r="E22" s="701">
        <f>IFERROR(VLOOKUP($C22,'TREASURE BILL FOR MEMBERS'!$C$6:$D$24,2,0),0)</f>
        <v>828.35525802261668</v>
      </c>
      <c r="F22" s="675">
        <f t="shared" si="0"/>
        <v>4571.3359875058995</v>
      </c>
    </row>
    <row r="23" spans="2:6" ht="27.75" thickTop="1" thickBot="1" x14ac:dyDescent="0.35">
      <c r="B23" s="404">
        <v>19</v>
      </c>
      <c r="C23" s="651" t="s">
        <v>517</v>
      </c>
      <c r="D23" s="674">
        <f>IFERROR(VLOOKUP($C23,'MEMBERS SHARES DEVIDENT'!$C$6:$D$25,2,0),0)</f>
        <v>3945.3040121580548</v>
      </c>
      <c r="E23" s="701">
        <f>IFERROR(VLOOKUP($C23,'TREASURE BILL FOR MEMBERS'!$C$6:$D$24,2,0),0)</f>
        <v>828.35525802261668</v>
      </c>
      <c r="F23" s="675">
        <f t="shared" si="0"/>
        <v>4773.6592701806712</v>
      </c>
    </row>
    <row r="24" spans="2:6" ht="27.75" thickTop="1" thickBot="1" x14ac:dyDescent="0.35">
      <c r="B24" s="404"/>
      <c r="C24" s="651"/>
      <c r="D24" s="676"/>
      <c r="E24" s="702"/>
      <c r="F24" s="675"/>
    </row>
    <row r="25" spans="2:6" s="81" customFormat="1" ht="27.75" thickTop="1" thickBot="1" x14ac:dyDescent="0.45">
      <c r="B25" s="492">
        <f>SUBTOTAL(3,B5:B24)</f>
        <v>19</v>
      </c>
      <c r="C25" s="492">
        <f>SUBTOTAL(3,C5:C24)</f>
        <v>19</v>
      </c>
      <c r="D25" s="137">
        <f>SUM(D5:D23)</f>
        <v>66564.359999999986</v>
      </c>
      <c r="E25" s="137">
        <f>SUM(E5:E23)</f>
        <v>10502.699226995881</v>
      </c>
      <c r="F25" s="137">
        <f>SUM(D25:E25)</f>
        <v>77067.059226995872</v>
      </c>
    </row>
    <row r="26" spans="2:6" ht="18.75" thickTop="1" x14ac:dyDescent="0.25"/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B1:R29"/>
  <sheetViews>
    <sheetView workbookViewId="0">
      <pane xSplit="6" ySplit="6" topLeftCell="G19" activePane="bottomRight" state="frozen"/>
      <selection pane="topRight" activeCell="G1" sqref="G1"/>
      <selection pane="bottomLeft" activeCell="A7" sqref="A7"/>
      <selection pane="bottomRight" activeCell="C20" sqref="C20"/>
    </sheetView>
  </sheetViews>
  <sheetFormatPr defaultColWidth="9.140625" defaultRowHeight="18" x14ac:dyDescent="0.25"/>
  <cols>
    <col min="1" max="1" width="2.85546875" style="2" customWidth="1"/>
    <col min="2" max="2" width="9.140625" style="1" customWidth="1"/>
    <col min="3" max="3" width="58.140625" style="2" customWidth="1"/>
    <col min="4" max="4" width="24.42578125" style="2" customWidth="1"/>
    <col min="5" max="5" width="23.28515625" style="2" customWidth="1"/>
    <col min="6" max="6" width="24.28515625" style="2" customWidth="1"/>
    <col min="7" max="7" width="15.7109375" style="2" customWidth="1"/>
    <col min="8" max="11" width="14.7109375" style="2" customWidth="1"/>
    <col min="12" max="12" width="16.140625" style="2" customWidth="1"/>
    <col min="13" max="13" width="14.7109375" style="2" customWidth="1"/>
    <col min="14" max="18" width="19.28515625" style="2" customWidth="1"/>
    <col min="19" max="16384" width="9.140625" style="2"/>
  </cols>
  <sheetData>
    <row r="1" spans="2:18" s="216" customFormat="1" ht="19.5" customHeight="1" x14ac:dyDescent="0.25">
      <c r="B1" s="371"/>
    </row>
    <row r="2" spans="2:18" s="77" customFormat="1" x14ac:dyDescent="0.25">
      <c r="B2" s="76"/>
      <c r="H2" s="127"/>
    </row>
    <row r="3" spans="2:18" s="77" customFormat="1" ht="9.6" customHeight="1" thickBot="1" x14ac:dyDescent="0.3">
      <c r="B3" s="76"/>
    </row>
    <row r="4" spans="2:18" s="70" customFormat="1" ht="48" thickBot="1" x14ac:dyDescent="0.85">
      <c r="B4" s="94" t="s">
        <v>937</v>
      </c>
      <c r="C4" s="94"/>
      <c r="D4" s="342"/>
      <c r="E4" s="342"/>
      <c r="F4" s="94"/>
      <c r="G4" s="1081" t="s">
        <v>941</v>
      </c>
      <c r="H4" s="1082"/>
      <c r="I4" s="1082"/>
      <c r="J4" s="1082"/>
      <c r="K4" s="1082"/>
      <c r="L4" s="1082"/>
      <c r="M4" s="1083"/>
      <c r="N4" s="681" t="s">
        <v>542</v>
      </c>
      <c r="O4" s="682"/>
      <c r="P4" s="682"/>
      <c r="Q4" s="683"/>
      <c r="R4" s="682"/>
    </row>
    <row r="5" spans="2:18" s="114" customFormat="1" ht="45.95" customHeight="1" thickBot="1" x14ac:dyDescent="0.3">
      <c r="B5" s="684" t="s">
        <v>125</v>
      </c>
      <c r="C5" s="685" t="s">
        <v>483</v>
      </c>
      <c r="D5" s="685" t="s">
        <v>1003</v>
      </c>
      <c r="E5" s="685" t="s">
        <v>1004</v>
      </c>
      <c r="F5" s="685" t="s">
        <v>1002</v>
      </c>
      <c r="G5" s="685" t="s">
        <v>1</v>
      </c>
      <c r="H5" s="685">
        <v>2023</v>
      </c>
      <c r="I5" s="685">
        <v>2024</v>
      </c>
      <c r="J5" s="685">
        <v>2025</v>
      </c>
      <c r="K5" s="685">
        <v>2026</v>
      </c>
      <c r="L5" s="685" t="s">
        <v>1276</v>
      </c>
      <c r="M5" s="685">
        <v>2027</v>
      </c>
      <c r="N5" s="685" t="s">
        <v>933</v>
      </c>
      <c r="O5" s="685" t="s">
        <v>934</v>
      </c>
      <c r="P5" s="685" t="s">
        <v>935</v>
      </c>
      <c r="Q5" s="685" t="s">
        <v>936</v>
      </c>
      <c r="R5" s="686" t="s">
        <v>964</v>
      </c>
    </row>
    <row r="6" spans="2:18" s="64" customFormat="1" ht="30" customHeight="1" thickBot="1" x14ac:dyDescent="0.45">
      <c r="B6" s="697"/>
      <c r="C6" s="698"/>
      <c r="D6" s="1038">
        <f>'CASH FLOW'!C41</f>
        <v>66564.36</v>
      </c>
      <c r="E6" s="1038">
        <f>'CASH FLOW'!C42</f>
        <v>10502.699226995881</v>
      </c>
      <c r="F6" s="1039">
        <f>SUM(D6:E6)</f>
        <v>77067.059226995887</v>
      </c>
      <c r="G6" s="699" t="s">
        <v>56</v>
      </c>
      <c r="H6" s="699" t="s">
        <v>56</v>
      </c>
      <c r="I6" s="699" t="s">
        <v>56</v>
      </c>
      <c r="J6" s="699" t="s">
        <v>56</v>
      </c>
      <c r="K6" s="699" t="s">
        <v>56</v>
      </c>
      <c r="L6" s="699"/>
      <c r="M6" s="699" t="s">
        <v>56</v>
      </c>
      <c r="N6" s="699" t="s">
        <v>56</v>
      </c>
      <c r="O6" s="699" t="s">
        <v>56</v>
      </c>
      <c r="P6" s="699" t="s">
        <v>56</v>
      </c>
      <c r="Q6" s="699" t="s">
        <v>56</v>
      </c>
      <c r="R6" s="700" t="s">
        <v>56</v>
      </c>
    </row>
    <row r="7" spans="2:18" s="70" customFormat="1" ht="26.1" customHeight="1" thickBot="1" x14ac:dyDescent="0.35">
      <c r="B7" s="672">
        <v>1</v>
      </c>
      <c r="C7" s="604" t="s">
        <v>621</v>
      </c>
      <c r="D7" s="687">
        <f t="shared" ref="D7:D25" si="0">$D$6/$G$27*G7</f>
        <v>3034.8492401215804</v>
      </c>
      <c r="E7" s="688">
        <f>SUM(N7:R7)</f>
        <v>2.1460892049127342</v>
      </c>
      <c r="F7" s="689">
        <f t="shared" ref="F7:F25" si="1">SUM(D7:E7)</f>
        <v>3036.995329326493</v>
      </c>
      <c r="G7" s="690">
        <f>SUM(H7:M7)</f>
        <v>60</v>
      </c>
      <c r="H7" s="691">
        <f>IFERROR(VLOOKUP($C7,'MONTHLY DUES 2023'!$C$5:$E$24,3,0),0)</f>
        <v>0</v>
      </c>
      <c r="I7" s="691">
        <f>IFERROR(VLOOKUP($C7,'MONTHLY DUES 2024'!$C$5:$E$26,3,0),0)</f>
        <v>18</v>
      </c>
      <c r="J7" s="691">
        <f>IFERROR(VLOOKUP($C7,'MONTHLY DUES 2025'!$C$5:$E$27,3,0),0)</f>
        <v>24</v>
      </c>
      <c r="K7" s="691">
        <f>IFERROR(VLOOKUP($C7,'MONTHLY DUES 2026'!$C$5:$E$25,3,0),0)</f>
        <v>18</v>
      </c>
      <c r="L7" s="1029">
        <f>IFERROR(VLOOKUP($C7,'VEHICLE SHARES HOLDING'!$C$17:$E$31,3,0),0)</f>
        <v>0</v>
      </c>
      <c r="M7" s="692"/>
      <c r="N7" s="693">
        <f>IFERROR(VLOOKUP($C7,'B O G SHARES DEVIDENT '!$C$8:$D$21,2,0),0)</f>
        <v>0</v>
      </c>
      <c r="O7" s="693">
        <f>IFERROR(VLOOKUP($C7,'B O G SHARES DEVIDENT '!$C$30:$D$42,2,0),0)</f>
        <v>0</v>
      </c>
      <c r="P7" s="694">
        <f>IFERROR(VLOOKUP($C7,'B O G SHARES DEVIDENT '!$C$50:$D$63,2,0),0)</f>
        <v>0</v>
      </c>
      <c r="Q7" s="695">
        <f>IFERROR(VLOOKUP($C7,'B O G SHARES DEVIDENT '!$C$71:$D$87,2,0),0)</f>
        <v>2.1460892049127342</v>
      </c>
      <c r="R7" s="696">
        <f>IFERROR(VLOOKUP($C7,'B O G SHARES DEVIDENT '!$C$71:$C$88,3,0),0)</f>
        <v>0</v>
      </c>
    </row>
    <row r="8" spans="2:18" s="70" customFormat="1" ht="26.1" customHeight="1" thickTop="1" thickBot="1" x14ac:dyDescent="0.35">
      <c r="B8" s="404">
        <v>2</v>
      </c>
      <c r="C8" s="604" t="s">
        <v>691</v>
      </c>
      <c r="D8" s="677">
        <f t="shared" si="0"/>
        <v>1517.4246200607902</v>
      </c>
      <c r="E8" s="606">
        <f t="shared" ref="E8:E25" si="2">SUM(N8:R8)</f>
        <v>56.1690815971359</v>
      </c>
      <c r="F8" s="678">
        <f t="shared" si="1"/>
        <v>1573.593701657926</v>
      </c>
      <c r="G8" s="411">
        <f t="shared" ref="G8:G25" si="3">SUM(H8:M8)</f>
        <v>30</v>
      </c>
      <c r="H8" s="386">
        <f>IFERROR(VLOOKUP($C8,'MONTHLY DUES 2023'!$C$5:$E$24,3,0),0)</f>
        <v>0</v>
      </c>
      <c r="I8" s="386">
        <f>IFERROR(VLOOKUP($C8,'MONTHLY DUES 2024'!$C$5:$E$26,3,0),0)</f>
        <v>0</v>
      </c>
      <c r="J8" s="386">
        <f>IFERROR(VLOOKUP($C8,'MONTHLY DUES 2025'!$C$5:$E$27,3,0),0)</f>
        <v>24</v>
      </c>
      <c r="K8" s="386">
        <f>IFERROR(VLOOKUP($C8,'MONTHLY DUES 2026'!$C$5:$E$25,3,0),0)</f>
        <v>6</v>
      </c>
      <c r="L8" s="1029">
        <f>IFERROR(VLOOKUP($C8,'VEHICLE SHARES HOLDING'!$C$17:$E$31,3,0),0)</f>
        <v>0</v>
      </c>
      <c r="M8" s="405"/>
      <c r="N8" s="403">
        <f>IFERROR(VLOOKUP($C8,'B O G SHARES DEVIDENT '!$C$8:$D$21,2,0),0)</f>
        <v>0</v>
      </c>
      <c r="O8" s="403">
        <f>IFERROR(VLOOKUP($C8,'B O G SHARES DEVIDENT '!$C$30:$D$42,2,0),0)</f>
        <v>0</v>
      </c>
      <c r="P8" s="402">
        <f>IFERROR(VLOOKUP($C8,'B O G SHARES DEVIDENT '!$C$50:$D$63,2,0),0)</f>
        <v>54.022992392223166</v>
      </c>
      <c r="Q8" s="413">
        <f>IFERROR(VLOOKUP($C8,'B O G SHARES DEVIDENT '!$C$71:$D$87,2,0),0)</f>
        <v>2.1460892049127342</v>
      </c>
      <c r="R8" s="439">
        <f>IFERROR(VLOOKUP($C8,'B O G SHARES DEVIDENT '!$C$71:$C$88,3,0),0)</f>
        <v>0</v>
      </c>
    </row>
    <row r="9" spans="2:18" ht="26.1" customHeight="1" thickTop="1" thickBot="1" x14ac:dyDescent="0.35">
      <c r="B9" s="404">
        <v>3</v>
      </c>
      <c r="C9" s="604" t="s">
        <v>502</v>
      </c>
      <c r="D9" s="677">
        <f t="shared" si="0"/>
        <v>3439.4958054711246</v>
      </c>
      <c r="E9" s="606">
        <f t="shared" si="2"/>
        <v>828.35525802261668</v>
      </c>
      <c r="F9" s="678">
        <f t="shared" si="1"/>
        <v>4267.8510634937411</v>
      </c>
      <c r="G9" s="411">
        <f t="shared" si="3"/>
        <v>68</v>
      </c>
      <c r="H9" s="386">
        <f>IFERROR(VLOOKUP($C9,'MONTHLY DUES 2023'!$C$5:$E$24,3,0),0)</f>
        <v>12</v>
      </c>
      <c r="I9" s="386">
        <f>IFERROR(VLOOKUP($C9,'MONTHLY DUES 2024'!$C$5:$E$26,3,0),0)</f>
        <v>18</v>
      </c>
      <c r="J9" s="386">
        <f>IFERROR(VLOOKUP($C9,'MONTHLY DUES 2025'!$C$5:$E$27,3,0),0)</f>
        <v>24</v>
      </c>
      <c r="K9" s="386">
        <f>IFERROR(VLOOKUP($C9,'MONTHLY DUES 2026'!$C$5:$E$25,3,0),0)</f>
        <v>14</v>
      </c>
      <c r="L9" s="1029">
        <f>IFERROR(VLOOKUP($C9,'VEHICLE SHARES HOLDING'!$C$17:$E$31,3,0),0)</f>
        <v>0</v>
      </c>
      <c r="M9" s="406"/>
      <c r="N9" s="403">
        <f>IFERROR(VLOOKUP($C9,'B O G SHARES DEVIDENT '!$C$8:$D$21,2,0),0)</f>
        <v>497.68269230769232</v>
      </c>
      <c r="O9" s="403">
        <f>IFERROR(VLOOKUP($C9,'B O G SHARES DEVIDENT '!$C$30:$D$42,2,0),0)</f>
        <v>274.50348411778845</v>
      </c>
      <c r="P9" s="402">
        <f>IFERROR(VLOOKUP($C9,'B O G SHARES DEVIDENT '!$C$50:$D$63,2,0),0)</f>
        <v>54.022992392223166</v>
      </c>
      <c r="Q9" s="413">
        <f>IFERROR(VLOOKUP($C9,'B O G SHARES DEVIDENT '!$C$71:$D$87,2,0),0)</f>
        <v>2.1460892049127342</v>
      </c>
      <c r="R9" s="439">
        <f>IFERROR(VLOOKUP($C9,'B O G SHARES DEVIDENT '!$C$71:$C$88,3,0),0)</f>
        <v>0</v>
      </c>
    </row>
    <row r="10" spans="2:18" ht="26.1" customHeight="1" thickTop="1" thickBot="1" x14ac:dyDescent="0.35">
      <c r="B10" s="404">
        <v>4</v>
      </c>
      <c r="C10" s="604" t="s">
        <v>504</v>
      </c>
      <c r="D10" s="677">
        <f t="shared" si="0"/>
        <v>3439.4958054711246</v>
      </c>
      <c r="E10" s="606">
        <f t="shared" si="2"/>
        <v>828.35525802261668</v>
      </c>
      <c r="F10" s="678">
        <f t="shared" si="1"/>
        <v>4267.8510634937411</v>
      </c>
      <c r="G10" s="411">
        <f t="shared" si="3"/>
        <v>68</v>
      </c>
      <c r="H10" s="386">
        <f>IFERROR(VLOOKUP($C10,'MONTHLY DUES 2023'!$C$5:$E$24,3,0),0)</f>
        <v>12</v>
      </c>
      <c r="I10" s="386">
        <f>IFERROR(VLOOKUP($C10,'MONTHLY DUES 2024'!$C$5:$E$26,3,0),0)</f>
        <v>18</v>
      </c>
      <c r="J10" s="386">
        <f>IFERROR(VLOOKUP($C10,'MONTHLY DUES 2025'!$C$5:$E$27,3,0),0)</f>
        <v>24</v>
      </c>
      <c r="K10" s="386">
        <f>IFERROR(VLOOKUP($C10,'MONTHLY DUES 2026'!$C$5:$E$25,3,0),0)</f>
        <v>14</v>
      </c>
      <c r="L10" s="1029">
        <f>IFERROR(VLOOKUP($C10,'VEHICLE SHARES HOLDING'!$C$17:$E$31,3,0),0)</f>
        <v>0</v>
      </c>
      <c r="M10" s="406"/>
      <c r="N10" s="403">
        <f>IFERROR(VLOOKUP($C10,'B O G SHARES DEVIDENT '!$C$8:$D$21,2,0),0)</f>
        <v>497.68269230769232</v>
      </c>
      <c r="O10" s="403">
        <f>IFERROR(VLOOKUP($C10,'B O G SHARES DEVIDENT '!$C$30:$D$42,2,0),0)</f>
        <v>274.50348411778845</v>
      </c>
      <c r="P10" s="402">
        <f>IFERROR(VLOOKUP($C10,'B O G SHARES DEVIDENT '!$C$50:$D$63,2,0),0)</f>
        <v>54.022992392223166</v>
      </c>
      <c r="Q10" s="413">
        <f>IFERROR(VLOOKUP($C10,'B O G SHARES DEVIDENT '!$C$71:$D$87,2,0),0)</f>
        <v>2.1460892049127342</v>
      </c>
      <c r="R10" s="439">
        <f>IFERROR(VLOOKUP($C10,'B O G SHARES DEVIDENT '!$C$71:$C$88,3,0),0)</f>
        <v>0</v>
      </c>
    </row>
    <row r="11" spans="2:18" s="70" customFormat="1" ht="26.1" customHeight="1" thickTop="1" thickBot="1" x14ac:dyDescent="0.35">
      <c r="B11" s="404">
        <v>5</v>
      </c>
      <c r="C11" s="604" t="s">
        <v>518</v>
      </c>
      <c r="D11" s="677">
        <f t="shared" si="0"/>
        <v>3945.3040121580548</v>
      </c>
      <c r="E11" s="606">
        <f t="shared" si="2"/>
        <v>2.1460892049127342</v>
      </c>
      <c r="F11" s="678">
        <f t="shared" si="1"/>
        <v>3947.4501013629674</v>
      </c>
      <c r="G11" s="411">
        <f t="shared" si="3"/>
        <v>78</v>
      </c>
      <c r="H11" s="386">
        <f>IFERROR(VLOOKUP($C11,'MONTHLY DUES 2023'!$C$5:$E$24,3,0),0)</f>
        <v>12</v>
      </c>
      <c r="I11" s="386">
        <f>IFERROR(VLOOKUP($C11,'MONTHLY DUES 2024'!$C$5:$E$26,3,0),0)</f>
        <v>18</v>
      </c>
      <c r="J11" s="386">
        <f>IFERROR(VLOOKUP($C11,'MONTHLY DUES 2025'!$C$5:$E$27,3,0),0)</f>
        <v>24</v>
      </c>
      <c r="K11" s="386">
        <f>IFERROR(VLOOKUP($C11,'MONTHLY DUES 2026'!$C$5:$E$25,3,0),0)</f>
        <v>24</v>
      </c>
      <c r="L11" s="1029">
        <f>IFERROR(VLOOKUP($C11,'VEHICLE SHARES HOLDING'!$C$17:$E$31,3,0),0)</f>
        <v>0</v>
      </c>
      <c r="M11" s="405"/>
      <c r="N11" s="403">
        <f>IFERROR(VLOOKUP($C11,'B O G SHARES DEVIDENT '!$C$8:$D$21,2,0),0)</f>
        <v>0</v>
      </c>
      <c r="O11" s="403">
        <f>IFERROR(VLOOKUP($C11,'B O G SHARES DEVIDENT '!$C$30:$D$42,2,0),0)</f>
        <v>0</v>
      </c>
      <c r="P11" s="402">
        <f>IFERROR(VLOOKUP($C11,'B O G SHARES DEVIDENT '!$C$50:$D$63,2,0),0)</f>
        <v>0</v>
      </c>
      <c r="Q11" s="413">
        <f>IFERROR(VLOOKUP($C11,'B O G SHARES DEVIDENT '!$C$71:$D$87,2,0),0)</f>
        <v>2.1460892049127342</v>
      </c>
      <c r="R11" s="439">
        <f>IFERROR(VLOOKUP($C11,'B O G SHARES DEVIDENT '!$C$71:$C$88,3,0),0)</f>
        <v>0</v>
      </c>
    </row>
    <row r="12" spans="2:18" s="215" customFormat="1" ht="26.1" customHeight="1" thickTop="1" thickBot="1" x14ac:dyDescent="0.35">
      <c r="B12" s="404">
        <v>6</v>
      </c>
      <c r="C12" s="604" t="s">
        <v>686</v>
      </c>
      <c r="D12" s="677">
        <f t="shared" si="0"/>
        <v>3338.3341641337383</v>
      </c>
      <c r="E12" s="606">
        <f t="shared" si="2"/>
        <v>56.1690815971359</v>
      </c>
      <c r="F12" s="678">
        <f t="shared" si="1"/>
        <v>3394.5032457308744</v>
      </c>
      <c r="G12" s="411">
        <f t="shared" si="3"/>
        <v>66</v>
      </c>
      <c r="H12" s="386">
        <f>IFERROR(VLOOKUP($C12,'MONTHLY DUES 2023'!$C$5:$E$24,3,0),0)</f>
        <v>0</v>
      </c>
      <c r="I12" s="386">
        <f>IFERROR(VLOOKUP($C12,'MONTHLY DUES 2024'!$C$5:$E$26,3,0),0)</f>
        <v>18</v>
      </c>
      <c r="J12" s="386">
        <f>IFERROR(VLOOKUP($C12,'MONTHLY DUES 2025'!$C$5:$E$27,3,0),0)</f>
        <v>24</v>
      </c>
      <c r="K12" s="386">
        <f>IFERROR(VLOOKUP($C12,'MONTHLY DUES 2026'!$C$5:$E$25,3,0),0)</f>
        <v>24</v>
      </c>
      <c r="L12" s="1029">
        <f>IFERROR(VLOOKUP($C12,'VEHICLE SHARES HOLDING'!$C$17:$E$31,3,0),0)</f>
        <v>0</v>
      </c>
      <c r="M12" s="407"/>
      <c r="N12" s="403">
        <f>IFERROR(VLOOKUP($C12,'B O G SHARES DEVIDENT '!$C$8:$D$21,2,0),0)</f>
        <v>0</v>
      </c>
      <c r="O12" s="403">
        <f>IFERROR(VLOOKUP($C12,'B O G SHARES DEVIDENT '!$C$30:$D$42,2,0),0)</f>
        <v>0</v>
      </c>
      <c r="P12" s="402">
        <f>IFERROR(VLOOKUP($C12,'B O G SHARES DEVIDENT '!$C$50:$D$63,2,0),0)</f>
        <v>54.022992392223166</v>
      </c>
      <c r="Q12" s="413">
        <f>IFERROR(VLOOKUP($C12,'B O G SHARES DEVIDENT '!$C$71:$D$87,2,0),0)</f>
        <v>2.1460892049127342</v>
      </c>
      <c r="R12" s="439">
        <f>IFERROR(VLOOKUP($C12,'B O G SHARES DEVIDENT '!$C$71:$C$88,3,0),0)</f>
        <v>0</v>
      </c>
    </row>
    <row r="13" spans="2:18" s="215" customFormat="1" ht="26.1" customHeight="1" thickTop="1" thickBot="1" x14ac:dyDescent="0.35">
      <c r="B13" s="404">
        <v>66</v>
      </c>
      <c r="C13" s="604" t="s">
        <v>1141</v>
      </c>
      <c r="D13" s="677">
        <f t="shared" si="0"/>
        <v>910.4547720364742</v>
      </c>
      <c r="E13" s="606">
        <f t="shared" ref="E13" si="4">SUM(N13:R13)</f>
        <v>0</v>
      </c>
      <c r="F13" s="678">
        <f t="shared" ref="F13" si="5">SUM(D13:E13)</f>
        <v>910.4547720364742</v>
      </c>
      <c r="G13" s="411">
        <f t="shared" ref="G13" si="6">SUM(H13:M13)</f>
        <v>18</v>
      </c>
      <c r="H13" s="386">
        <f>IFERROR(VLOOKUP($C13,'MONTHLY DUES 2023'!$C$5:$E$24,3,0),0)</f>
        <v>0</v>
      </c>
      <c r="I13" s="386">
        <f>IFERROR(VLOOKUP($C13,'MONTHLY DUES 2024'!$C$5:$E$26,3,0),0)</f>
        <v>0</v>
      </c>
      <c r="J13" s="386">
        <f>IFERROR(VLOOKUP($C13,'MONTHLY DUES 2025'!$C$5:$E$27,3,0),0)</f>
        <v>0</v>
      </c>
      <c r="K13" s="386">
        <f>IFERROR(VLOOKUP($C13,'MONTHLY DUES 2026'!$C$5:$E$25,3,0),0)</f>
        <v>18</v>
      </c>
      <c r="L13" s="1029">
        <f>IFERROR(VLOOKUP($C13,'VEHICLE SHARES HOLDING'!$C$17:$E$31,3,0),0)</f>
        <v>0</v>
      </c>
      <c r="M13" s="407"/>
      <c r="N13" s="403">
        <f>IFERROR(VLOOKUP($C13,'B O G SHARES DEVIDENT '!$C$8:$D$21,2,0),0)</f>
        <v>0</v>
      </c>
      <c r="O13" s="403">
        <f>IFERROR(VLOOKUP($C13,'B O G SHARES DEVIDENT '!$C$30:$D$42,2,0),0)</f>
        <v>0</v>
      </c>
      <c r="P13" s="402">
        <f>IFERROR(VLOOKUP($C13,'B O G SHARES DEVIDENT '!$C$50:$D$63,2,0),0)</f>
        <v>0</v>
      </c>
      <c r="Q13" s="413">
        <f>IFERROR(VLOOKUP($C13,'B O G SHARES DEVIDENT '!$C$71:$D$87,2,0),0)</f>
        <v>0</v>
      </c>
      <c r="R13" s="439"/>
    </row>
    <row r="14" spans="2:18" ht="26.1" customHeight="1" thickTop="1" thickBot="1" x14ac:dyDescent="0.35">
      <c r="B14" s="404">
        <v>7</v>
      </c>
      <c r="C14" s="604" t="s">
        <v>505</v>
      </c>
      <c r="D14" s="677">
        <f t="shared" si="0"/>
        <v>3439.4958054711246</v>
      </c>
      <c r="E14" s="606">
        <f t="shared" si="2"/>
        <v>499.82878151260508</v>
      </c>
      <c r="F14" s="678">
        <f t="shared" si="1"/>
        <v>3939.3245869837297</v>
      </c>
      <c r="G14" s="411">
        <f t="shared" si="3"/>
        <v>68</v>
      </c>
      <c r="H14" s="386">
        <f>IFERROR(VLOOKUP($C14,'MONTHLY DUES 2023'!$C$5:$E$24,3,0),0)</f>
        <v>12</v>
      </c>
      <c r="I14" s="386">
        <f>IFERROR(VLOOKUP($C14,'MONTHLY DUES 2024'!$C$5:$E$26,3,0),0)</f>
        <v>18</v>
      </c>
      <c r="J14" s="386">
        <f>IFERROR(VLOOKUP($C14,'MONTHLY DUES 2025'!$C$5:$E$27,3,0),0)</f>
        <v>24</v>
      </c>
      <c r="K14" s="386">
        <f>IFERROR(VLOOKUP($C14,'MONTHLY DUES 2026'!$C$5:$E$25,3,0),0)</f>
        <v>14</v>
      </c>
      <c r="L14" s="1029">
        <f>IFERROR(VLOOKUP($C14,'VEHICLE SHARES HOLDING'!$C$17:$E$31,3,0),0)</f>
        <v>0</v>
      </c>
      <c r="M14" s="406"/>
      <c r="N14" s="403">
        <f>IFERROR(VLOOKUP($C14,'B O G SHARES DEVIDENT '!$C$8:$D$21,2,0),0)</f>
        <v>497.68269230769232</v>
      </c>
      <c r="O14" s="403">
        <f>IFERROR(VLOOKUP($C14,'B O G SHARES DEVIDENT '!$C$30:$D$42,2,0),0)</f>
        <v>0</v>
      </c>
      <c r="P14" s="402">
        <f>IFERROR(VLOOKUP($C14,'B O G SHARES DEVIDENT '!$C$50:$D$63,2,0),0)</f>
        <v>0</v>
      </c>
      <c r="Q14" s="413">
        <f>IFERROR(VLOOKUP($C14,'B O G SHARES DEVIDENT '!$C$71:$D$87,2,0),0)</f>
        <v>2.1460892049127342</v>
      </c>
      <c r="R14" s="439">
        <f>IFERROR(VLOOKUP($C14,'B O G SHARES DEVIDENT '!$C$71:$C$88,3,0),0)</f>
        <v>0</v>
      </c>
    </row>
    <row r="15" spans="2:18" ht="26.1" customHeight="1" thickTop="1" thickBot="1" x14ac:dyDescent="0.35">
      <c r="B15" s="404">
        <v>8</v>
      </c>
      <c r="C15" s="604" t="s">
        <v>506</v>
      </c>
      <c r="D15" s="677">
        <f t="shared" si="0"/>
        <v>3540.6574468085105</v>
      </c>
      <c r="E15" s="606">
        <f t="shared" si="2"/>
        <v>828.35525802261668</v>
      </c>
      <c r="F15" s="678">
        <f t="shared" si="1"/>
        <v>4369.0127048311269</v>
      </c>
      <c r="G15" s="411">
        <f t="shared" si="3"/>
        <v>70</v>
      </c>
      <c r="H15" s="386">
        <f>IFERROR(VLOOKUP($C15,'MONTHLY DUES 2023'!$C$5:$E$24,3,0),0)</f>
        <v>12</v>
      </c>
      <c r="I15" s="386">
        <f>IFERROR(VLOOKUP($C15,'MONTHLY DUES 2024'!$C$5:$E$26,3,0),0)</f>
        <v>18</v>
      </c>
      <c r="J15" s="386">
        <f>IFERROR(VLOOKUP($C15,'MONTHLY DUES 2025'!$C$5:$E$27,3,0),0)</f>
        <v>24</v>
      </c>
      <c r="K15" s="386">
        <f>IFERROR(VLOOKUP($C15,'MONTHLY DUES 2026'!$C$5:$E$25,3,0),0)</f>
        <v>16</v>
      </c>
      <c r="L15" s="1029">
        <f>IFERROR(VLOOKUP($C15,'VEHICLE SHARES HOLDING'!$C$17:$E$31,3,0),0)</f>
        <v>0</v>
      </c>
      <c r="M15" s="406"/>
      <c r="N15" s="403">
        <f>IFERROR(VLOOKUP($C15,'B O G SHARES DEVIDENT '!$C$8:$D$21,2,0),0)</f>
        <v>497.68269230769232</v>
      </c>
      <c r="O15" s="403">
        <f>IFERROR(VLOOKUP($C15,'B O G SHARES DEVIDENT '!$C$30:$D$42,2,0),0)</f>
        <v>274.50348411778845</v>
      </c>
      <c r="P15" s="402">
        <f>IFERROR(VLOOKUP($C15,'B O G SHARES DEVIDENT '!$C$50:$D$63,2,0),0)</f>
        <v>54.022992392223166</v>
      </c>
      <c r="Q15" s="413">
        <f>IFERROR(VLOOKUP($C15,'B O G SHARES DEVIDENT '!$C$71:$D$87,2,0),0)</f>
        <v>2.1460892049127342</v>
      </c>
      <c r="R15" s="439">
        <f>IFERROR(VLOOKUP($C15,'B O G SHARES DEVIDENT '!$C$71:$C$88,3,0),0)</f>
        <v>0</v>
      </c>
    </row>
    <row r="16" spans="2:18" s="129" customFormat="1" ht="26.1" customHeight="1" thickTop="1" thickBot="1" x14ac:dyDescent="0.35">
      <c r="B16" s="404">
        <v>9</v>
      </c>
      <c r="C16" s="604" t="s">
        <v>507</v>
      </c>
      <c r="D16" s="677">
        <f t="shared" si="0"/>
        <v>3641.8190881458968</v>
      </c>
      <c r="E16" s="606">
        <f t="shared" si="2"/>
        <v>2.1460892049127342</v>
      </c>
      <c r="F16" s="678">
        <f t="shared" si="1"/>
        <v>3643.9651773508094</v>
      </c>
      <c r="G16" s="411">
        <f t="shared" si="3"/>
        <v>72</v>
      </c>
      <c r="H16" s="386">
        <f>IFERROR(VLOOKUP($C16,'MONTHLY DUES 2023'!$C$5:$E$24,3,0),0)</f>
        <v>12</v>
      </c>
      <c r="I16" s="386">
        <f>IFERROR(VLOOKUP($C16,'MONTHLY DUES 2024'!$C$5:$E$26,3,0),0)</f>
        <v>18</v>
      </c>
      <c r="J16" s="386">
        <f>IFERROR(VLOOKUP($C16,'MONTHLY DUES 2025'!$C$5:$E$27,3,0),0)</f>
        <v>24</v>
      </c>
      <c r="K16" s="386">
        <f>IFERROR(VLOOKUP($C16,'MONTHLY DUES 2026'!$C$5:$E$25,3,0),0)</f>
        <v>18</v>
      </c>
      <c r="L16" s="1029">
        <f>IFERROR(VLOOKUP($C16,'VEHICLE SHARES HOLDING'!$C$17:$E$31,3,0),0)</f>
        <v>0</v>
      </c>
      <c r="M16" s="406"/>
      <c r="N16" s="403">
        <f>IFERROR(VLOOKUP($C16,'B O G SHARES DEVIDENT '!$C$8:$D$21,2,0),0)</f>
        <v>0</v>
      </c>
      <c r="O16" s="403">
        <f>IFERROR(VLOOKUP($C16,'B O G SHARES DEVIDENT '!$C$30:$D$42,2,0),0)</f>
        <v>0</v>
      </c>
      <c r="P16" s="402">
        <f>IFERROR(VLOOKUP($C16,'B O G SHARES DEVIDENT '!$C$50:$D$63,2,0),0)</f>
        <v>0</v>
      </c>
      <c r="Q16" s="413">
        <f>IFERROR(VLOOKUP($C16,'B O G SHARES DEVIDENT '!$C$71:$D$87,2,0),0)</f>
        <v>2.1460892049127342</v>
      </c>
      <c r="R16" s="439">
        <f>IFERROR(VLOOKUP($C16,'B O G SHARES DEVIDENT '!$C$71:$C$88,3,0),0)</f>
        <v>0</v>
      </c>
    </row>
    <row r="17" spans="2:18" ht="26.1" customHeight="1" thickTop="1" thickBot="1" x14ac:dyDescent="0.35">
      <c r="B17" s="404">
        <v>10</v>
      </c>
      <c r="C17" s="604" t="s">
        <v>508</v>
      </c>
      <c r="D17" s="677">
        <f t="shared" si="0"/>
        <v>5968.5368389057749</v>
      </c>
      <c r="E17" s="606">
        <f t="shared" si="2"/>
        <v>828.35525802261668</v>
      </c>
      <c r="F17" s="678">
        <f t="shared" si="1"/>
        <v>6796.8920969283918</v>
      </c>
      <c r="G17" s="411">
        <f t="shared" si="3"/>
        <v>118</v>
      </c>
      <c r="H17" s="386">
        <f>IFERROR(VLOOKUP($C17,'MONTHLY DUES 2023'!$C$5:$E$24,3,0),0)</f>
        <v>12</v>
      </c>
      <c r="I17" s="386">
        <f>IFERROR(VLOOKUP($C17,'MONTHLY DUES 2024'!$C$5:$E$26,3,0),0)</f>
        <v>18</v>
      </c>
      <c r="J17" s="386">
        <f>IFERROR(VLOOKUP($C17,'MONTHLY DUES 2025'!$C$5:$E$27,3,0),0)</f>
        <v>24</v>
      </c>
      <c r="K17" s="386">
        <f>IFERROR(VLOOKUP($C17,'MONTHLY DUES 2026'!$C$5:$E$25,3,0),0)</f>
        <v>24</v>
      </c>
      <c r="L17" s="1029">
        <f>IFERROR(VLOOKUP($C17,'VEHICLE SHARES HOLDING'!$C$17:$E$31,3,0),0)</f>
        <v>40</v>
      </c>
      <c r="M17" s="406"/>
      <c r="N17" s="403">
        <f>IFERROR(VLOOKUP($C17,'B O G SHARES DEVIDENT '!$C$8:$D$21,2,0),0)</f>
        <v>497.68269230769232</v>
      </c>
      <c r="O17" s="403">
        <f>IFERROR(VLOOKUP($C17,'B O G SHARES DEVIDENT '!$C$30:$D$42,2,0),0)</f>
        <v>274.50348411778845</v>
      </c>
      <c r="P17" s="402">
        <f>IFERROR(VLOOKUP($C17,'B O G SHARES DEVIDENT '!$C$50:$D$63,2,0),0)</f>
        <v>54.022992392223166</v>
      </c>
      <c r="Q17" s="413">
        <f>IFERROR(VLOOKUP($C17,'B O G SHARES DEVIDENT '!$C$71:$D$87,2,0),0)</f>
        <v>2.1460892049127342</v>
      </c>
      <c r="R17" s="439">
        <f>IFERROR(VLOOKUP($C17,'B O G SHARES DEVIDENT '!$C$71:$C$88,3,0),0)</f>
        <v>0</v>
      </c>
    </row>
    <row r="18" spans="2:18" ht="26.1" customHeight="1" thickTop="1" thickBot="1" x14ac:dyDescent="0.35">
      <c r="B18" s="404">
        <v>11</v>
      </c>
      <c r="C18" s="604" t="s">
        <v>510</v>
      </c>
      <c r="D18" s="677">
        <f t="shared" si="0"/>
        <v>3034.8492401215804</v>
      </c>
      <c r="E18" s="606">
        <f t="shared" si="2"/>
        <v>772.18617642548077</v>
      </c>
      <c r="F18" s="678">
        <f t="shared" si="1"/>
        <v>3807.0354165470612</v>
      </c>
      <c r="G18" s="411">
        <f t="shared" si="3"/>
        <v>60</v>
      </c>
      <c r="H18" s="386">
        <f>IFERROR(VLOOKUP($C18,'MONTHLY DUES 2023'!$C$5:$E$24,3,0),0)</f>
        <v>12</v>
      </c>
      <c r="I18" s="386">
        <f>IFERROR(VLOOKUP($C18,'MONTHLY DUES 2024'!$C$5:$E$26,3,0),0)</f>
        <v>18</v>
      </c>
      <c r="J18" s="386">
        <f>IFERROR(VLOOKUP($C18,'MONTHLY DUES 2025'!$C$5:$E$27,3,0),0)</f>
        <v>24</v>
      </c>
      <c r="K18" s="386">
        <f>IFERROR(VLOOKUP($C18,'MONTHLY DUES 2026'!$C$5:$E$25,3,0),0)</f>
        <v>6</v>
      </c>
      <c r="L18" s="1029">
        <f>IFERROR(VLOOKUP($C18,'VEHICLE SHARES HOLDING'!$C$17:$E$31,3,0),0)</f>
        <v>0</v>
      </c>
      <c r="M18" s="406"/>
      <c r="N18" s="403">
        <f>IFERROR(VLOOKUP($C18,'B O G SHARES DEVIDENT '!$C$8:$D$21,2,0),0)</f>
        <v>497.68269230769232</v>
      </c>
      <c r="O18" s="403">
        <f>IFERROR(VLOOKUP($C18,'B O G SHARES DEVIDENT '!$C$30:$D$42,2,0),0)</f>
        <v>274.50348411778845</v>
      </c>
      <c r="P18" s="402">
        <f>IFERROR(VLOOKUP($C18,'B O G SHARES DEVIDENT '!$C$50:$D$63,2,0),0)</f>
        <v>0</v>
      </c>
      <c r="Q18" s="413">
        <f>IFERROR(VLOOKUP($C18,'B O G SHARES DEVIDENT '!$C$71:$D$87,2,0),0)</f>
        <v>0</v>
      </c>
      <c r="R18" s="439">
        <f>IFERROR(VLOOKUP($C18,'B O G SHARES DEVIDENT '!$C$71:$C$88,3,0),0)</f>
        <v>0</v>
      </c>
    </row>
    <row r="19" spans="2:18" ht="26.1" customHeight="1" thickTop="1" thickBot="1" x14ac:dyDescent="0.35">
      <c r="B19" s="404">
        <v>12</v>
      </c>
      <c r="C19" s="604" t="s">
        <v>511</v>
      </c>
      <c r="D19" s="677">
        <f t="shared" si="0"/>
        <v>3034.8492401215804</v>
      </c>
      <c r="E19" s="606">
        <f t="shared" si="2"/>
        <v>828.35525802261668</v>
      </c>
      <c r="F19" s="678">
        <f t="shared" si="1"/>
        <v>3863.2044981441968</v>
      </c>
      <c r="G19" s="411">
        <f t="shared" si="3"/>
        <v>60</v>
      </c>
      <c r="H19" s="386">
        <f>IFERROR(VLOOKUP($C19,'MONTHLY DUES 2023'!$C$5:$E$24,3,0),0)</f>
        <v>12</v>
      </c>
      <c r="I19" s="386">
        <f>IFERROR(VLOOKUP($C19,'MONTHLY DUES 2024'!$C$5:$E$26,3,0),0)</f>
        <v>18</v>
      </c>
      <c r="J19" s="386">
        <f>IFERROR(VLOOKUP($C19,'MONTHLY DUES 2025'!$C$5:$E$27,3,0),0)</f>
        <v>24</v>
      </c>
      <c r="K19" s="386">
        <f>IFERROR(VLOOKUP($C19,'MONTHLY DUES 2026'!$C$5:$E$25,3,0),0)</f>
        <v>6</v>
      </c>
      <c r="L19" s="1029">
        <f>IFERROR(VLOOKUP($C19,'VEHICLE SHARES HOLDING'!$C$17:$E$31,3,0),0)</f>
        <v>0</v>
      </c>
      <c r="M19" s="406"/>
      <c r="N19" s="403">
        <f>IFERROR(VLOOKUP($C19,'B O G SHARES DEVIDENT '!$C$8:$D$21,2,0),0)</f>
        <v>497.68269230769232</v>
      </c>
      <c r="O19" s="403">
        <f>IFERROR(VLOOKUP($C19,'B O G SHARES DEVIDENT '!$C$30:$D$42,2,0),0)</f>
        <v>274.50348411778845</v>
      </c>
      <c r="P19" s="402">
        <f>IFERROR(VLOOKUP($C19,'B O G SHARES DEVIDENT '!$C$50:$D$63,2,0),0)</f>
        <v>54.022992392223166</v>
      </c>
      <c r="Q19" s="413">
        <f>IFERROR(VLOOKUP($C19,'B O G SHARES DEVIDENT '!$C$71:$D$87,2,0),0)</f>
        <v>2.1460892049127342</v>
      </c>
      <c r="R19" s="439">
        <f>IFERROR(VLOOKUP($C19,'B O G SHARES DEVIDENT '!$C$71:$C$88,3,0),0)</f>
        <v>0</v>
      </c>
    </row>
    <row r="20" spans="2:18" ht="26.1" customHeight="1" thickTop="1" thickBot="1" x14ac:dyDescent="0.35">
      <c r="B20" s="404">
        <v>13</v>
      </c>
      <c r="C20" s="604" t="s">
        <v>512</v>
      </c>
      <c r="D20" s="677">
        <f t="shared" si="0"/>
        <v>3742.9807294832826</v>
      </c>
      <c r="E20" s="606">
        <f t="shared" si="2"/>
        <v>828.35525802261668</v>
      </c>
      <c r="F20" s="678">
        <f t="shared" si="1"/>
        <v>4571.3359875058995</v>
      </c>
      <c r="G20" s="411">
        <f t="shared" si="3"/>
        <v>74</v>
      </c>
      <c r="H20" s="386">
        <f>IFERROR(VLOOKUP($C20,'MONTHLY DUES 2023'!$C$5:$E$24,3,0),0)</f>
        <v>12</v>
      </c>
      <c r="I20" s="386">
        <f>IFERROR(VLOOKUP($C20,'MONTHLY DUES 2024'!$C$5:$E$26,3,0),0)</f>
        <v>18</v>
      </c>
      <c r="J20" s="386">
        <f>IFERROR(VLOOKUP($C20,'MONTHLY DUES 2025'!$C$5:$E$27,3,0),0)</f>
        <v>24</v>
      </c>
      <c r="K20" s="386">
        <f>IFERROR(VLOOKUP($C20,'MONTHLY DUES 2026'!$C$5:$E$25,3,0),0)</f>
        <v>20</v>
      </c>
      <c r="L20" s="1029">
        <f>IFERROR(VLOOKUP($C20,'VEHICLE SHARES HOLDING'!$C$17:$E$31,3,0),0)</f>
        <v>0</v>
      </c>
      <c r="M20" s="406"/>
      <c r="N20" s="403">
        <f>IFERROR(VLOOKUP($C20,'B O G SHARES DEVIDENT '!$C$8:$D$21,2,0),0)</f>
        <v>497.68269230769232</v>
      </c>
      <c r="O20" s="403">
        <f>IFERROR(VLOOKUP($C20,'B O G SHARES DEVIDENT '!$C$30:$D$42,2,0),0)</f>
        <v>274.50348411778845</v>
      </c>
      <c r="P20" s="402">
        <f>IFERROR(VLOOKUP($C20,'B O G SHARES DEVIDENT '!$C$50:$D$63,2,0),0)</f>
        <v>54.022992392223166</v>
      </c>
      <c r="Q20" s="413">
        <f>IFERROR(VLOOKUP($C20,'B O G SHARES DEVIDENT '!$C$71:$D$87,2,0),0)</f>
        <v>2.1460892049127342</v>
      </c>
      <c r="R20" s="439">
        <f>IFERROR(VLOOKUP($C20,'B O G SHARES DEVIDENT '!$C$71:$C$88,3,0),0)</f>
        <v>0</v>
      </c>
    </row>
    <row r="21" spans="2:18" ht="26.1" customHeight="1" thickTop="1" thickBot="1" x14ac:dyDescent="0.35">
      <c r="B21" s="404">
        <v>14</v>
      </c>
      <c r="C21" s="604" t="s">
        <v>513</v>
      </c>
      <c r="D21" s="677">
        <f t="shared" si="0"/>
        <v>3945.3040121580548</v>
      </c>
      <c r="E21" s="606">
        <f t="shared" si="2"/>
        <v>828.35525802261668</v>
      </c>
      <c r="F21" s="678">
        <f t="shared" si="1"/>
        <v>4773.6592701806712</v>
      </c>
      <c r="G21" s="411">
        <f t="shared" si="3"/>
        <v>78</v>
      </c>
      <c r="H21" s="386">
        <f>IFERROR(VLOOKUP($C21,'MONTHLY DUES 2023'!$C$5:$E$24,3,0),0)</f>
        <v>12</v>
      </c>
      <c r="I21" s="386">
        <f>IFERROR(VLOOKUP($C21,'MONTHLY DUES 2024'!$C$5:$E$26,3,0),0)</f>
        <v>18</v>
      </c>
      <c r="J21" s="386">
        <f>IFERROR(VLOOKUP($C21,'MONTHLY DUES 2025'!$C$5:$E$27,3,0),0)</f>
        <v>24</v>
      </c>
      <c r="K21" s="386">
        <f>IFERROR(VLOOKUP($C21,'MONTHLY DUES 2026'!$C$5:$E$25,3,0),0)</f>
        <v>24</v>
      </c>
      <c r="L21" s="1029">
        <f>IFERROR(VLOOKUP($C21,'VEHICLE SHARES HOLDING'!$C$17:$E$31,3,0),0)</f>
        <v>0</v>
      </c>
      <c r="M21" s="406"/>
      <c r="N21" s="403">
        <f>IFERROR(VLOOKUP($C21,'B O G SHARES DEVIDENT '!$C$8:$D$21,2,0),0)</f>
        <v>497.68269230769232</v>
      </c>
      <c r="O21" s="403">
        <f>IFERROR(VLOOKUP($C21,'B O G SHARES DEVIDENT '!$C$30:$D$42,2,0),0)</f>
        <v>274.50348411778845</v>
      </c>
      <c r="P21" s="402">
        <f>IFERROR(VLOOKUP($C21,'B O G SHARES DEVIDENT '!$C$50:$D$63,2,0),0)</f>
        <v>54.022992392223166</v>
      </c>
      <c r="Q21" s="413">
        <f>IFERROR(VLOOKUP($C21,'B O G SHARES DEVIDENT '!$C$71:$D$87,2,0),0)</f>
        <v>2.1460892049127342</v>
      </c>
      <c r="R21" s="439">
        <f>IFERROR(VLOOKUP($C21,'B O G SHARES DEVIDENT '!$C$71:$C$88,3,0),0)</f>
        <v>0</v>
      </c>
    </row>
    <row r="22" spans="2:18" ht="26.1" customHeight="1" thickTop="1" thickBot="1" x14ac:dyDescent="0.35">
      <c r="B22" s="404">
        <v>15</v>
      </c>
      <c r="C22" s="604" t="s">
        <v>557</v>
      </c>
      <c r="D22" s="677">
        <f t="shared" si="0"/>
        <v>5563.8902735562306</v>
      </c>
      <c r="E22" s="606">
        <f t="shared" si="2"/>
        <v>828.35525802261668</v>
      </c>
      <c r="F22" s="678">
        <f t="shared" si="1"/>
        <v>6392.2455315788475</v>
      </c>
      <c r="G22" s="411">
        <f t="shared" si="3"/>
        <v>110</v>
      </c>
      <c r="H22" s="386">
        <f>IFERROR(VLOOKUP($C22,'MONTHLY DUES 2023'!$C$5:$E$24,3,0),0)</f>
        <v>12</v>
      </c>
      <c r="I22" s="386">
        <f>IFERROR(VLOOKUP($C22,'MONTHLY DUES 2024'!$C$5:$E$26,3,0),0)</f>
        <v>18</v>
      </c>
      <c r="J22" s="386">
        <f>IFERROR(VLOOKUP($C22,'MONTHLY DUES 2025'!$C$5:$E$27,3,0),0)</f>
        <v>24</v>
      </c>
      <c r="K22" s="386">
        <f>IFERROR(VLOOKUP($C22,'MONTHLY DUES 2026'!$C$5:$E$25,3,0),0)</f>
        <v>16</v>
      </c>
      <c r="L22" s="1029">
        <f>IFERROR(VLOOKUP($C22,'VEHICLE SHARES HOLDING'!$C$17:$E$31,3,0),0)</f>
        <v>40</v>
      </c>
      <c r="M22" s="406"/>
      <c r="N22" s="403">
        <f>IFERROR(VLOOKUP($C22,'B O G SHARES DEVIDENT '!$C$8:$D$21,2,0),0)</f>
        <v>497.68269230769232</v>
      </c>
      <c r="O22" s="403">
        <f>IFERROR(VLOOKUP($C22,'B O G SHARES DEVIDENT '!$C$30:$D$42,2,0),0)</f>
        <v>274.50348411778845</v>
      </c>
      <c r="P22" s="402">
        <f>IFERROR(VLOOKUP($C22,'B O G SHARES DEVIDENT '!$C$50:$D$63,2,0),0)</f>
        <v>54.022992392223166</v>
      </c>
      <c r="Q22" s="413">
        <f>IFERROR(VLOOKUP($C22,'B O G SHARES DEVIDENT '!$C$71:$D$87,2,0),0)</f>
        <v>2.1460892049127342</v>
      </c>
      <c r="R22" s="439">
        <f>IFERROR(VLOOKUP($C22,'B O G SHARES DEVIDENT '!$C$71:$C$88,3,0),0)</f>
        <v>0</v>
      </c>
    </row>
    <row r="23" spans="2:18" ht="26.1" customHeight="1" thickTop="1" thickBot="1" x14ac:dyDescent="0.35">
      <c r="B23" s="404">
        <v>16</v>
      </c>
      <c r="C23" s="604" t="s">
        <v>515</v>
      </c>
      <c r="D23" s="677">
        <f t="shared" si="0"/>
        <v>3338.3341641337383</v>
      </c>
      <c r="E23" s="606">
        <f t="shared" si="2"/>
        <v>828.35525802261668</v>
      </c>
      <c r="F23" s="678">
        <f t="shared" si="1"/>
        <v>4166.6894221563552</v>
      </c>
      <c r="G23" s="411">
        <f t="shared" si="3"/>
        <v>66</v>
      </c>
      <c r="H23" s="386">
        <f>IFERROR(VLOOKUP($C23,'MONTHLY DUES 2023'!$C$5:$E$24,3,0),0)</f>
        <v>12</v>
      </c>
      <c r="I23" s="386">
        <f>IFERROR(VLOOKUP($C23,'MONTHLY DUES 2024'!$C$5:$E$26,3,0),0)</f>
        <v>18</v>
      </c>
      <c r="J23" s="386">
        <f>IFERROR(VLOOKUP($C23,'MONTHLY DUES 2025'!$C$5:$E$27,3,0),0)</f>
        <v>24</v>
      </c>
      <c r="K23" s="386">
        <f>IFERROR(VLOOKUP($C23,'MONTHLY DUES 2026'!$C$5:$E$25,3,0),0)</f>
        <v>12</v>
      </c>
      <c r="L23" s="1029">
        <f>IFERROR(VLOOKUP($C23,'VEHICLE SHARES HOLDING'!$C$17:$E$31,3,0),0)</f>
        <v>0</v>
      </c>
      <c r="M23" s="406"/>
      <c r="N23" s="403">
        <f>IFERROR(VLOOKUP($C23,'B O G SHARES DEVIDENT '!$C$8:$D$21,2,0),0)</f>
        <v>497.68269230769232</v>
      </c>
      <c r="O23" s="403">
        <f>IFERROR(VLOOKUP($C23,'B O G SHARES DEVIDENT '!$C$30:$D$42,2,0),0)</f>
        <v>274.50348411778845</v>
      </c>
      <c r="P23" s="402">
        <f>IFERROR(VLOOKUP($C23,'B O G SHARES DEVIDENT '!$C$50:$D$63,2,0),0)</f>
        <v>54.022992392223166</v>
      </c>
      <c r="Q23" s="413">
        <f>IFERROR(VLOOKUP($C23,'B O G SHARES DEVIDENT '!$C$71:$D$87,2,0),0)</f>
        <v>2.1460892049127342</v>
      </c>
      <c r="R23" s="439">
        <f>IFERROR(VLOOKUP($C23,'B O G SHARES DEVIDENT '!$C$71:$C$88,3,0),0)</f>
        <v>0</v>
      </c>
    </row>
    <row r="24" spans="2:18" ht="26.1" customHeight="1" thickTop="1" thickBot="1" x14ac:dyDescent="0.35">
      <c r="B24" s="404">
        <v>17</v>
      </c>
      <c r="C24" s="604" t="s">
        <v>763</v>
      </c>
      <c r="D24" s="677">
        <f t="shared" si="0"/>
        <v>3742.9807294832826</v>
      </c>
      <c r="E24" s="606">
        <f t="shared" si="2"/>
        <v>828.35525802261668</v>
      </c>
      <c r="F24" s="678">
        <f t="shared" si="1"/>
        <v>4571.3359875058995</v>
      </c>
      <c r="G24" s="411">
        <f t="shared" si="3"/>
        <v>74</v>
      </c>
      <c r="H24" s="386">
        <f>IFERROR(VLOOKUP($C24,'MONTHLY DUES 2023'!$C$5:$E$24,3,0),0)</f>
        <v>12</v>
      </c>
      <c r="I24" s="386">
        <f>IFERROR(VLOOKUP($C24,'MONTHLY DUES 2024'!$C$5:$E$26,3,0),0)</f>
        <v>18</v>
      </c>
      <c r="J24" s="386">
        <f>IFERROR(VLOOKUP($C24,'MONTHLY DUES 2025'!$C$5:$E$27,3,0),0)</f>
        <v>24</v>
      </c>
      <c r="K24" s="386">
        <f>IFERROR(VLOOKUP($C24,'MONTHLY DUES 2026'!$C$5:$E$25,3,0),0)</f>
        <v>20</v>
      </c>
      <c r="L24" s="1029">
        <f>IFERROR(VLOOKUP($C24,'VEHICLE SHARES HOLDING'!$C$17:$E$31,3,0),0)</f>
        <v>0</v>
      </c>
      <c r="M24" s="406"/>
      <c r="N24" s="403">
        <f>IFERROR(VLOOKUP($C24,'B O G SHARES DEVIDENT '!$C$8:$D$21,2,0),0)</f>
        <v>497.68269230769232</v>
      </c>
      <c r="O24" s="403">
        <f>IFERROR(VLOOKUP($C24,'B O G SHARES DEVIDENT '!$C$30:$D$42,2,0),0)</f>
        <v>274.50348411778845</v>
      </c>
      <c r="P24" s="402">
        <f>IFERROR(VLOOKUP($C24,'B O G SHARES DEVIDENT '!$C$50:$D$63,2,0),0)</f>
        <v>54.022992392223166</v>
      </c>
      <c r="Q24" s="413">
        <f>IFERROR(VLOOKUP($C24,'B O G SHARES DEVIDENT '!$C$71:$D$87,2,0),0)</f>
        <v>2.1460892049127342</v>
      </c>
      <c r="R24" s="439">
        <f>IFERROR(VLOOKUP($C24,'B O G SHARES DEVIDENT '!$C$71:$C$88,3,0),0)</f>
        <v>0</v>
      </c>
    </row>
    <row r="25" spans="2:18" ht="26.1" customHeight="1" thickTop="1" thickBot="1" x14ac:dyDescent="0.35">
      <c r="B25" s="404">
        <v>18</v>
      </c>
      <c r="C25" s="604" t="s">
        <v>517</v>
      </c>
      <c r="D25" s="677">
        <f t="shared" si="0"/>
        <v>3945.3040121580548</v>
      </c>
      <c r="E25" s="606">
        <f t="shared" si="2"/>
        <v>828.35525802261668</v>
      </c>
      <c r="F25" s="678">
        <f t="shared" si="1"/>
        <v>4773.6592701806712</v>
      </c>
      <c r="G25" s="411">
        <f t="shared" si="3"/>
        <v>78</v>
      </c>
      <c r="H25" s="386">
        <f>IFERROR(VLOOKUP($C25,'MONTHLY DUES 2023'!$C$5:$E$24,3,0),0)</f>
        <v>12</v>
      </c>
      <c r="I25" s="386">
        <f>IFERROR(VLOOKUP($C25,'MONTHLY DUES 2024'!$C$5:$E$26,3,0),0)</f>
        <v>18</v>
      </c>
      <c r="J25" s="386">
        <f>IFERROR(VLOOKUP($C25,'MONTHLY DUES 2025'!$C$5:$E$27,3,0),0)</f>
        <v>24</v>
      </c>
      <c r="K25" s="386">
        <f>IFERROR(VLOOKUP($C25,'MONTHLY DUES 2026'!$C$5:$E$25,3,0),0)</f>
        <v>24</v>
      </c>
      <c r="L25" s="1029">
        <f>IFERROR(VLOOKUP($C25,'VEHICLE SHARES HOLDING'!$C$17:$E$31,3,0),0)</f>
        <v>0</v>
      </c>
      <c r="M25" s="406"/>
      <c r="N25" s="403">
        <f>IFERROR(VLOOKUP($C25,'B O G SHARES DEVIDENT '!$C$8:$D$21,2,0),0)</f>
        <v>497.68269230769232</v>
      </c>
      <c r="O25" s="403">
        <f>IFERROR(VLOOKUP($C25,'B O G SHARES DEVIDENT '!$C$30:$D$42,2,0),0)</f>
        <v>274.50348411778845</v>
      </c>
      <c r="P25" s="402">
        <f>IFERROR(VLOOKUP($C25,'B O G SHARES DEVIDENT '!$C$50:$D$63,2,0),0)</f>
        <v>54.022992392223166</v>
      </c>
      <c r="Q25" s="413">
        <f>IFERROR(VLOOKUP($C25,'B O G SHARES DEVIDENT '!$C$71:$D$87,2,0),0)</f>
        <v>2.1460892049127342</v>
      </c>
      <c r="R25" s="439">
        <f>IFERROR(VLOOKUP($C25,'B O G SHARES DEVIDENT '!$C$71:$C$88,3,0),0)</f>
        <v>0</v>
      </c>
    </row>
    <row r="26" spans="2:18" ht="26.1" customHeight="1" thickTop="1" thickBot="1" x14ac:dyDescent="0.4">
      <c r="B26" s="233"/>
      <c r="C26" s="605"/>
      <c r="D26" s="679"/>
      <c r="E26" s="607"/>
      <c r="F26" s="680"/>
      <c r="G26" s="412"/>
      <c r="H26" s="409"/>
      <c r="I26" s="409">
        <f>IFERROR(VLOOKUP($C26,'MONTHLY DUES 2024'!$C$5:$E$26,3,0),0)</f>
        <v>0</v>
      </c>
      <c r="J26" s="409">
        <f>IFERROR(VLOOKUP($C26,'MONTHLY DUES 2025'!$C$5:$E$27,3,0),0)</f>
        <v>0</v>
      </c>
      <c r="K26" s="409">
        <f>IFERROR(VLOOKUP($C26,'MONTHLY DUES 2026'!$C$5:$E$25,3,0),0)</f>
        <v>0</v>
      </c>
      <c r="L26" s="1029">
        <f>IFERROR(VLOOKUP($C26,'VEHICLE SHARES HOLDING'!$C$17:$E$31,3,0),0)</f>
        <v>0</v>
      </c>
      <c r="M26" s="410"/>
      <c r="N26" s="489"/>
      <c r="O26" s="490"/>
      <c r="P26" s="489"/>
      <c r="Q26" s="413">
        <f>IFERROR(VLOOKUP($C26,'B O G SHARES DEVIDENT '!$C$71:$D$87,2,0),0)</f>
        <v>0</v>
      </c>
      <c r="R26" s="491">
        <f>IFERROR(VLOOKUP($C26,'B O G SHARES DEVIDENT '!$C$71:$C$88,3,0),0)</f>
        <v>0</v>
      </c>
    </row>
    <row r="27" spans="2:18" s="81" customFormat="1" ht="32.25" customHeight="1" thickTop="1" thickBot="1" x14ac:dyDescent="0.45">
      <c r="B27" s="492">
        <f>SUBTOTAL(3,B7:B26)</f>
        <v>19</v>
      </c>
      <c r="C27" s="492">
        <f>SUBTOTAL(3,C7:C26)</f>
        <v>19</v>
      </c>
      <c r="D27" s="137">
        <f>SUM(D7:D25)</f>
        <v>66564.359999999986</v>
      </c>
      <c r="E27" s="137">
        <f t="shared" ref="E27:P27" si="7">SUM(E7:E26)</f>
        <v>10502.699226995881</v>
      </c>
      <c r="F27" s="137">
        <f t="shared" si="7"/>
        <v>77067.059226995872</v>
      </c>
      <c r="G27" s="603">
        <f t="shared" ref="G27:M27" si="8">SUM(G7:G26)</f>
        <v>1316</v>
      </c>
      <c r="H27" s="603">
        <f t="shared" si="8"/>
        <v>180</v>
      </c>
      <c r="I27" s="603">
        <f t="shared" si="8"/>
        <v>306</v>
      </c>
      <c r="J27" s="603">
        <f t="shared" si="8"/>
        <v>432</v>
      </c>
      <c r="K27" s="603">
        <f t="shared" si="8"/>
        <v>318</v>
      </c>
      <c r="L27" s="603">
        <f t="shared" si="8"/>
        <v>80</v>
      </c>
      <c r="M27" s="603">
        <f t="shared" si="8"/>
        <v>0</v>
      </c>
      <c r="N27" s="493">
        <f t="shared" si="7"/>
        <v>6469.875</v>
      </c>
      <c r="O27" s="493">
        <f t="shared" si="7"/>
        <v>3294.0418094134616</v>
      </c>
      <c r="P27" s="493">
        <f t="shared" si="7"/>
        <v>702.29890109890118</v>
      </c>
      <c r="Q27" s="493">
        <f>SUM(Q7:Q26)</f>
        <v>36.483516483516482</v>
      </c>
      <c r="R27" s="493">
        <f>SUM(R7:R26)</f>
        <v>0</v>
      </c>
    </row>
    <row r="28" spans="2:18" ht="19.5" customHeight="1" thickTop="1" x14ac:dyDescent="0.25"/>
    <row r="29" spans="2:18" x14ac:dyDescent="0.25">
      <c r="E29" s="608"/>
      <c r="N29" s="193">
        <f>SUM(N27:Q27)</f>
        <v>10502.699226995879</v>
      </c>
    </row>
  </sheetData>
  <mergeCells count="1">
    <mergeCell ref="G4:M4"/>
  </mergeCells>
  <conditionalFormatting sqref="G7:O26">
    <cfRule type="cellIs" dxfId="18" priority="3" operator="equal">
      <formula>0</formula>
    </cfRule>
  </conditionalFormatting>
  <conditionalFormatting sqref="N7:O26">
    <cfRule type="cellIs" dxfId="17" priority="2" operator="equal">
      <formula>0</formula>
    </cfRule>
  </conditionalFormatting>
  <conditionalFormatting sqref="N7:R26">
    <cfRule type="cellIs" dxfId="16" priority="1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B1:F89"/>
  <sheetViews>
    <sheetView workbookViewId="0">
      <selection activeCell="I16" sqref="I16"/>
    </sheetView>
  </sheetViews>
  <sheetFormatPr defaultColWidth="9.140625" defaultRowHeight="18" x14ac:dyDescent="0.25"/>
  <cols>
    <col min="1" max="1" width="3.5703125" style="77" customWidth="1"/>
    <col min="2" max="2" width="10.7109375" style="76" customWidth="1"/>
    <col min="3" max="3" width="59.140625" style="77" customWidth="1"/>
    <col min="4" max="4" width="21.140625" style="77" bestFit="1" customWidth="1"/>
    <col min="5" max="16384" width="9.140625" style="77"/>
  </cols>
  <sheetData>
    <row r="1" spans="2:6" s="216" customFormat="1" ht="19.5" customHeight="1" x14ac:dyDescent="0.25">
      <c r="B1" s="371"/>
    </row>
    <row r="3" spans="2:6" ht="9.6" customHeight="1" thickBot="1" x14ac:dyDescent="0.3"/>
    <row r="4" spans="2:6" s="70" customFormat="1" ht="47.25" thickBot="1" x14ac:dyDescent="0.8">
      <c r="B4" s="1084" t="s">
        <v>965</v>
      </c>
      <c r="C4" s="1085"/>
      <c r="D4" s="1086"/>
    </row>
    <row r="5" spans="2:6" s="120" customFormat="1" ht="60.95" customHeight="1" thickBot="1" x14ac:dyDescent="0.3">
      <c r="B5" s="1087" t="s">
        <v>999</v>
      </c>
      <c r="C5" s="1088"/>
      <c r="D5" s="1089"/>
    </row>
    <row r="6" spans="2:6" s="81" customFormat="1" ht="30" customHeight="1" thickBot="1" x14ac:dyDescent="0.45">
      <c r="B6" s="1093" t="s">
        <v>773</v>
      </c>
      <c r="C6" s="1094"/>
      <c r="D6" s="1095"/>
    </row>
    <row r="7" spans="2:6" s="64" customFormat="1" ht="27.95" customHeight="1" thickTop="1" thickBot="1" x14ac:dyDescent="0.4">
      <c r="B7" s="69" t="s">
        <v>125</v>
      </c>
      <c r="C7" s="465" t="s">
        <v>57</v>
      </c>
      <c r="D7" s="487" t="s">
        <v>1</v>
      </c>
    </row>
    <row r="8" spans="2:6" s="12" customFormat="1" ht="26.1" customHeight="1" thickBot="1" x14ac:dyDescent="0.35">
      <c r="B8" s="121">
        <v>1</v>
      </c>
      <c r="C8" s="466" t="s">
        <v>502</v>
      </c>
      <c r="D8" s="482">
        <f>'TREASURER BILL NO 1'!G394</f>
        <v>497.68269230769232</v>
      </c>
    </row>
    <row r="9" spans="2:6" s="12" customFormat="1" ht="26.1" customHeight="1" thickTop="1" thickBot="1" x14ac:dyDescent="0.35">
      <c r="B9" s="122">
        <v>2</v>
      </c>
      <c r="C9" s="467" t="s">
        <v>504</v>
      </c>
      <c r="D9" s="482">
        <f>D8</f>
        <v>497.68269230769232</v>
      </c>
    </row>
    <row r="10" spans="2:6" s="12" customFormat="1" ht="26.1" customHeight="1" thickTop="1" thickBot="1" x14ac:dyDescent="0.35">
      <c r="B10" s="122">
        <v>3</v>
      </c>
      <c r="C10" s="467" t="s">
        <v>505</v>
      </c>
      <c r="D10" s="482">
        <f t="shared" ref="D10:D20" si="0">D9</f>
        <v>497.68269230769232</v>
      </c>
    </row>
    <row r="11" spans="2:6" s="12" customFormat="1" ht="26.1" customHeight="1" thickTop="1" thickBot="1" x14ac:dyDescent="0.35">
      <c r="B11" s="122">
        <v>4</v>
      </c>
      <c r="C11" s="467" t="s">
        <v>506</v>
      </c>
      <c r="D11" s="482">
        <f t="shared" si="0"/>
        <v>497.68269230769232</v>
      </c>
    </row>
    <row r="12" spans="2:6" s="12" customFormat="1" ht="26.1" customHeight="1" thickTop="1" thickBot="1" x14ac:dyDescent="0.35">
      <c r="B12" s="122">
        <v>5</v>
      </c>
      <c r="C12" s="467" t="s">
        <v>508</v>
      </c>
      <c r="D12" s="482">
        <f t="shared" si="0"/>
        <v>497.68269230769232</v>
      </c>
    </row>
    <row r="13" spans="2:6" s="12" customFormat="1" ht="26.1" customHeight="1" thickTop="1" thickBot="1" x14ac:dyDescent="0.35">
      <c r="B13" s="122">
        <v>6</v>
      </c>
      <c r="C13" s="467" t="s">
        <v>510</v>
      </c>
      <c r="D13" s="482">
        <f t="shared" si="0"/>
        <v>497.68269230769232</v>
      </c>
      <c r="F13" s="12" t="s">
        <v>980</v>
      </c>
    </row>
    <row r="14" spans="2:6" s="12" customFormat="1" ht="26.1" customHeight="1" thickTop="1" thickBot="1" x14ac:dyDescent="0.35">
      <c r="B14" s="122">
        <v>7</v>
      </c>
      <c r="C14" s="467" t="s">
        <v>511</v>
      </c>
      <c r="D14" s="482">
        <f t="shared" si="0"/>
        <v>497.68269230769232</v>
      </c>
    </row>
    <row r="15" spans="2:6" s="12" customFormat="1" ht="26.1" customHeight="1" thickTop="1" thickBot="1" x14ac:dyDescent="0.35">
      <c r="B15" s="122">
        <v>8</v>
      </c>
      <c r="C15" s="467" t="s">
        <v>512</v>
      </c>
      <c r="D15" s="482">
        <f t="shared" si="0"/>
        <v>497.68269230769232</v>
      </c>
    </row>
    <row r="16" spans="2:6" s="12" customFormat="1" ht="26.1" customHeight="1" thickTop="1" thickBot="1" x14ac:dyDescent="0.35">
      <c r="B16" s="122">
        <v>9</v>
      </c>
      <c r="C16" s="467" t="s">
        <v>513</v>
      </c>
      <c r="D16" s="482">
        <f t="shared" si="0"/>
        <v>497.68269230769232</v>
      </c>
    </row>
    <row r="17" spans="2:4" s="12" customFormat="1" ht="26.1" customHeight="1" thickTop="1" thickBot="1" x14ac:dyDescent="0.35">
      <c r="B17" s="122">
        <v>10</v>
      </c>
      <c r="C17" s="467" t="s">
        <v>557</v>
      </c>
      <c r="D17" s="482">
        <f t="shared" si="0"/>
        <v>497.68269230769232</v>
      </c>
    </row>
    <row r="18" spans="2:4" s="12" customFormat="1" ht="26.1" customHeight="1" thickTop="1" thickBot="1" x14ac:dyDescent="0.35">
      <c r="B18" s="122">
        <v>11</v>
      </c>
      <c r="C18" s="467" t="s">
        <v>515</v>
      </c>
      <c r="D18" s="482">
        <f t="shared" si="0"/>
        <v>497.68269230769232</v>
      </c>
    </row>
    <row r="19" spans="2:4" s="12" customFormat="1" ht="26.1" customHeight="1" thickTop="1" thickBot="1" x14ac:dyDescent="0.35">
      <c r="B19" s="122">
        <v>12</v>
      </c>
      <c r="C19" s="467" t="s">
        <v>763</v>
      </c>
      <c r="D19" s="482">
        <f t="shared" si="0"/>
        <v>497.68269230769232</v>
      </c>
    </row>
    <row r="20" spans="2:4" s="12" customFormat="1" ht="26.1" customHeight="1" thickTop="1" thickBot="1" x14ac:dyDescent="0.35">
      <c r="B20" s="122">
        <v>13</v>
      </c>
      <c r="C20" s="467" t="s">
        <v>517</v>
      </c>
      <c r="D20" s="482">
        <f t="shared" si="0"/>
        <v>497.68269230769232</v>
      </c>
    </row>
    <row r="21" spans="2:4" s="12" customFormat="1" ht="26.1" customHeight="1" thickTop="1" thickBot="1" x14ac:dyDescent="0.35">
      <c r="B21" s="233"/>
      <c r="C21" s="468"/>
      <c r="D21" s="484"/>
    </row>
    <row r="22" spans="2:4" s="64" customFormat="1" ht="29.45" customHeight="1" thickTop="1" thickBot="1" x14ac:dyDescent="0.45">
      <c r="B22" s="469">
        <f>SUBTOTAL(3,B8:B20)</f>
        <v>13</v>
      </c>
      <c r="C22" s="470" t="s">
        <v>1</v>
      </c>
      <c r="D22" s="485">
        <f>SUM(D8:D21)</f>
        <v>6469.875</v>
      </c>
    </row>
    <row r="25" spans="2:4" ht="18.75" thickBot="1" x14ac:dyDescent="0.3"/>
    <row r="26" spans="2:4" s="70" customFormat="1" ht="47.25" thickBot="1" x14ac:dyDescent="0.8">
      <c r="B26" s="1084" t="s">
        <v>787</v>
      </c>
      <c r="C26" s="1085"/>
      <c r="D26" s="1086"/>
    </row>
    <row r="27" spans="2:4" s="120" customFormat="1" ht="60.95" customHeight="1" thickBot="1" x14ac:dyDescent="0.3">
      <c r="B27" s="1087" t="s">
        <v>961</v>
      </c>
      <c r="C27" s="1088"/>
      <c r="D27" s="1089"/>
    </row>
    <row r="28" spans="2:4" s="81" customFormat="1" ht="30" customHeight="1" thickBot="1" x14ac:dyDescent="0.45">
      <c r="B28" s="1090" t="s">
        <v>772</v>
      </c>
      <c r="C28" s="1091"/>
      <c r="D28" s="1092"/>
    </row>
    <row r="29" spans="2:4" s="64" customFormat="1" ht="27.95" customHeight="1" thickBot="1" x14ac:dyDescent="0.4">
      <c r="B29" s="474" t="s">
        <v>125</v>
      </c>
      <c r="C29" s="475" t="s">
        <v>57</v>
      </c>
      <c r="D29" s="488" t="s">
        <v>1</v>
      </c>
    </row>
    <row r="30" spans="2:4" ht="21" thickBot="1" x14ac:dyDescent="0.35">
      <c r="B30" s="121">
        <v>1</v>
      </c>
      <c r="C30" s="466" t="s">
        <v>502</v>
      </c>
      <c r="D30" s="482">
        <f>'TREASURER BILL NO 2'!G392</f>
        <v>274.50348411778845</v>
      </c>
    </row>
    <row r="31" spans="2:4" ht="21.75" thickTop="1" thickBot="1" x14ac:dyDescent="0.35">
      <c r="B31" s="122">
        <v>2</v>
      </c>
      <c r="C31" s="467" t="s">
        <v>504</v>
      </c>
      <c r="D31" s="482">
        <f>D30</f>
        <v>274.50348411778845</v>
      </c>
    </row>
    <row r="32" spans="2:4" ht="21.75" thickTop="1" thickBot="1" x14ac:dyDescent="0.35">
      <c r="B32" s="122">
        <v>3</v>
      </c>
      <c r="C32" s="467" t="s">
        <v>506</v>
      </c>
      <c r="D32" s="482">
        <f>D31</f>
        <v>274.50348411778845</v>
      </c>
    </row>
    <row r="33" spans="2:4" ht="21.75" thickTop="1" thickBot="1" x14ac:dyDescent="0.35">
      <c r="B33" s="122">
        <v>4</v>
      </c>
      <c r="C33" s="467" t="s">
        <v>508</v>
      </c>
      <c r="D33" s="482">
        <f t="shared" ref="D33:D41" si="1">D32</f>
        <v>274.50348411778845</v>
      </c>
    </row>
    <row r="34" spans="2:4" ht="21.75" thickTop="1" thickBot="1" x14ac:dyDescent="0.35">
      <c r="B34" s="122">
        <v>5</v>
      </c>
      <c r="C34" s="467" t="s">
        <v>510</v>
      </c>
      <c r="D34" s="482">
        <f t="shared" si="1"/>
        <v>274.50348411778845</v>
      </c>
    </row>
    <row r="35" spans="2:4" ht="21.75" thickTop="1" thickBot="1" x14ac:dyDescent="0.35">
      <c r="B35" s="122">
        <v>6</v>
      </c>
      <c r="C35" s="467" t="s">
        <v>511</v>
      </c>
      <c r="D35" s="482">
        <f t="shared" si="1"/>
        <v>274.50348411778845</v>
      </c>
    </row>
    <row r="36" spans="2:4" ht="21.75" thickTop="1" thickBot="1" x14ac:dyDescent="0.35">
      <c r="B36" s="122">
        <v>7</v>
      </c>
      <c r="C36" s="467" t="s">
        <v>512</v>
      </c>
      <c r="D36" s="482">
        <f t="shared" si="1"/>
        <v>274.50348411778845</v>
      </c>
    </row>
    <row r="37" spans="2:4" ht="21.75" thickTop="1" thickBot="1" x14ac:dyDescent="0.35">
      <c r="B37" s="122">
        <v>8</v>
      </c>
      <c r="C37" s="467" t="s">
        <v>513</v>
      </c>
      <c r="D37" s="482">
        <f t="shared" si="1"/>
        <v>274.50348411778845</v>
      </c>
    </row>
    <row r="38" spans="2:4" ht="21.75" thickTop="1" thickBot="1" x14ac:dyDescent="0.35">
      <c r="B38" s="122">
        <v>9</v>
      </c>
      <c r="C38" s="467" t="s">
        <v>557</v>
      </c>
      <c r="D38" s="482">
        <f t="shared" si="1"/>
        <v>274.50348411778845</v>
      </c>
    </row>
    <row r="39" spans="2:4" ht="21.75" thickTop="1" thickBot="1" x14ac:dyDescent="0.35">
      <c r="B39" s="122">
        <v>10</v>
      </c>
      <c r="C39" s="467" t="s">
        <v>515</v>
      </c>
      <c r="D39" s="482">
        <f t="shared" si="1"/>
        <v>274.50348411778845</v>
      </c>
    </row>
    <row r="40" spans="2:4" ht="21.75" thickTop="1" thickBot="1" x14ac:dyDescent="0.35">
      <c r="B40" s="122">
        <v>11</v>
      </c>
      <c r="C40" s="467" t="s">
        <v>763</v>
      </c>
      <c r="D40" s="482">
        <f t="shared" si="1"/>
        <v>274.50348411778845</v>
      </c>
    </row>
    <row r="41" spans="2:4" ht="21.75" thickTop="1" thickBot="1" x14ac:dyDescent="0.35">
      <c r="B41" s="122">
        <v>12</v>
      </c>
      <c r="C41" s="467" t="s">
        <v>517</v>
      </c>
      <c r="D41" s="482">
        <f t="shared" si="1"/>
        <v>274.50348411778845</v>
      </c>
    </row>
    <row r="42" spans="2:4" ht="21.75" thickTop="1" thickBot="1" x14ac:dyDescent="0.35">
      <c r="B42" s="233"/>
      <c r="C42" s="467"/>
      <c r="D42" s="483"/>
    </row>
    <row r="43" spans="2:4" ht="27.75" thickTop="1" thickBot="1" x14ac:dyDescent="0.45">
      <c r="B43" s="469">
        <f>SUBTOTAL(3,B30:B41)</f>
        <v>12</v>
      </c>
      <c r="C43" s="470" t="s">
        <v>1</v>
      </c>
      <c r="D43" s="486">
        <f>SUM(D30:D42)</f>
        <v>3294.0418094134616</v>
      </c>
    </row>
    <row r="45" spans="2:4" ht="18.75" thickBot="1" x14ac:dyDescent="0.3"/>
    <row r="46" spans="2:4" s="70" customFormat="1" ht="47.25" thickBot="1" x14ac:dyDescent="0.8">
      <c r="B46" s="1084" t="s">
        <v>790</v>
      </c>
      <c r="C46" s="1085"/>
      <c r="D46" s="1086"/>
    </row>
    <row r="47" spans="2:4" s="120" customFormat="1" ht="60.95" customHeight="1" thickBot="1" x14ac:dyDescent="0.3">
      <c r="B47" s="1087" t="s">
        <v>962</v>
      </c>
      <c r="C47" s="1088"/>
      <c r="D47" s="1089"/>
    </row>
    <row r="48" spans="2:4" s="81" customFormat="1" ht="30" customHeight="1" thickBot="1" x14ac:dyDescent="0.45">
      <c r="B48" s="1090" t="s">
        <v>902</v>
      </c>
      <c r="C48" s="1091"/>
      <c r="D48" s="1092"/>
    </row>
    <row r="49" spans="2:4" s="64" customFormat="1" ht="27.95" customHeight="1" thickBot="1" x14ac:dyDescent="0.4">
      <c r="B49" s="474" t="s">
        <v>125</v>
      </c>
      <c r="C49" s="475" t="s">
        <v>57</v>
      </c>
      <c r="D49" s="488" t="s">
        <v>1</v>
      </c>
    </row>
    <row r="50" spans="2:4" s="12" customFormat="1" ht="26.1" customHeight="1" thickBot="1" x14ac:dyDescent="0.35">
      <c r="B50" s="121">
        <v>1</v>
      </c>
      <c r="C50" s="466" t="s">
        <v>691</v>
      </c>
      <c r="D50" s="482">
        <f>'TREASURER BILL NO 3'!G212</f>
        <v>54.022992392223166</v>
      </c>
    </row>
    <row r="51" spans="2:4" s="12" customFormat="1" ht="26.1" customHeight="1" thickTop="1" thickBot="1" x14ac:dyDescent="0.35">
      <c r="B51" s="122">
        <v>2</v>
      </c>
      <c r="C51" s="467" t="s">
        <v>502</v>
      </c>
      <c r="D51" s="482">
        <f>D50</f>
        <v>54.022992392223166</v>
      </c>
    </row>
    <row r="52" spans="2:4" s="12" customFormat="1" ht="26.1" customHeight="1" thickTop="1" thickBot="1" x14ac:dyDescent="0.35">
      <c r="B52" s="122">
        <v>3</v>
      </c>
      <c r="C52" s="467" t="s">
        <v>504</v>
      </c>
      <c r="D52" s="482">
        <f>D51</f>
        <v>54.022992392223166</v>
      </c>
    </row>
    <row r="53" spans="2:4" s="12" customFormat="1" ht="26.1" customHeight="1" thickTop="1" thickBot="1" x14ac:dyDescent="0.35">
      <c r="B53" s="122">
        <v>4</v>
      </c>
      <c r="C53" s="467" t="s">
        <v>686</v>
      </c>
      <c r="D53" s="482">
        <f t="shared" ref="D53:D62" si="2">D52</f>
        <v>54.022992392223166</v>
      </c>
    </row>
    <row r="54" spans="2:4" s="12" customFormat="1" ht="26.1" customHeight="1" thickTop="1" thickBot="1" x14ac:dyDescent="0.35">
      <c r="B54" s="122">
        <v>5</v>
      </c>
      <c r="C54" s="467" t="s">
        <v>506</v>
      </c>
      <c r="D54" s="482">
        <f t="shared" si="2"/>
        <v>54.022992392223166</v>
      </c>
    </row>
    <row r="55" spans="2:4" s="12" customFormat="1" ht="26.1" customHeight="1" thickTop="1" thickBot="1" x14ac:dyDescent="0.35">
      <c r="B55" s="122">
        <v>6</v>
      </c>
      <c r="C55" s="467" t="s">
        <v>508</v>
      </c>
      <c r="D55" s="482">
        <f t="shared" si="2"/>
        <v>54.022992392223166</v>
      </c>
    </row>
    <row r="56" spans="2:4" s="12" customFormat="1" ht="26.1" customHeight="1" thickTop="1" thickBot="1" x14ac:dyDescent="0.35">
      <c r="B56" s="122">
        <v>7</v>
      </c>
      <c r="C56" s="467" t="s">
        <v>511</v>
      </c>
      <c r="D56" s="482">
        <f t="shared" si="2"/>
        <v>54.022992392223166</v>
      </c>
    </row>
    <row r="57" spans="2:4" s="12" customFormat="1" ht="26.1" customHeight="1" thickTop="1" thickBot="1" x14ac:dyDescent="0.35">
      <c r="B57" s="122">
        <v>8</v>
      </c>
      <c r="C57" s="467" t="s">
        <v>512</v>
      </c>
      <c r="D57" s="482">
        <f t="shared" si="2"/>
        <v>54.022992392223166</v>
      </c>
    </row>
    <row r="58" spans="2:4" s="12" customFormat="1" ht="26.1" customHeight="1" thickTop="1" thickBot="1" x14ac:dyDescent="0.35">
      <c r="B58" s="122">
        <v>9</v>
      </c>
      <c r="C58" s="467" t="s">
        <v>513</v>
      </c>
      <c r="D58" s="482">
        <f t="shared" si="2"/>
        <v>54.022992392223166</v>
      </c>
    </row>
    <row r="59" spans="2:4" s="12" customFormat="1" ht="26.1" customHeight="1" thickTop="1" thickBot="1" x14ac:dyDescent="0.35">
      <c r="B59" s="122">
        <v>10</v>
      </c>
      <c r="C59" s="467" t="s">
        <v>557</v>
      </c>
      <c r="D59" s="482">
        <f t="shared" si="2"/>
        <v>54.022992392223166</v>
      </c>
    </row>
    <row r="60" spans="2:4" s="12" customFormat="1" ht="26.1" customHeight="1" thickTop="1" thickBot="1" x14ac:dyDescent="0.35">
      <c r="B60" s="122">
        <v>11</v>
      </c>
      <c r="C60" s="467" t="s">
        <v>515</v>
      </c>
      <c r="D60" s="482">
        <f t="shared" si="2"/>
        <v>54.022992392223166</v>
      </c>
    </row>
    <row r="61" spans="2:4" s="12" customFormat="1" ht="26.1" customHeight="1" thickTop="1" thickBot="1" x14ac:dyDescent="0.35">
      <c r="B61" s="122">
        <v>12</v>
      </c>
      <c r="C61" s="467" t="s">
        <v>763</v>
      </c>
      <c r="D61" s="482">
        <f t="shared" si="2"/>
        <v>54.022992392223166</v>
      </c>
    </row>
    <row r="62" spans="2:4" s="12" customFormat="1" ht="26.1" customHeight="1" thickTop="1" thickBot="1" x14ac:dyDescent="0.35">
      <c r="B62" s="122">
        <v>13</v>
      </c>
      <c r="C62" s="467" t="s">
        <v>517</v>
      </c>
      <c r="D62" s="482">
        <f t="shared" si="2"/>
        <v>54.022992392223166</v>
      </c>
    </row>
    <row r="63" spans="2:4" s="12" customFormat="1" ht="26.1" customHeight="1" thickTop="1" thickBot="1" x14ac:dyDescent="0.35">
      <c r="B63" s="233"/>
      <c r="C63" s="468"/>
      <c r="D63" s="484"/>
    </row>
    <row r="64" spans="2:4" s="64" customFormat="1" ht="29.45" customHeight="1" thickTop="1" thickBot="1" x14ac:dyDescent="0.45">
      <c r="B64" s="469">
        <f>SUBTOTAL(3,B50:B62)</f>
        <v>13</v>
      </c>
      <c r="C64" s="470" t="s">
        <v>1</v>
      </c>
      <c r="D64" s="485">
        <f>SUM(D50:D63)</f>
        <v>702.29890109890118</v>
      </c>
    </row>
    <row r="66" spans="2:4" ht="18.75" thickBot="1" x14ac:dyDescent="0.3"/>
    <row r="67" spans="2:4" s="70" customFormat="1" ht="47.25" thickBot="1" x14ac:dyDescent="0.8">
      <c r="B67" s="1084" t="s">
        <v>882</v>
      </c>
      <c r="C67" s="1085"/>
      <c r="D67" s="1086"/>
    </row>
    <row r="68" spans="2:4" s="120" customFormat="1" ht="60.95" customHeight="1" thickBot="1" x14ac:dyDescent="0.3">
      <c r="B68" s="1087" t="s">
        <v>961</v>
      </c>
      <c r="C68" s="1088"/>
      <c r="D68" s="1089"/>
    </row>
    <row r="69" spans="2:4" s="81" customFormat="1" ht="30" customHeight="1" thickBot="1" x14ac:dyDescent="0.45">
      <c r="B69" s="1090" t="s">
        <v>960</v>
      </c>
      <c r="C69" s="1091"/>
      <c r="D69" s="1092"/>
    </row>
    <row r="70" spans="2:4" s="64" customFormat="1" ht="27.95" customHeight="1" thickBot="1" x14ac:dyDescent="0.4">
      <c r="B70" s="535" t="s">
        <v>125</v>
      </c>
      <c r="C70" s="536"/>
      <c r="D70" s="488" t="s">
        <v>1</v>
      </c>
    </row>
    <row r="71" spans="2:4" s="12" customFormat="1" ht="26.1" customHeight="1" thickBot="1" x14ac:dyDescent="0.4">
      <c r="B71" s="121">
        <v>1</v>
      </c>
      <c r="C71" s="599" t="s">
        <v>621</v>
      </c>
      <c r="D71" s="480">
        <f>'TREASURER BILL NO 4'!G12</f>
        <v>2.1460892049127342</v>
      </c>
    </row>
    <row r="72" spans="2:4" s="12" customFormat="1" ht="26.1" customHeight="1" thickTop="1" thickBot="1" x14ac:dyDescent="0.4">
      <c r="B72" s="122">
        <v>2</v>
      </c>
      <c r="C72" s="600" t="s">
        <v>691</v>
      </c>
      <c r="D72" s="480">
        <f>D71</f>
        <v>2.1460892049127342</v>
      </c>
    </row>
    <row r="73" spans="2:4" s="12" customFormat="1" ht="26.1" customHeight="1" thickTop="1" thickBot="1" x14ac:dyDescent="0.4">
      <c r="B73" s="122">
        <v>3</v>
      </c>
      <c r="C73" s="600" t="s">
        <v>502</v>
      </c>
      <c r="D73" s="480">
        <f t="shared" ref="D73:D87" si="3">D72</f>
        <v>2.1460892049127342</v>
      </c>
    </row>
    <row r="74" spans="2:4" s="12" customFormat="1" ht="26.1" customHeight="1" thickTop="1" thickBot="1" x14ac:dyDescent="0.4">
      <c r="B74" s="122">
        <v>4</v>
      </c>
      <c r="C74" s="600" t="s">
        <v>504</v>
      </c>
      <c r="D74" s="480">
        <f t="shared" si="3"/>
        <v>2.1460892049127342</v>
      </c>
    </row>
    <row r="75" spans="2:4" s="12" customFormat="1" ht="26.1" customHeight="1" thickTop="1" thickBot="1" x14ac:dyDescent="0.4">
      <c r="B75" s="122">
        <v>5</v>
      </c>
      <c r="C75" s="600" t="s">
        <v>518</v>
      </c>
      <c r="D75" s="480">
        <f t="shared" si="3"/>
        <v>2.1460892049127342</v>
      </c>
    </row>
    <row r="76" spans="2:4" s="12" customFormat="1" ht="26.1" customHeight="1" thickTop="1" thickBot="1" x14ac:dyDescent="0.4">
      <c r="B76" s="122">
        <v>6</v>
      </c>
      <c r="C76" s="600" t="s">
        <v>686</v>
      </c>
      <c r="D76" s="480">
        <f t="shared" si="3"/>
        <v>2.1460892049127342</v>
      </c>
    </row>
    <row r="77" spans="2:4" s="12" customFormat="1" ht="26.1" customHeight="1" thickTop="1" thickBot="1" x14ac:dyDescent="0.4">
      <c r="B77" s="122">
        <v>7</v>
      </c>
      <c r="C77" s="600" t="s">
        <v>505</v>
      </c>
      <c r="D77" s="480">
        <f t="shared" si="3"/>
        <v>2.1460892049127342</v>
      </c>
    </row>
    <row r="78" spans="2:4" s="12" customFormat="1" ht="26.1" customHeight="1" thickTop="1" thickBot="1" x14ac:dyDescent="0.4">
      <c r="B78" s="122">
        <v>8</v>
      </c>
      <c r="C78" s="600" t="s">
        <v>506</v>
      </c>
      <c r="D78" s="480">
        <f t="shared" si="3"/>
        <v>2.1460892049127342</v>
      </c>
    </row>
    <row r="79" spans="2:4" s="12" customFormat="1" ht="26.1" customHeight="1" thickTop="1" thickBot="1" x14ac:dyDescent="0.4">
      <c r="B79" s="122">
        <v>9</v>
      </c>
      <c r="C79" s="600" t="s">
        <v>507</v>
      </c>
      <c r="D79" s="480">
        <f t="shared" si="3"/>
        <v>2.1460892049127342</v>
      </c>
    </row>
    <row r="80" spans="2:4" s="12" customFormat="1" ht="26.1" customHeight="1" thickTop="1" thickBot="1" x14ac:dyDescent="0.4">
      <c r="B80" s="122">
        <v>10</v>
      </c>
      <c r="C80" s="600" t="s">
        <v>508</v>
      </c>
      <c r="D80" s="480">
        <f t="shared" si="3"/>
        <v>2.1460892049127342</v>
      </c>
    </row>
    <row r="81" spans="2:4" s="12" customFormat="1" ht="26.1" customHeight="1" thickTop="1" thickBot="1" x14ac:dyDescent="0.4">
      <c r="B81" s="122">
        <v>11</v>
      </c>
      <c r="C81" s="600" t="s">
        <v>511</v>
      </c>
      <c r="D81" s="480">
        <f t="shared" si="3"/>
        <v>2.1460892049127342</v>
      </c>
    </row>
    <row r="82" spans="2:4" s="12" customFormat="1" ht="26.1" customHeight="1" thickTop="1" thickBot="1" x14ac:dyDescent="0.4">
      <c r="B82" s="122">
        <v>12</v>
      </c>
      <c r="C82" s="600" t="s">
        <v>512</v>
      </c>
      <c r="D82" s="480">
        <f t="shared" si="3"/>
        <v>2.1460892049127342</v>
      </c>
    </row>
    <row r="83" spans="2:4" s="12" customFormat="1" ht="26.1" customHeight="1" thickTop="1" thickBot="1" x14ac:dyDescent="0.4">
      <c r="B83" s="122">
        <v>13</v>
      </c>
      <c r="C83" s="600" t="s">
        <v>513</v>
      </c>
      <c r="D83" s="480">
        <f t="shared" si="3"/>
        <v>2.1460892049127342</v>
      </c>
    </row>
    <row r="84" spans="2:4" s="12" customFormat="1" ht="26.1" customHeight="1" thickTop="1" thickBot="1" x14ac:dyDescent="0.4">
      <c r="B84" s="122">
        <v>14</v>
      </c>
      <c r="C84" s="600" t="s">
        <v>557</v>
      </c>
      <c r="D84" s="480">
        <f t="shared" si="3"/>
        <v>2.1460892049127342</v>
      </c>
    </row>
    <row r="85" spans="2:4" s="12" customFormat="1" ht="26.1" customHeight="1" thickTop="1" thickBot="1" x14ac:dyDescent="0.4">
      <c r="B85" s="122">
        <v>15</v>
      </c>
      <c r="C85" s="600" t="s">
        <v>515</v>
      </c>
      <c r="D85" s="480">
        <f t="shared" si="3"/>
        <v>2.1460892049127342</v>
      </c>
    </row>
    <row r="86" spans="2:4" s="12" customFormat="1" ht="26.1" customHeight="1" thickTop="1" thickBot="1" x14ac:dyDescent="0.4">
      <c r="B86" s="122">
        <v>16</v>
      </c>
      <c r="C86" s="600" t="s">
        <v>763</v>
      </c>
      <c r="D86" s="480">
        <f t="shared" si="3"/>
        <v>2.1460892049127342</v>
      </c>
    </row>
    <row r="87" spans="2:4" s="12" customFormat="1" ht="26.1" customHeight="1" thickTop="1" thickBot="1" x14ac:dyDescent="0.4">
      <c r="B87" s="122">
        <v>17</v>
      </c>
      <c r="C87" s="600" t="s">
        <v>517</v>
      </c>
      <c r="D87" s="480">
        <f t="shared" si="3"/>
        <v>2.1460892049127342</v>
      </c>
    </row>
    <row r="88" spans="2:4" s="12" customFormat="1" ht="26.1" customHeight="1" thickTop="1" thickBot="1" x14ac:dyDescent="0.35">
      <c r="B88" s="408"/>
      <c r="C88" s="478"/>
      <c r="D88" s="481"/>
    </row>
    <row r="89" spans="2:4" s="64" customFormat="1" ht="29.45" customHeight="1" thickBot="1" x14ac:dyDescent="0.45">
      <c r="B89" s="476">
        <f>SUBTOTAL(3,B71:B87)</f>
        <v>17</v>
      </c>
      <c r="C89" s="477" t="s">
        <v>1</v>
      </c>
      <c r="D89" s="479">
        <f>SUM(D71:D88)</f>
        <v>36.483516483516482</v>
      </c>
    </row>
  </sheetData>
  <mergeCells count="12">
    <mergeCell ref="B4:D4"/>
    <mergeCell ref="B5:D5"/>
    <mergeCell ref="B28:D28"/>
    <mergeCell ref="B48:D48"/>
    <mergeCell ref="B47:D47"/>
    <mergeCell ref="B46:D46"/>
    <mergeCell ref="B6:D6"/>
    <mergeCell ref="B67:D67"/>
    <mergeCell ref="B68:D68"/>
    <mergeCell ref="B69:D69"/>
    <mergeCell ref="B27:D27"/>
    <mergeCell ref="B26:D26"/>
  </mergeCells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B1:N14"/>
  <sheetViews>
    <sheetView topLeftCell="A4" workbookViewId="0">
      <selection activeCell="D18" sqref="D18"/>
    </sheetView>
  </sheetViews>
  <sheetFormatPr defaultColWidth="9.140625" defaultRowHeight="18" x14ac:dyDescent="0.25"/>
  <cols>
    <col min="1" max="1" width="2.85546875" style="2" customWidth="1"/>
    <col min="2" max="2" width="75.42578125" style="2" bestFit="1" customWidth="1"/>
    <col min="3" max="3" width="23.85546875" style="2" customWidth="1"/>
    <col min="4" max="9" width="20.7109375" style="2" customWidth="1"/>
    <col min="10" max="10" width="15.7109375" style="2" customWidth="1"/>
    <col min="11" max="14" width="14.7109375" style="2" customWidth="1"/>
    <col min="15" max="16384" width="9.140625" style="2"/>
  </cols>
  <sheetData>
    <row r="1" spans="2:14" s="216" customFormat="1" ht="19.5" customHeight="1" x14ac:dyDescent="0.25">
      <c r="B1" s="371"/>
    </row>
    <row r="2" spans="2:14" s="77" customFormat="1" x14ac:dyDescent="0.25"/>
    <row r="3" spans="2:14" s="77" customFormat="1" ht="10.5" customHeight="1" thickBot="1" x14ac:dyDescent="0.3"/>
    <row r="4" spans="2:14" s="70" customFormat="1" ht="36.75" customHeight="1" thickTop="1" thickBot="1" x14ac:dyDescent="0.85">
      <c r="B4" s="1096" t="s">
        <v>982</v>
      </c>
      <c r="C4" s="1096"/>
      <c r="D4" s="494" t="s">
        <v>124</v>
      </c>
      <c r="E4" s="779" t="s">
        <v>983</v>
      </c>
      <c r="F4" s="1097" t="s">
        <v>542</v>
      </c>
      <c r="G4" s="1098"/>
      <c r="H4" s="1098"/>
      <c r="I4" s="1099"/>
      <c r="J4" s="417"/>
      <c r="K4" s="417"/>
      <c r="L4" s="417"/>
      <c r="M4" s="417"/>
      <c r="N4" s="417"/>
    </row>
    <row r="5" spans="2:14" s="120" customFormat="1" ht="51.75" customHeight="1" thickBot="1" x14ac:dyDescent="0.3">
      <c r="B5" s="783" t="s">
        <v>57</v>
      </c>
      <c r="C5" s="783" t="s">
        <v>914</v>
      </c>
      <c r="D5" s="764">
        <f>VLOOKUP($B6,'MEMBERS SHARES HOLDING'!$C$7:$N$26,4,0)</f>
        <v>3863.2044981441968</v>
      </c>
      <c r="E5" s="780" t="s">
        <v>979</v>
      </c>
      <c r="F5" s="782" t="s">
        <v>933</v>
      </c>
      <c r="G5" s="495" t="s">
        <v>934</v>
      </c>
      <c r="H5" s="495" t="s">
        <v>935</v>
      </c>
      <c r="I5" s="496" t="s">
        <v>936</v>
      </c>
    </row>
    <row r="6" spans="2:14" s="416" customFormat="1" ht="44.25" customHeight="1" thickTop="1" thickBot="1" x14ac:dyDescent="0.45">
      <c r="B6" s="784" t="s">
        <v>511</v>
      </c>
      <c r="C6" s="785">
        <f>E6+D6</f>
        <v>3863.2044981441968</v>
      </c>
      <c r="D6" s="497">
        <f>IFERROR(VLOOKUP($B6,'SHARES HOLDINGS'!$C$5:$E$24,2,0),0)</f>
        <v>3034.8492401215804</v>
      </c>
      <c r="E6" s="781">
        <f>SUM(F6:I6)</f>
        <v>828.35525802261668</v>
      </c>
      <c r="F6" s="498">
        <f>IFERROR(VLOOKUP($B6,'TREASURE BILL FOR MEMBERS'!$C$6:$H$24,3,0),0)</f>
        <v>497.68269230769232</v>
      </c>
      <c r="G6" s="498">
        <f>IFERROR(VLOOKUP($B6,'TREASURE BILL FOR MEMBERS'!$C$6:$H$24,4,0),0)</f>
        <v>274.50348411778845</v>
      </c>
      <c r="H6" s="498">
        <f>IFERROR(VLOOKUP($B6,'TREASURE BILL FOR MEMBERS'!$C$6:$H$24,5,0),0)</f>
        <v>54.022992392223166</v>
      </c>
      <c r="I6" s="498">
        <f>IFERROR(VLOOKUP($B6,'TREASURE BILL FOR MEMBERS'!$C$6:$H$24,6,0),0)</f>
        <v>2.1460892049127342</v>
      </c>
    </row>
    <row r="7" spans="2:14" ht="19.5" customHeight="1" x14ac:dyDescent="0.25"/>
    <row r="12" spans="2:14" x14ac:dyDescent="0.25">
      <c r="D12" s="216"/>
      <c r="E12" s="216"/>
    </row>
    <row r="13" spans="2:14" x14ac:dyDescent="0.25">
      <c r="D13" s="382"/>
      <c r="E13" s="382"/>
    </row>
    <row r="14" spans="2:14" x14ac:dyDescent="0.25">
      <c r="D14" s="216"/>
      <c r="E14" s="216"/>
    </row>
  </sheetData>
  <mergeCells count="2">
    <mergeCell ref="B4:C4"/>
    <mergeCell ref="F4:I4"/>
  </mergeCells>
  <conditionalFormatting sqref="C6:I6">
    <cfRule type="cellIs" dxfId="15" priority="1" operator="equal">
      <formula>0</formula>
    </cfRule>
    <cfRule type="cellIs" dxfId="14" priority="4" operator="equal">
      <formula>0</formula>
    </cfRule>
  </conditionalFormatting>
  <conditionalFormatting sqref="D6:I6">
    <cfRule type="cellIs" dxfId="13" priority="3" operator="equal">
      <formula>0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0000000}">
          <x14:formula1>
            <xm:f>'MEMBERS SHARES HOLDING'!$C$7:$C$25</xm:f>
          </x14:formula1>
          <xm:sqref>B6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FF00"/>
  </sheetPr>
  <dimension ref="B1:L763"/>
  <sheetViews>
    <sheetView workbookViewId="0">
      <selection activeCell="C8" sqref="C8"/>
    </sheetView>
  </sheetViews>
  <sheetFormatPr defaultRowHeight="20.25" x14ac:dyDescent="0.3"/>
  <cols>
    <col min="1" max="1" width="4.42578125" style="12" customWidth="1"/>
    <col min="2" max="2" width="0.85546875" style="12" customWidth="1"/>
    <col min="3" max="3" width="27.28515625" style="352" bestFit="1" customWidth="1"/>
    <col min="4" max="4" width="25.42578125" style="352" bestFit="1" customWidth="1"/>
    <col min="5" max="5" width="29" style="352" bestFit="1" customWidth="1"/>
    <col min="6" max="6" width="24.85546875" style="12" bestFit="1" customWidth="1"/>
    <col min="7" max="7" width="22.28515625" style="352" customWidth="1"/>
    <col min="8" max="8" width="21.7109375" style="12" bestFit="1" customWidth="1"/>
    <col min="9" max="9" width="0.85546875" style="12" customWidth="1"/>
    <col min="10" max="11" width="9.140625" style="12"/>
    <col min="12" max="12" width="26.28515625" style="12" customWidth="1"/>
    <col min="13" max="16384" width="9.140625" style="12"/>
  </cols>
  <sheetData>
    <row r="1" spans="2:12" s="216" customFormat="1" ht="19.5" customHeight="1" x14ac:dyDescent="0.25">
      <c r="B1" s="371"/>
    </row>
    <row r="2" spans="2:12" ht="21" thickBot="1" x14ac:dyDescent="0.35"/>
    <row r="3" spans="2:12" ht="5.0999999999999996" customHeight="1" thickBot="1" x14ac:dyDescent="0.35">
      <c r="B3" s="463"/>
      <c r="C3" s="368"/>
      <c r="D3" s="368"/>
      <c r="E3" s="368"/>
      <c r="F3" s="369"/>
      <c r="G3" s="368"/>
      <c r="H3" s="369"/>
      <c r="I3" s="354"/>
    </row>
    <row r="4" spans="2:12" s="383" customFormat="1" ht="70.5" customHeight="1" thickBot="1" x14ac:dyDescent="0.3">
      <c r="B4" s="588"/>
      <c r="C4" s="1102" t="s">
        <v>511</v>
      </c>
      <c r="D4" s="1103"/>
      <c r="E4" s="1103"/>
      <c r="F4" s="1103"/>
      <c r="G4" s="1103"/>
      <c r="H4" s="1104"/>
      <c r="I4" s="588"/>
    </row>
    <row r="5" spans="2:12" s="70" customFormat="1" ht="48" thickTop="1" thickBot="1" x14ac:dyDescent="0.8">
      <c r="B5" s="589"/>
      <c r="C5" s="1105" t="s">
        <v>967</v>
      </c>
      <c r="D5" s="1105"/>
      <c r="E5" s="1105"/>
      <c r="F5" s="1105"/>
      <c r="G5" s="1105"/>
      <c r="H5" s="1105"/>
      <c r="I5" s="590"/>
    </row>
    <row r="6" spans="2:12" ht="5.0999999999999996" customHeight="1" thickBot="1" x14ac:dyDescent="0.35">
      <c r="B6" s="353"/>
      <c r="C6" s="545"/>
      <c r="D6" s="546"/>
      <c r="E6" s="546"/>
      <c r="F6" s="547"/>
      <c r="G6" s="545"/>
      <c r="H6" s="547"/>
      <c r="I6" s="369"/>
    </row>
    <row r="7" spans="2:12" s="355" customFormat="1" ht="48" customHeight="1" thickTop="1" thickBot="1" x14ac:dyDescent="0.3">
      <c r="B7" s="356"/>
      <c r="C7" s="456" t="s">
        <v>919</v>
      </c>
      <c r="D7" s="457" t="s">
        <v>920</v>
      </c>
      <c r="E7" s="538" t="s">
        <v>969</v>
      </c>
      <c r="F7" s="538" t="s">
        <v>991</v>
      </c>
      <c r="G7" s="1100">
        <v>45817</v>
      </c>
      <c r="H7" s="1100"/>
      <c r="I7" s="440"/>
    </row>
    <row r="8" spans="2:12" s="64" customFormat="1" ht="48" customHeight="1" thickTop="1" thickBot="1" x14ac:dyDescent="0.4">
      <c r="B8" s="357"/>
      <c r="C8" s="443">
        <v>15000</v>
      </c>
      <c r="D8" s="444">
        <v>0.27400000000000002</v>
      </c>
      <c r="E8" s="544">
        <f>C8*D8</f>
        <v>4110</v>
      </c>
      <c r="F8" s="537">
        <f>C8+E8</f>
        <v>19110</v>
      </c>
      <c r="G8" s="1101" t="str">
        <f>VLOOKUP($G7,$C$16:$H$379,3,0)</f>
        <v>MONDAY</v>
      </c>
      <c r="H8" s="1101"/>
      <c r="I8" s="441" t="e">
        <f>B8/#REF!</f>
        <v>#REF!</v>
      </c>
    </row>
    <row r="9" spans="2:12" s="64" customFormat="1" ht="62.25" thickTop="1" thickBot="1" x14ac:dyDescent="0.4">
      <c r="B9" s="357"/>
      <c r="C9" s="459" t="s">
        <v>976</v>
      </c>
      <c r="D9" s="457" t="s">
        <v>973</v>
      </c>
      <c r="E9" s="457" t="s">
        <v>974</v>
      </c>
      <c r="F9" s="538" t="s">
        <v>970</v>
      </c>
      <c r="G9" s="578" t="s">
        <v>943</v>
      </c>
      <c r="H9" s="578" t="s">
        <v>968</v>
      </c>
      <c r="I9" s="441"/>
    </row>
    <row r="10" spans="2:12" s="64" customFormat="1" ht="48" customHeight="1" thickTop="1" thickBot="1" x14ac:dyDescent="0.4">
      <c r="B10" s="357"/>
      <c r="C10" s="567" t="s">
        <v>992</v>
      </c>
      <c r="D10" s="568">
        <f>C16</f>
        <v>45454</v>
      </c>
      <c r="E10" s="568">
        <f>C379</f>
        <v>45817</v>
      </c>
      <c r="F10" s="548">
        <v>364</v>
      </c>
      <c r="G10" s="579">
        <f>VLOOKUP($G7,$C$16:$H$379,2,0)</f>
        <v>364</v>
      </c>
      <c r="H10" s="564">
        <f>F10-G10</f>
        <v>0</v>
      </c>
      <c r="I10" s="441"/>
    </row>
    <row r="11" spans="2:12" s="462" customFormat="1" ht="78" customHeight="1" thickTop="1" thickBot="1" x14ac:dyDescent="0.35">
      <c r="B11" s="460"/>
      <c r="C11" s="553" t="s">
        <v>975</v>
      </c>
      <c r="D11" s="555" t="s">
        <v>987</v>
      </c>
      <c r="E11" s="554" t="s">
        <v>988</v>
      </c>
      <c r="F11" s="580" t="s">
        <v>914</v>
      </c>
      <c r="G11" s="578" t="s">
        <v>993</v>
      </c>
      <c r="H11" s="578" t="s">
        <v>1000</v>
      </c>
      <c r="I11" s="461"/>
    </row>
    <row r="12" spans="2:12" ht="51" customHeight="1" thickTop="1" thickBot="1" x14ac:dyDescent="0.35">
      <c r="B12" s="366"/>
      <c r="C12" s="564">
        <f>'B O G SHARES DEVIDENT '!B22</f>
        <v>13</v>
      </c>
      <c r="D12" s="566">
        <f>VLOOKUP($G7,$C$16:$H$379,4,0)</f>
        <v>4110</v>
      </c>
      <c r="E12" s="577">
        <f>D12/$C$12</f>
        <v>316.15384615384613</v>
      </c>
      <c r="F12" s="565">
        <f>D12+C8</f>
        <v>19110</v>
      </c>
      <c r="G12" s="566">
        <f>E12</f>
        <v>316.15384615384613</v>
      </c>
      <c r="H12" s="565">
        <f>D12</f>
        <v>4110</v>
      </c>
      <c r="I12" s="542"/>
      <c r="L12" s="12" t="s">
        <v>653</v>
      </c>
    </row>
    <row r="13" spans="2:12" ht="5.0999999999999996" customHeight="1" thickTop="1" thickBot="1" x14ac:dyDescent="0.35">
      <c r="B13" s="358"/>
      <c r="C13" s="558"/>
      <c r="D13" s="559"/>
      <c r="E13" s="560"/>
      <c r="F13" s="583"/>
      <c r="G13" s="585"/>
      <c r="H13" s="586"/>
      <c r="I13" s="446"/>
    </row>
    <row r="14" spans="2:12" s="383" customFormat="1" ht="70.5" hidden="1" customHeight="1" thickTop="1" thickBot="1" x14ac:dyDescent="0.3">
      <c r="B14" s="384"/>
      <c r="C14" s="543" t="s">
        <v>51</v>
      </c>
      <c r="D14" s="543" t="s">
        <v>903</v>
      </c>
      <c r="E14" s="543" t="s">
        <v>921</v>
      </c>
      <c r="F14" s="584" t="s">
        <v>986</v>
      </c>
      <c r="G14" s="587" t="s">
        <v>966</v>
      </c>
      <c r="H14" s="587" t="s">
        <v>1</v>
      </c>
      <c r="I14" s="442"/>
    </row>
    <row r="15" spans="2:12" s="383" customFormat="1" ht="5.0999999999999996" hidden="1" customHeight="1" thickTop="1" thickBot="1" x14ac:dyDescent="0.3">
      <c r="B15" s="384"/>
      <c r="C15" s="448"/>
      <c r="D15" s="449"/>
      <c r="E15" s="449"/>
      <c r="F15" s="449"/>
      <c r="G15" s="449"/>
      <c r="H15" s="449"/>
      <c r="I15" s="385"/>
    </row>
    <row r="16" spans="2:12" ht="26.1" hidden="1" customHeight="1" thickBot="1" x14ac:dyDescent="0.4">
      <c r="B16" s="366"/>
      <c r="C16" s="452">
        <v>45454</v>
      </c>
      <c r="D16" s="453">
        <v>1</v>
      </c>
      <c r="E16" s="454" t="s">
        <v>905</v>
      </c>
      <c r="F16" s="539">
        <f t="shared" ref="F16:F79" si="0">$E$8/$F$10*D16</f>
        <v>11.291208791208792</v>
      </c>
      <c r="G16" s="540">
        <f t="shared" ref="G16:G79" si="1">F16/$C$12</f>
        <v>0.86855452240067632</v>
      </c>
      <c r="H16" s="541">
        <f>$C$8+F16</f>
        <v>15011.291208791208</v>
      </c>
      <c r="I16" s="446"/>
    </row>
    <row r="17" spans="2:9" ht="26.1" hidden="1" customHeight="1" thickTop="1" thickBot="1" x14ac:dyDescent="0.4">
      <c r="B17" s="366"/>
      <c r="C17" s="452">
        <v>45455</v>
      </c>
      <c r="D17" s="451">
        <v>2</v>
      </c>
      <c r="E17" s="454" t="s">
        <v>906</v>
      </c>
      <c r="F17" s="539">
        <f t="shared" si="0"/>
        <v>22.582417582417584</v>
      </c>
      <c r="G17" s="540">
        <f t="shared" si="1"/>
        <v>1.7371090448013526</v>
      </c>
      <c r="H17" s="541">
        <f t="shared" ref="H17:H80" si="2">$C$8+F17</f>
        <v>15022.582417582418</v>
      </c>
      <c r="I17" s="446"/>
    </row>
    <row r="18" spans="2:9" ht="26.1" hidden="1" customHeight="1" thickTop="1" thickBot="1" x14ac:dyDescent="0.4">
      <c r="B18" s="366"/>
      <c r="C18" s="452">
        <v>45456</v>
      </c>
      <c r="D18" s="451">
        <v>3</v>
      </c>
      <c r="E18" s="454" t="s">
        <v>907</v>
      </c>
      <c r="F18" s="539">
        <f t="shared" si="0"/>
        <v>33.873626373626379</v>
      </c>
      <c r="G18" s="540">
        <f t="shared" si="1"/>
        <v>2.6056635672020292</v>
      </c>
      <c r="H18" s="541">
        <f t="shared" si="2"/>
        <v>15033.873626373626</v>
      </c>
      <c r="I18" s="446"/>
    </row>
    <row r="19" spans="2:9" ht="26.1" hidden="1" customHeight="1" thickTop="1" thickBot="1" x14ac:dyDescent="0.4">
      <c r="B19" s="366"/>
      <c r="C19" s="452">
        <v>45457</v>
      </c>
      <c r="D19" s="451">
        <v>4</v>
      </c>
      <c r="E19" s="454" t="s">
        <v>908</v>
      </c>
      <c r="F19" s="539">
        <f t="shared" si="0"/>
        <v>45.164835164835168</v>
      </c>
      <c r="G19" s="540">
        <f t="shared" si="1"/>
        <v>3.4742180896027053</v>
      </c>
      <c r="H19" s="541">
        <f t="shared" si="2"/>
        <v>15045.164835164835</v>
      </c>
      <c r="I19" s="446"/>
    </row>
    <row r="20" spans="2:9" ht="26.1" hidden="1" customHeight="1" thickTop="1" thickBot="1" x14ac:dyDescent="0.4">
      <c r="B20" s="366"/>
      <c r="C20" s="452">
        <v>45458</v>
      </c>
      <c r="D20" s="451">
        <v>5</v>
      </c>
      <c r="E20" s="454" t="s">
        <v>909</v>
      </c>
      <c r="F20" s="539">
        <f t="shared" si="0"/>
        <v>56.456043956043956</v>
      </c>
      <c r="G20" s="540">
        <f t="shared" si="1"/>
        <v>4.3427726120033814</v>
      </c>
      <c r="H20" s="541">
        <f t="shared" si="2"/>
        <v>15056.456043956045</v>
      </c>
      <c r="I20" s="446"/>
    </row>
    <row r="21" spans="2:9" ht="26.1" hidden="1" customHeight="1" thickTop="1" thickBot="1" x14ac:dyDescent="0.4">
      <c r="B21" s="366"/>
      <c r="C21" s="452">
        <v>45459</v>
      </c>
      <c r="D21" s="451">
        <v>6</v>
      </c>
      <c r="E21" s="454" t="s">
        <v>910</v>
      </c>
      <c r="F21" s="539">
        <f t="shared" si="0"/>
        <v>67.747252747252759</v>
      </c>
      <c r="G21" s="540">
        <f t="shared" si="1"/>
        <v>5.2113271344040584</v>
      </c>
      <c r="H21" s="541">
        <f t="shared" si="2"/>
        <v>15067.747252747253</v>
      </c>
      <c r="I21" s="446"/>
    </row>
    <row r="22" spans="2:9" ht="26.1" hidden="1" customHeight="1" thickTop="1" thickBot="1" x14ac:dyDescent="0.4">
      <c r="B22" s="366"/>
      <c r="C22" s="452">
        <v>45460</v>
      </c>
      <c r="D22" s="451">
        <v>7</v>
      </c>
      <c r="E22" s="454" t="s">
        <v>904</v>
      </c>
      <c r="F22" s="539">
        <f t="shared" si="0"/>
        <v>79.038461538461547</v>
      </c>
      <c r="G22" s="540">
        <f t="shared" si="1"/>
        <v>6.0798816568047345</v>
      </c>
      <c r="H22" s="541">
        <f t="shared" si="2"/>
        <v>15079.038461538461</v>
      </c>
      <c r="I22" s="446"/>
    </row>
    <row r="23" spans="2:9" ht="26.1" hidden="1" customHeight="1" thickTop="1" thickBot="1" x14ac:dyDescent="0.4">
      <c r="B23" s="366"/>
      <c r="C23" s="452">
        <v>45461</v>
      </c>
      <c r="D23" s="451">
        <v>8</v>
      </c>
      <c r="E23" s="454" t="s">
        <v>905</v>
      </c>
      <c r="F23" s="539">
        <f t="shared" si="0"/>
        <v>90.329670329670336</v>
      </c>
      <c r="G23" s="540">
        <f t="shared" si="1"/>
        <v>6.9484361792054106</v>
      </c>
      <c r="H23" s="541">
        <f t="shared" si="2"/>
        <v>15090.329670329671</v>
      </c>
      <c r="I23" s="446"/>
    </row>
    <row r="24" spans="2:9" ht="26.1" hidden="1" customHeight="1" thickTop="1" thickBot="1" x14ac:dyDescent="0.4">
      <c r="B24" s="366"/>
      <c r="C24" s="452">
        <v>45462</v>
      </c>
      <c r="D24" s="451">
        <v>9</v>
      </c>
      <c r="E24" s="454" t="s">
        <v>906</v>
      </c>
      <c r="F24" s="539">
        <f t="shared" si="0"/>
        <v>101.62087912087912</v>
      </c>
      <c r="G24" s="540">
        <f t="shared" si="1"/>
        <v>7.8169907016060867</v>
      </c>
      <c r="H24" s="541">
        <f t="shared" si="2"/>
        <v>15101.620879120879</v>
      </c>
      <c r="I24" s="446"/>
    </row>
    <row r="25" spans="2:9" ht="26.1" hidden="1" customHeight="1" thickTop="1" thickBot="1" x14ac:dyDescent="0.4">
      <c r="B25" s="366"/>
      <c r="C25" s="452">
        <v>45463</v>
      </c>
      <c r="D25" s="451">
        <v>10</v>
      </c>
      <c r="E25" s="454" t="s">
        <v>907</v>
      </c>
      <c r="F25" s="539">
        <f t="shared" si="0"/>
        <v>112.91208791208791</v>
      </c>
      <c r="G25" s="540">
        <f t="shared" si="1"/>
        <v>8.6855452240067628</v>
      </c>
      <c r="H25" s="541">
        <f t="shared" si="2"/>
        <v>15112.912087912087</v>
      </c>
      <c r="I25" s="446"/>
    </row>
    <row r="26" spans="2:9" ht="26.1" hidden="1" customHeight="1" thickTop="1" thickBot="1" x14ac:dyDescent="0.4">
      <c r="B26" s="366"/>
      <c r="C26" s="452">
        <v>45464</v>
      </c>
      <c r="D26" s="451">
        <v>11</v>
      </c>
      <c r="E26" s="454" t="s">
        <v>908</v>
      </c>
      <c r="F26" s="539">
        <f t="shared" si="0"/>
        <v>124.20329670329672</v>
      </c>
      <c r="G26" s="540">
        <f t="shared" si="1"/>
        <v>9.5540997464074398</v>
      </c>
      <c r="H26" s="541">
        <f t="shared" si="2"/>
        <v>15124.203296703297</v>
      </c>
      <c r="I26" s="446"/>
    </row>
    <row r="27" spans="2:9" ht="26.1" hidden="1" customHeight="1" thickTop="1" thickBot="1" x14ac:dyDescent="0.4">
      <c r="B27" s="366"/>
      <c r="C27" s="452">
        <v>45465</v>
      </c>
      <c r="D27" s="451">
        <v>12</v>
      </c>
      <c r="E27" s="454" t="s">
        <v>909</v>
      </c>
      <c r="F27" s="539">
        <f t="shared" si="0"/>
        <v>135.49450549450552</v>
      </c>
      <c r="G27" s="540">
        <f t="shared" si="1"/>
        <v>10.422654268808117</v>
      </c>
      <c r="H27" s="541">
        <f t="shared" si="2"/>
        <v>15135.494505494506</v>
      </c>
      <c r="I27" s="446"/>
    </row>
    <row r="28" spans="2:9" ht="26.1" hidden="1" customHeight="1" thickTop="1" thickBot="1" x14ac:dyDescent="0.4">
      <c r="B28" s="366"/>
      <c r="C28" s="452">
        <v>45466</v>
      </c>
      <c r="D28" s="451">
        <v>13</v>
      </c>
      <c r="E28" s="454" t="s">
        <v>910</v>
      </c>
      <c r="F28" s="539">
        <f t="shared" si="0"/>
        <v>146.78571428571431</v>
      </c>
      <c r="G28" s="540">
        <f t="shared" si="1"/>
        <v>11.291208791208792</v>
      </c>
      <c r="H28" s="541">
        <f t="shared" si="2"/>
        <v>15146.785714285714</v>
      </c>
      <c r="I28" s="446"/>
    </row>
    <row r="29" spans="2:9" ht="26.1" hidden="1" customHeight="1" thickTop="1" thickBot="1" x14ac:dyDescent="0.4">
      <c r="B29" s="366"/>
      <c r="C29" s="452">
        <v>45467</v>
      </c>
      <c r="D29" s="451">
        <v>14</v>
      </c>
      <c r="E29" s="454" t="s">
        <v>904</v>
      </c>
      <c r="F29" s="539">
        <f t="shared" si="0"/>
        <v>158.07692307692309</v>
      </c>
      <c r="G29" s="540">
        <f t="shared" si="1"/>
        <v>12.159763313609469</v>
      </c>
      <c r="H29" s="541">
        <f t="shared" si="2"/>
        <v>15158.076923076924</v>
      </c>
      <c r="I29" s="446"/>
    </row>
    <row r="30" spans="2:9" ht="26.1" hidden="1" customHeight="1" thickTop="1" thickBot="1" x14ac:dyDescent="0.4">
      <c r="B30" s="366"/>
      <c r="C30" s="452">
        <v>45468</v>
      </c>
      <c r="D30" s="451">
        <v>15</v>
      </c>
      <c r="E30" s="454" t="s">
        <v>905</v>
      </c>
      <c r="F30" s="539">
        <f t="shared" si="0"/>
        <v>169.36813186813188</v>
      </c>
      <c r="G30" s="540">
        <f t="shared" si="1"/>
        <v>13.028317836010144</v>
      </c>
      <c r="H30" s="541">
        <f t="shared" si="2"/>
        <v>15169.368131868132</v>
      </c>
      <c r="I30" s="446"/>
    </row>
    <row r="31" spans="2:9" ht="26.1" hidden="1" customHeight="1" thickTop="1" thickBot="1" x14ac:dyDescent="0.4">
      <c r="B31" s="366"/>
      <c r="C31" s="452">
        <v>45469</v>
      </c>
      <c r="D31" s="451">
        <v>16</v>
      </c>
      <c r="E31" s="454" t="s">
        <v>906</v>
      </c>
      <c r="F31" s="539">
        <f t="shared" si="0"/>
        <v>180.65934065934067</v>
      </c>
      <c r="G31" s="540">
        <f t="shared" si="1"/>
        <v>13.896872358410821</v>
      </c>
      <c r="H31" s="541">
        <f t="shared" si="2"/>
        <v>15180.65934065934</v>
      </c>
      <c r="I31" s="446"/>
    </row>
    <row r="32" spans="2:9" ht="26.1" hidden="1" customHeight="1" thickTop="1" thickBot="1" x14ac:dyDescent="0.4">
      <c r="B32" s="366"/>
      <c r="C32" s="452">
        <v>45470</v>
      </c>
      <c r="D32" s="451">
        <v>17</v>
      </c>
      <c r="E32" s="454" t="s">
        <v>907</v>
      </c>
      <c r="F32" s="539">
        <f t="shared" si="0"/>
        <v>191.95054945054946</v>
      </c>
      <c r="G32" s="540">
        <f t="shared" si="1"/>
        <v>14.765426880811496</v>
      </c>
      <c r="H32" s="541">
        <f t="shared" si="2"/>
        <v>15191.95054945055</v>
      </c>
      <c r="I32" s="446"/>
    </row>
    <row r="33" spans="2:9" ht="26.1" hidden="1" customHeight="1" thickTop="1" thickBot="1" x14ac:dyDescent="0.4">
      <c r="B33" s="366"/>
      <c r="C33" s="452">
        <v>45471</v>
      </c>
      <c r="D33" s="451">
        <v>18</v>
      </c>
      <c r="E33" s="454" t="s">
        <v>908</v>
      </c>
      <c r="F33" s="539">
        <f t="shared" si="0"/>
        <v>203.24175824175825</v>
      </c>
      <c r="G33" s="540">
        <f t="shared" si="1"/>
        <v>15.633981403212173</v>
      </c>
      <c r="H33" s="541">
        <f t="shared" si="2"/>
        <v>15203.241758241758</v>
      </c>
      <c r="I33" s="446"/>
    </row>
    <row r="34" spans="2:9" ht="26.1" hidden="1" customHeight="1" thickTop="1" thickBot="1" x14ac:dyDescent="0.4">
      <c r="B34" s="366"/>
      <c r="C34" s="452">
        <v>45472</v>
      </c>
      <c r="D34" s="451">
        <v>19</v>
      </c>
      <c r="E34" s="454" t="s">
        <v>909</v>
      </c>
      <c r="F34" s="539">
        <f t="shared" si="0"/>
        <v>214.53296703296704</v>
      </c>
      <c r="G34" s="540">
        <f t="shared" si="1"/>
        <v>16.50253592561285</v>
      </c>
      <c r="H34" s="541">
        <f t="shared" si="2"/>
        <v>15214.532967032967</v>
      </c>
      <c r="I34" s="446"/>
    </row>
    <row r="35" spans="2:9" ht="26.1" hidden="1" customHeight="1" thickTop="1" thickBot="1" x14ac:dyDescent="0.4">
      <c r="B35" s="366"/>
      <c r="C35" s="452">
        <v>45473</v>
      </c>
      <c r="D35" s="451">
        <v>20</v>
      </c>
      <c r="E35" s="454" t="s">
        <v>910</v>
      </c>
      <c r="F35" s="539">
        <f t="shared" si="0"/>
        <v>225.82417582417582</v>
      </c>
      <c r="G35" s="540">
        <f t="shared" si="1"/>
        <v>17.371090448013526</v>
      </c>
      <c r="H35" s="541">
        <f t="shared" si="2"/>
        <v>15225.824175824177</v>
      </c>
      <c r="I35" s="446"/>
    </row>
    <row r="36" spans="2:9" ht="26.1" hidden="1" customHeight="1" thickTop="1" thickBot="1" x14ac:dyDescent="0.4">
      <c r="B36" s="366"/>
      <c r="C36" s="452">
        <v>45474</v>
      </c>
      <c r="D36" s="451">
        <v>21</v>
      </c>
      <c r="E36" s="454" t="s">
        <v>904</v>
      </c>
      <c r="F36" s="539">
        <f t="shared" si="0"/>
        <v>237.11538461538464</v>
      </c>
      <c r="G36" s="540">
        <f t="shared" si="1"/>
        <v>18.239644970414204</v>
      </c>
      <c r="H36" s="541">
        <f t="shared" si="2"/>
        <v>15237.115384615385</v>
      </c>
      <c r="I36" s="446"/>
    </row>
    <row r="37" spans="2:9" ht="26.1" hidden="1" customHeight="1" thickTop="1" thickBot="1" x14ac:dyDescent="0.4">
      <c r="B37" s="366"/>
      <c r="C37" s="452">
        <v>45475</v>
      </c>
      <c r="D37" s="451">
        <v>22</v>
      </c>
      <c r="E37" s="454" t="s">
        <v>905</v>
      </c>
      <c r="F37" s="539">
        <f t="shared" si="0"/>
        <v>248.40659340659343</v>
      </c>
      <c r="G37" s="540">
        <f t="shared" si="1"/>
        <v>19.10819949281488</v>
      </c>
      <c r="H37" s="541">
        <f t="shared" si="2"/>
        <v>15248.406593406593</v>
      </c>
      <c r="I37" s="446"/>
    </row>
    <row r="38" spans="2:9" ht="26.1" hidden="1" customHeight="1" thickTop="1" thickBot="1" x14ac:dyDescent="0.4">
      <c r="B38" s="366"/>
      <c r="C38" s="452">
        <v>45476</v>
      </c>
      <c r="D38" s="451">
        <v>23</v>
      </c>
      <c r="E38" s="454" t="s">
        <v>906</v>
      </c>
      <c r="F38" s="539">
        <f t="shared" si="0"/>
        <v>259.69780219780222</v>
      </c>
      <c r="G38" s="540">
        <f t="shared" si="1"/>
        <v>19.976754015215555</v>
      </c>
      <c r="H38" s="541">
        <f t="shared" si="2"/>
        <v>15259.697802197803</v>
      </c>
      <c r="I38" s="446"/>
    </row>
    <row r="39" spans="2:9" ht="26.1" hidden="1" customHeight="1" thickTop="1" thickBot="1" x14ac:dyDescent="0.4">
      <c r="B39" s="366"/>
      <c r="C39" s="452">
        <v>45477</v>
      </c>
      <c r="D39" s="451">
        <v>24</v>
      </c>
      <c r="E39" s="454" t="s">
        <v>907</v>
      </c>
      <c r="F39" s="539">
        <f t="shared" si="0"/>
        <v>270.98901098901104</v>
      </c>
      <c r="G39" s="540">
        <f t="shared" si="1"/>
        <v>20.845308537616233</v>
      </c>
      <c r="H39" s="541">
        <f t="shared" si="2"/>
        <v>15270.989010989011</v>
      </c>
      <c r="I39" s="446"/>
    </row>
    <row r="40" spans="2:9" ht="26.1" hidden="1" customHeight="1" thickTop="1" thickBot="1" x14ac:dyDescent="0.4">
      <c r="B40" s="366"/>
      <c r="C40" s="452">
        <v>45478</v>
      </c>
      <c r="D40" s="451">
        <v>25</v>
      </c>
      <c r="E40" s="454" t="s">
        <v>908</v>
      </c>
      <c r="F40" s="539">
        <f t="shared" si="0"/>
        <v>282.2802197802198</v>
      </c>
      <c r="G40" s="540">
        <f t="shared" si="1"/>
        <v>21.713863060016909</v>
      </c>
      <c r="H40" s="541">
        <f t="shared" si="2"/>
        <v>15282.280219780219</v>
      </c>
      <c r="I40" s="446"/>
    </row>
    <row r="41" spans="2:9" ht="26.1" hidden="1" customHeight="1" thickTop="1" thickBot="1" x14ac:dyDescent="0.4">
      <c r="B41" s="366"/>
      <c r="C41" s="452">
        <v>45479</v>
      </c>
      <c r="D41" s="451">
        <v>26</v>
      </c>
      <c r="E41" s="454" t="s">
        <v>909</v>
      </c>
      <c r="F41" s="539">
        <f t="shared" si="0"/>
        <v>293.57142857142861</v>
      </c>
      <c r="G41" s="540">
        <f t="shared" si="1"/>
        <v>22.582417582417584</v>
      </c>
      <c r="H41" s="541">
        <f t="shared" si="2"/>
        <v>15293.571428571429</v>
      </c>
      <c r="I41" s="446"/>
    </row>
    <row r="42" spans="2:9" ht="26.1" hidden="1" customHeight="1" thickTop="1" thickBot="1" x14ac:dyDescent="0.4">
      <c r="B42" s="366"/>
      <c r="C42" s="452">
        <v>45480</v>
      </c>
      <c r="D42" s="451">
        <v>27</v>
      </c>
      <c r="E42" s="454" t="s">
        <v>910</v>
      </c>
      <c r="F42" s="539">
        <f t="shared" si="0"/>
        <v>304.86263736263737</v>
      </c>
      <c r="G42" s="540">
        <f t="shared" si="1"/>
        <v>23.450972104818259</v>
      </c>
      <c r="H42" s="541">
        <f t="shared" si="2"/>
        <v>15304.862637362638</v>
      </c>
      <c r="I42" s="446"/>
    </row>
    <row r="43" spans="2:9" ht="26.1" hidden="1" customHeight="1" thickTop="1" thickBot="1" x14ac:dyDescent="0.4">
      <c r="B43" s="366"/>
      <c r="C43" s="452">
        <v>45481</v>
      </c>
      <c r="D43" s="451">
        <v>28</v>
      </c>
      <c r="E43" s="454" t="s">
        <v>904</v>
      </c>
      <c r="F43" s="539">
        <f t="shared" si="0"/>
        <v>316.15384615384619</v>
      </c>
      <c r="G43" s="540">
        <f t="shared" si="1"/>
        <v>24.319526627218938</v>
      </c>
      <c r="H43" s="541">
        <f t="shared" si="2"/>
        <v>15316.153846153846</v>
      </c>
      <c r="I43" s="446"/>
    </row>
    <row r="44" spans="2:9" ht="26.1" hidden="1" customHeight="1" thickTop="1" thickBot="1" x14ac:dyDescent="0.4">
      <c r="B44" s="366"/>
      <c r="C44" s="452">
        <v>45482</v>
      </c>
      <c r="D44" s="451">
        <v>29</v>
      </c>
      <c r="E44" s="454" t="s">
        <v>905</v>
      </c>
      <c r="F44" s="539">
        <f t="shared" si="0"/>
        <v>327.44505494505495</v>
      </c>
      <c r="G44" s="540">
        <f t="shared" si="1"/>
        <v>25.188081149619613</v>
      </c>
      <c r="H44" s="541">
        <f t="shared" si="2"/>
        <v>15327.445054945056</v>
      </c>
      <c r="I44" s="446"/>
    </row>
    <row r="45" spans="2:9" ht="26.1" hidden="1" customHeight="1" thickTop="1" thickBot="1" x14ac:dyDescent="0.4">
      <c r="B45" s="366"/>
      <c r="C45" s="452">
        <v>45483</v>
      </c>
      <c r="D45" s="451">
        <v>30</v>
      </c>
      <c r="E45" s="454" t="s">
        <v>906</v>
      </c>
      <c r="F45" s="539">
        <f t="shared" si="0"/>
        <v>338.73626373626377</v>
      </c>
      <c r="G45" s="540">
        <f t="shared" si="1"/>
        <v>26.056635672020288</v>
      </c>
      <c r="H45" s="541">
        <f t="shared" si="2"/>
        <v>15338.736263736264</v>
      </c>
      <c r="I45" s="446"/>
    </row>
    <row r="46" spans="2:9" ht="26.1" hidden="1" customHeight="1" thickTop="1" thickBot="1" x14ac:dyDescent="0.4">
      <c r="B46" s="366"/>
      <c r="C46" s="452">
        <v>45484</v>
      </c>
      <c r="D46" s="451">
        <v>31</v>
      </c>
      <c r="E46" s="454" t="s">
        <v>907</v>
      </c>
      <c r="F46" s="539">
        <f t="shared" si="0"/>
        <v>350.02747252747253</v>
      </c>
      <c r="G46" s="540">
        <f t="shared" si="1"/>
        <v>26.925190194420964</v>
      </c>
      <c r="H46" s="541">
        <f t="shared" si="2"/>
        <v>15350.027472527472</v>
      </c>
      <c r="I46" s="446"/>
    </row>
    <row r="47" spans="2:9" ht="26.1" hidden="1" customHeight="1" thickTop="1" thickBot="1" x14ac:dyDescent="0.4">
      <c r="B47" s="366"/>
      <c r="C47" s="452">
        <v>45485</v>
      </c>
      <c r="D47" s="451">
        <v>32</v>
      </c>
      <c r="E47" s="454" t="s">
        <v>908</v>
      </c>
      <c r="F47" s="539">
        <f t="shared" si="0"/>
        <v>361.31868131868134</v>
      </c>
      <c r="G47" s="540">
        <f t="shared" si="1"/>
        <v>27.793744716821642</v>
      </c>
      <c r="H47" s="541">
        <f t="shared" si="2"/>
        <v>15361.318681318682</v>
      </c>
      <c r="I47" s="446"/>
    </row>
    <row r="48" spans="2:9" ht="26.1" hidden="1" customHeight="1" thickTop="1" thickBot="1" x14ac:dyDescent="0.4">
      <c r="B48" s="366"/>
      <c r="C48" s="452">
        <v>45486</v>
      </c>
      <c r="D48" s="451">
        <v>33</v>
      </c>
      <c r="E48" s="454" t="s">
        <v>909</v>
      </c>
      <c r="F48" s="539">
        <f t="shared" si="0"/>
        <v>372.60989010989016</v>
      </c>
      <c r="G48" s="540">
        <f t="shared" si="1"/>
        <v>28.662299239222321</v>
      </c>
      <c r="H48" s="541">
        <f t="shared" si="2"/>
        <v>15372.60989010989</v>
      </c>
      <c r="I48" s="446"/>
    </row>
    <row r="49" spans="2:9" ht="26.1" hidden="1" customHeight="1" thickTop="1" thickBot="1" x14ac:dyDescent="0.4">
      <c r="B49" s="366"/>
      <c r="C49" s="452">
        <v>45487</v>
      </c>
      <c r="D49" s="451">
        <v>34</v>
      </c>
      <c r="E49" s="454" t="s">
        <v>910</v>
      </c>
      <c r="F49" s="539">
        <f t="shared" si="0"/>
        <v>383.90109890109892</v>
      </c>
      <c r="G49" s="540">
        <f t="shared" si="1"/>
        <v>29.530853761622993</v>
      </c>
      <c r="H49" s="541">
        <f t="shared" si="2"/>
        <v>15383.901098901099</v>
      </c>
      <c r="I49" s="446"/>
    </row>
    <row r="50" spans="2:9" ht="26.1" hidden="1" customHeight="1" thickTop="1" thickBot="1" x14ac:dyDescent="0.4">
      <c r="B50" s="366"/>
      <c r="C50" s="452">
        <v>45488</v>
      </c>
      <c r="D50" s="451">
        <v>35</v>
      </c>
      <c r="E50" s="454" t="s">
        <v>904</v>
      </c>
      <c r="F50" s="539">
        <f t="shared" si="0"/>
        <v>395.19230769230774</v>
      </c>
      <c r="G50" s="540">
        <f t="shared" si="1"/>
        <v>30.399408284023671</v>
      </c>
      <c r="H50" s="541">
        <f t="shared" si="2"/>
        <v>15395.192307692309</v>
      </c>
      <c r="I50" s="446"/>
    </row>
    <row r="51" spans="2:9" ht="26.1" hidden="1" customHeight="1" thickTop="1" thickBot="1" x14ac:dyDescent="0.4">
      <c r="B51" s="366"/>
      <c r="C51" s="452">
        <v>45489</v>
      </c>
      <c r="D51" s="451">
        <v>36</v>
      </c>
      <c r="E51" s="454" t="s">
        <v>905</v>
      </c>
      <c r="F51" s="539">
        <f t="shared" si="0"/>
        <v>406.4835164835165</v>
      </c>
      <c r="G51" s="540">
        <f t="shared" si="1"/>
        <v>31.267962806424347</v>
      </c>
      <c r="H51" s="541">
        <f t="shared" si="2"/>
        <v>15406.483516483517</v>
      </c>
      <c r="I51" s="446"/>
    </row>
    <row r="52" spans="2:9" ht="26.1" hidden="1" customHeight="1" thickTop="1" thickBot="1" x14ac:dyDescent="0.4">
      <c r="B52" s="366"/>
      <c r="C52" s="452">
        <v>45490</v>
      </c>
      <c r="D52" s="451">
        <v>37</v>
      </c>
      <c r="E52" s="454" t="s">
        <v>906</v>
      </c>
      <c r="F52" s="539">
        <f t="shared" si="0"/>
        <v>417.77472527472531</v>
      </c>
      <c r="G52" s="540">
        <f t="shared" si="1"/>
        <v>32.136517328825022</v>
      </c>
      <c r="H52" s="541">
        <f t="shared" si="2"/>
        <v>15417.774725274725</v>
      </c>
      <c r="I52" s="446"/>
    </row>
    <row r="53" spans="2:9" ht="26.1" hidden="1" customHeight="1" thickTop="1" thickBot="1" x14ac:dyDescent="0.4">
      <c r="B53" s="366"/>
      <c r="C53" s="452">
        <v>45491</v>
      </c>
      <c r="D53" s="451">
        <v>38</v>
      </c>
      <c r="E53" s="454" t="s">
        <v>907</v>
      </c>
      <c r="F53" s="539">
        <f t="shared" si="0"/>
        <v>429.06593406593407</v>
      </c>
      <c r="G53" s="540">
        <f t="shared" si="1"/>
        <v>33.005071851225701</v>
      </c>
      <c r="H53" s="541">
        <f t="shared" si="2"/>
        <v>15429.065934065935</v>
      </c>
      <c r="I53" s="446"/>
    </row>
    <row r="54" spans="2:9" ht="26.1" hidden="1" customHeight="1" thickTop="1" thickBot="1" x14ac:dyDescent="0.4">
      <c r="B54" s="366"/>
      <c r="C54" s="452">
        <v>45492</v>
      </c>
      <c r="D54" s="451">
        <v>39</v>
      </c>
      <c r="E54" s="454" t="s">
        <v>908</v>
      </c>
      <c r="F54" s="539">
        <f t="shared" si="0"/>
        <v>440.35714285714289</v>
      </c>
      <c r="G54" s="540">
        <f t="shared" si="1"/>
        <v>33.873626373626379</v>
      </c>
      <c r="H54" s="541">
        <f t="shared" si="2"/>
        <v>15440.357142857143</v>
      </c>
      <c r="I54" s="446"/>
    </row>
    <row r="55" spans="2:9" ht="26.1" hidden="1" customHeight="1" thickTop="1" thickBot="1" x14ac:dyDescent="0.4">
      <c r="B55" s="366"/>
      <c r="C55" s="452">
        <v>45493</v>
      </c>
      <c r="D55" s="451">
        <v>40</v>
      </c>
      <c r="E55" s="454" t="s">
        <v>909</v>
      </c>
      <c r="F55" s="539">
        <f t="shared" si="0"/>
        <v>451.64835164835165</v>
      </c>
      <c r="G55" s="540">
        <f t="shared" si="1"/>
        <v>34.742180896027051</v>
      </c>
      <c r="H55" s="541">
        <f t="shared" si="2"/>
        <v>15451.648351648351</v>
      </c>
      <c r="I55" s="446"/>
    </row>
    <row r="56" spans="2:9" ht="26.1" hidden="1" customHeight="1" thickTop="1" thickBot="1" x14ac:dyDescent="0.4">
      <c r="B56" s="366"/>
      <c r="C56" s="452">
        <v>45494</v>
      </c>
      <c r="D56" s="451">
        <v>41</v>
      </c>
      <c r="E56" s="454" t="s">
        <v>910</v>
      </c>
      <c r="F56" s="539">
        <f t="shared" si="0"/>
        <v>462.93956043956047</v>
      </c>
      <c r="G56" s="540">
        <f t="shared" si="1"/>
        <v>35.61073541842773</v>
      </c>
      <c r="H56" s="541">
        <f t="shared" si="2"/>
        <v>15462.939560439561</v>
      </c>
      <c r="I56" s="446"/>
    </row>
    <row r="57" spans="2:9" ht="26.1" hidden="1" customHeight="1" thickTop="1" thickBot="1" x14ac:dyDescent="0.4">
      <c r="B57" s="366"/>
      <c r="C57" s="452">
        <v>45495</v>
      </c>
      <c r="D57" s="451">
        <v>42</v>
      </c>
      <c r="E57" s="454" t="s">
        <v>904</v>
      </c>
      <c r="F57" s="539">
        <f t="shared" si="0"/>
        <v>474.23076923076928</v>
      </c>
      <c r="G57" s="540">
        <f t="shared" si="1"/>
        <v>36.479289940828409</v>
      </c>
      <c r="H57" s="541">
        <f t="shared" si="2"/>
        <v>15474.23076923077</v>
      </c>
      <c r="I57" s="446"/>
    </row>
    <row r="58" spans="2:9" ht="26.1" hidden="1" customHeight="1" thickTop="1" thickBot="1" x14ac:dyDescent="0.4">
      <c r="B58" s="366"/>
      <c r="C58" s="452">
        <v>45496</v>
      </c>
      <c r="D58" s="451">
        <v>43</v>
      </c>
      <c r="E58" s="454" t="s">
        <v>905</v>
      </c>
      <c r="F58" s="539">
        <f t="shared" si="0"/>
        <v>485.52197802197804</v>
      </c>
      <c r="G58" s="540">
        <f t="shared" si="1"/>
        <v>37.34784446322908</v>
      </c>
      <c r="H58" s="541">
        <f t="shared" si="2"/>
        <v>15485.521978021978</v>
      </c>
      <c r="I58" s="446"/>
    </row>
    <row r="59" spans="2:9" ht="26.1" hidden="1" customHeight="1" thickTop="1" thickBot="1" x14ac:dyDescent="0.4">
      <c r="B59" s="366"/>
      <c r="C59" s="452">
        <v>45497</v>
      </c>
      <c r="D59" s="451">
        <v>44</v>
      </c>
      <c r="E59" s="454" t="s">
        <v>906</v>
      </c>
      <c r="F59" s="539">
        <f t="shared" si="0"/>
        <v>496.81318681318686</v>
      </c>
      <c r="G59" s="540">
        <f t="shared" si="1"/>
        <v>38.216398985629759</v>
      </c>
      <c r="H59" s="541">
        <f t="shared" si="2"/>
        <v>15496.813186813188</v>
      </c>
      <c r="I59" s="446"/>
    </row>
    <row r="60" spans="2:9" ht="26.1" hidden="1" customHeight="1" thickTop="1" thickBot="1" x14ac:dyDescent="0.4">
      <c r="B60" s="366"/>
      <c r="C60" s="452">
        <v>45498</v>
      </c>
      <c r="D60" s="451">
        <v>45</v>
      </c>
      <c r="E60" s="454" t="s">
        <v>907</v>
      </c>
      <c r="F60" s="539">
        <f t="shared" si="0"/>
        <v>508.10439560439562</v>
      </c>
      <c r="G60" s="540">
        <f t="shared" si="1"/>
        <v>39.084953508030431</v>
      </c>
      <c r="H60" s="541">
        <f t="shared" si="2"/>
        <v>15508.104395604396</v>
      </c>
      <c r="I60" s="446"/>
    </row>
    <row r="61" spans="2:9" ht="26.1" hidden="1" customHeight="1" thickTop="1" thickBot="1" x14ac:dyDescent="0.4">
      <c r="B61" s="366"/>
      <c r="C61" s="452">
        <v>45499</v>
      </c>
      <c r="D61" s="451">
        <v>46</v>
      </c>
      <c r="E61" s="454" t="s">
        <v>908</v>
      </c>
      <c r="F61" s="539">
        <f t="shared" si="0"/>
        <v>519.39560439560444</v>
      </c>
      <c r="G61" s="540">
        <f t="shared" si="1"/>
        <v>39.953508030431109</v>
      </c>
      <c r="H61" s="541">
        <f t="shared" si="2"/>
        <v>15519.395604395604</v>
      </c>
      <c r="I61" s="446"/>
    </row>
    <row r="62" spans="2:9" ht="26.1" hidden="1" customHeight="1" thickTop="1" thickBot="1" x14ac:dyDescent="0.4">
      <c r="B62" s="366"/>
      <c r="C62" s="452">
        <v>45500</v>
      </c>
      <c r="D62" s="451">
        <v>47</v>
      </c>
      <c r="E62" s="454" t="s">
        <v>909</v>
      </c>
      <c r="F62" s="539">
        <f t="shared" si="0"/>
        <v>530.6868131868132</v>
      </c>
      <c r="G62" s="540">
        <f t="shared" si="1"/>
        <v>40.822062552831781</v>
      </c>
      <c r="H62" s="541">
        <f t="shared" si="2"/>
        <v>15530.686813186814</v>
      </c>
      <c r="I62" s="446"/>
    </row>
    <row r="63" spans="2:9" ht="26.1" hidden="1" customHeight="1" thickTop="1" thickBot="1" x14ac:dyDescent="0.4">
      <c r="B63" s="366"/>
      <c r="C63" s="452">
        <v>45501</v>
      </c>
      <c r="D63" s="451">
        <v>48</v>
      </c>
      <c r="E63" s="454" t="s">
        <v>910</v>
      </c>
      <c r="F63" s="539">
        <f t="shared" si="0"/>
        <v>541.97802197802207</v>
      </c>
      <c r="G63" s="540">
        <f t="shared" si="1"/>
        <v>41.690617075232467</v>
      </c>
      <c r="H63" s="541">
        <f t="shared" si="2"/>
        <v>15541.978021978022</v>
      </c>
      <c r="I63" s="446"/>
    </row>
    <row r="64" spans="2:9" ht="26.1" hidden="1" customHeight="1" thickTop="1" thickBot="1" x14ac:dyDescent="0.4">
      <c r="B64" s="366"/>
      <c r="C64" s="452">
        <v>45502</v>
      </c>
      <c r="D64" s="451">
        <v>49</v>
      </c>
      <c r="E64" s="454" t="s">
        <v>904</v>
      </c>
      <c r="F64" s="539">
        <f t="shared" si="0"/>
        <v>553.26923076923083</v>
      </c>
      <c r="G64" s="540">
        <f t="shared" si="1"/>
        <v>42.559171597633139</v>
      </c>
      <c r="H64" s="541">
        <f t="shared" si="2"/>
        <v>15553.26923076923</v>
      </c>
      <c r="I64" s="446"/>
    </row>
    <row r="65" spans="2:9" ht="26.1" hidden="1" customHeight="1" thickTop="1" thickBot="1" x14ac:dyDescent="0.4">
      <c r="B65" s="366"/>
      <c r="C65" s="452">
        <v>45503</v>
      </c>
      <c r="D65" s="451">
        <v>50</v>
      </c>
      <c r="E65" s="454" t="s">
        <v>905</v>
      </c>
      <c r="F65" s="539">
        <f t="shared" si="0"/>
        <v>564.56043956043959</v>
      </c>
      <c r="G65" s="540">
        <f t="shared" si="1"/>
        <v>43.427726120033817</v>
      </c>
      <c r="H65" s="541">
        <f t="shared" si="2"/>
        <v>15564.560439560439</v>
      </c>
      <c r="I65" s="446"/>
    </row>
    <row r="66" spans="2:9" ht="26.1" hidden="1" customHeight="1" thickTop="1" thickBot="1" x14ac:dyDescent="0.4">
      <c r="B66" s="366"/>
      <c r="C66" s="452">
        <v>45504</v>
      </c>
      <c r="D66" s="451">
        <v>51</v>
      </c>
      <c r="E66" s="454" t="s">
        <v>906</v>
      </c>
      <c r="F66" s="539">
        <f t="shared" si="0"/>
        <v>575.85164835164835</v>
      </c>
      <c r="G66" s="540">
        <f t="shared" si="1"/>
        <v>44.296280642434489</v>
      </c>
      <c r="H66" s="541">
        <f t="shared" si="2"/>
        <v>15575.851648351649</v>
      </c>
      <c r="I66" s="446"/>
    </row>
    <row r="67" spans="2:9" ht="26.1" hidden="1" customHeight="1" thickTop="1" thickBot="1" x14ac:dyDescent="0.4">
      <c r="B67" s="366"/>
      <c r="C67" s="452">
        <v>45505</v>
      </c>
      <c r="D67" s="451">
        <v>52</v>
      </c>
      <c r="E67" s="454" t="s">
        <v>907</v>
      </c>
      <c r="F67" s="539">
        <f t="shared" si="0"/>
        <v>587.14285714285722</v>
      </c>
      <c r="G67" s="540">
        <f t="shared" si="1"/>
        <v>45.164835164835168</v>
      </c>
      <c r="H67" s="541">
        <f t="shared" si="2"/>
        <v>15587.142857142857</v>
      </c>
      <c r="I67" s="446"/>
    </row>
    <row r="68" spans="2:9" ht="26.1" hidden="1" customHeight="1" thickTop="1" thickBot="1" x14ac:dyDescent="0.4">
      <c r="B68" s="366"/>
      <c r="C68" s="452">
        <v>45506</v>
      </c>
      <c r="D68" s="451">
        <v>53</v>
      </c>
      <c r="E68" s="454" t="s">
        <v>908</v>
      </c>
      <c r="F68" s="539">
        <f t="shared" si="0"/>
        <v>598.43406593406598</v>
      </c>
      <c r="G68" s="540">
        <f t="shared" si="1"/>
        <v>46.033389687235847</v>
      </c>
      <c r="H68" s="541">
        <f t="shared" si="2"/>
        <v>15598.434065934067</v>
      </c>
      <c r="I68" s="446"/>
    </row>
    <row r="69" spans="2:9" ht="26.1" hidden="1" customHeight="1" thickTop="1" thickBot="1" x14ac:dyDescent="0.4">
      <c r="B69" s="366"/>
      <c r="C69" s="452">
        <v>45507</v>
      </c>
      <c r="D69" s="451">
        <v>54</v>
      </c>
      <c r="E69" s="454" t="s">
        <v>909</v>
      </c>
      <c r="F69" s="539">
        <f t="shared" si="0"/>
        <v>609.72527472527474</v>
      </c>
      <c r="G69" s="540">
        <f t="shared" si="1"/>
        <v>46.901944209636518</v>
      </c>
      <c r="H69" s="541">
        <f t="shared" si="2"/>
        <v>15609.725274725275</v>
      </c>
      <c r="I69" s="446"/>
    </row>
    <row r="70" spans="2:9" ht="26.1" hidden="1" customHeight="1" thickTop="1" thickBot="1" x14ac:dyDescent="0.4">
      <c r="B70" s="366"/>
      <c r="C70" s="452">
        <v>45508</v>
      </c>
      <c r="D70" s="451">
        <v>55</v>
      </c>
      <c r="E70" s="454" t="s">
        <v>910</v>
      </c>
      <c r="F70" s="539">
        <f t="shared" si="0"/>
        <v>621.0164835164835</v>
      </c>
      <c r="G70" s="540">
        <f t="shared" si="1"/>
        <v>47.77049873203719</v>
      </c>
      <c r="H70" s="541">
        <f t="shared" si="2"/>
        <v>15621.016483516483</v>
      </c>
      <c r="I70" s="446"/>
    </row>
    <row r="71" spans="2:9" ht="26.1" hidden="1" customHeight="1" thickTop="1" thickBot="1" x14ac:dyDescent="0.4">
      <c r="B71" s="366"/>
      <c r="C71" s="452">
        <v>45509</v>
      </c>
      <c r="D71" s="451">
        <v>56</v>
      </c>
      <c r="E71" s="454" t="s">
        <v>904</v>
      </c>
      <c r="F71" s="539">
        <f t="shared" si="0"/>
        <v>632.30769230769238</v>
      </c>
      <c r="G71" s="540">
        <f t="shared" si="1"/>
        <v>48.639053254437876</v>
      </c>
      <c r="H71" s="541">
        <f t="shared" si="2"/>
        <v>15632.307692307691</v>
      </c>
      <c r="I71" s="446"/>
    </row>
    <row r="72" spans="2:9" ht="26.1" hidden="1" customHeight="1" thickTop="1" thickBot="1" x14ac:dyDescent="0.4">
      <c r="B72" s="366"/>
      <c r="C72" s="452">
        <v>45510</v>
      </c>
      <c r="D72" s="451">
        <v>57</v>
      </c>
      <c r="E72" s="454" t="s">
        <v>905</v>
      </c>
      <c r="F72" s="539">
        <f t="shared" si="0"/>
        <v>643.59890109890114</v>
      </c>
      <c r="G72" s="540">
        <f t="shared" si="1"/>
        <v>49.507607776838547</v>
      </c>
      <c r="H72" s="541">
        <f t="shared" si="2"/>
        <v>15643.598901098901</v>
      </c>
      <c r="I72" s="446"/>
    </row>
    <row r="73" spans="2:9" ht="26.1" hidden="1" customHeight="1" thickTop="1" thickBot="1" x14ac:dyDescent="0.4">
      <c r="B73" s="366"/>
      <c r="C73" s="452">
        <v>45511</v>
      </c>
      <c r="D73" s="451">
        <v>58</v>
      </c>
      <c r="E73" s="454" t="s">
        <v>906</v>
      </c>
      <c r="F73" s="539">
        <f t="shared" si="0"/>
        <v>654.8901098901099</v>
      </c>
      <c r="G73" s="540">
        <f t="shared" si="1"/>
        <v>50.376162299239226</v>
      </c>
      <c r="H73" s="541">
        <f t="shared" si="2"/>
        <v>15654.89010989011</v>
      </c>
      <c r="I73" s="446"/>
    </row>
    <row r="74" spans="2:9" ht="26.1" hidden="1" customHeight="1" thickTop="1" thickBot="1" x14ac:dyDescent="0.4">
      <c r="B74" s="366"/>
      <c r="C74" s="452">
        <v>45512</v>
      </c>
      <c r="D74" s="451">
        <v>59</v>
      </c>
      <c r="E74" s="454" t="s">
        <v>907</v>
      </c>
      <c r="F74" s="539">
        <f t="shared" si="0"/>
        <v>666.18131868131877</v>
      </c>
      <c r="G74" s="540">
        <f t="shared" si="1"/>
        <v>51.244716821639905</v>
      </c>
      <c r="H74" s="541">
        <f t="shared" si="2"/>
        <v>15666.18131868132</v>
      </c>
      <c r="I74" s="446"/>
    </row>
    <row r="75" spans="2:9" ht="26.1" hidden="1" customHeight="1" thickTop="1" thickBot="1" x14ac:dyDescent="0.4">
      <c r="B75" s="366"/>
      <c r="C75" s="452">
        <v>45513</v>
      </c>
      <c r="D75" s="451">
        <v>60</v>
      </c>
      <c r="E75" s="454" t="s">
        <v>908</v>
      </c>
      <c r="F75" s="539">
        <f t="shared" si="0"/>
        <v>677.47252747252753</v>
      </c>
      <c r="G75" s="540">
        <f t="shared" si="1"/>
        <v>52.113271344040577</v>
      </c>
      <c r="H75" s="541">
        <f t="shared" si="2"/>
        <v>15677.472527472528</v>
      </c>
      <c r="I75" s="446"/>
    </row>
    <row r="76" spans="2:9" ht="26.1" hidden="1" customHeight="1" thickTop="1" thickBot="1" x14ac:dyDescent="0.4">
      <c r="B76" s="366"/>
      <c r="C76" s="452">
        <v>45514</v>
      </c>
      <c r="D76" s="451">
        <v>61</v>
      </c>
      <c r="E76" s="454" t="s">
        <v>909</v>
      </c>
      <c r="F76" s="539">
        <f t="shared" si="0"/>
        <v>688.76373626373629</v>
      </c>
      <c r="G76" s="540">
        <f t="shared" si="1"/>
        <v>52.981825866441255</v>
      </c>
      <c r="H76" s="541">
        <f t="shared" si="2"/>
        <v>15688.763736263736</v>
      </c>
      <c r="I76" s="446"/>
    </row>
    <row r="77" spans="2:9" ht="26.1" hidden="1" customHeight="1" thickTop="1" thickBot="1" x14ac:dyDescent="0.4">
      <c r="B77" s="366"/>
      <c r="C77" s="452">
        <v>45515</v>
      </c>
      <c r="D77" s="451">
        <v>62</v>
      </c>
      <c r="E77" s="454" t="s">
        <v>910</v>
      </c>
      <c r="F77" s="539">
        <f t="shared" si="0"/>
        <v>700.05494505494505</v>
      </c>
      <c r="G77" s="540">
        <f t="shared" si="1"/>
        <v>53.850380388841927</v>
      </c>
      <c r="H77" s="541">
        <f t="shared" si="2"/>
        <v>15700.054945054944</v>
      </c>
      <c r="I77" s="446"/>
    </row>
    <row r="78" spans="2:9" ht="26.1" hidden="1" customHeight="1" thickTop="1" thickBot="1" x14ac:dyDescent="0.4">
      <c r="B78" s="366"/>
      <c r="C78" s="452">
        <v>45516</v>
      </c>
      <c r="D78" s="451">
        <v>63</v>
      </c>
      <c r="E78" s="454" t="s">
        <v>904</v>
      </c>
      <c r="F78" s="539">
        <f t="shared" si="0"/>
        <v>711.34615384615392</v>
      </c>
      <c r="G78" s="540">
        <f t="shared" si="1"/>
        <v>54.718934911242613</v>
      </c>
      <c r="H78" s="541">
        <f t="shared" si="2"/>
        <v>15711.346153846154</v>
      </c>
      <c r="I78" s="446"/>
    </row>
    <row r="79" spans="2:9" ht="26.1" hidden="1" customHeight="1" thickTop="1" thickBot="1" x14ac:dyDescent="0.4">
      <c r="B79" s="366"/>
      <c r="C79" s="452">
        <v>45517</v>
      </c>
      <c r="D79" s="451">
        <v>64</v>
      </c>
      <c r="E79" s="454" t="s">
        <v>905</v>
      </c>
      <c r="F79" s="539">
        <f t="shared" si="0"/>
        <v>722.63736263736268</v>
      </c>
      <c r="G79" s="540">
        <f t="shared" si="1"/>
        <v>55.587489433643285</v>
      </c>
      <c r="H79" s="541">
        <f t="shared" si="2"/>
        <v>15722.637362637362</v>
      </c>
      <c r="I79" s="446"/>
    </row>
    <row r="80" spans="2:9" ht="26.1" hidden="1" customHeight="1" thickTop="1" thickBot="1" x14ac:dyDescent="0.4">
      <c r="B80" s="366"/>
      <c r="C80" s="452">
        <v>45518</v>
      </c>
      <c r="D80" s="451">
        <v>65</v>
      </c>
      <c r="E80" s="454" t="s">
        <v>906</v>
      </c>
      <c r="F80" s="539">
        <f t="shared" ref="F80:F143" si="3">$E$8/$F$10*D80</f>
        <v>733.92857142857144</v>
      </c>
      <c r="G80" s="540">
        <f t="shared" ref="G80:G143" si="4">F80/$C$12</f>
        <v>56.456043956043956</v>
      </c>
      <c r="H80" s="541">
        <f t="shared" si="2"/>
        <v>15733.928571428571</v>
      </c>
      <c r="I80" s="446"/>
    </row>
    <row r="81" spans="2:9" ht="26.1" hidden="1" customHeight="1" thickTop="1" thickBot="1" x14ac:dyDescent="0.4">
      <c r="B81" s="366"/>
      <c r="C81" s="452">
        <v>45519</v>
      </c>
      <c r="D81" s="451">
        <v>66</v>
      </c>
      <c r="E81" s="454" t="s">
        <v>907</v>
      </c>
      <c r="F81" s="539">
        <f t="shared" si="3"/>
        <v>745.21978021978032</v>
      </c>
      <c r="G81" s="540">
        <f t="shared" si="4"/>
        <v>57.324598478444642</v>
      </c>
      <c r="H81" s="541">
        <f t="shared" ref="H81:H144" si="5">$C$8+F81</f>
        <v>15745.219780219781</v>
      </c>
      <c r="I81" s="446"/>
    </row>
    <row r="82" spans="2:9" ht="26.1" hidden="1" customHeight="1" thickTop="1" thickBot="1" x14ac:dyDescent="0.4">
      <c r="B82" s="366"/>
      <c r="C82" s="452">
        <v>45520</v>
      </c>
      <c r="D82" s="451">
        <v>67</v>
      </c>
      <c r="E82" s="454" t="s">
        <v>908</v>
      </c>
      <c r="F82" s="539">
        <f t="shared" si="3"/>
        <v>756.51098901098908</v>
      </c>
      <c r="G82" s="540">
        <f t="shared" si="4"/>
        <v>58.193153000845314</v>
      </c>
      <c r="H82" s="541">
        <f t="shared" si="5"/>
        <v>15756.510989010989</v>
      </c>
      <c r="I82" s="446"/>
    </row>
    <row r="83" spans="2:9" ht="26.1" hidden="1" customHeight="1" thickTop="1" thickBot="1" x14ac:dyDescent="0.4">
      <c r="B83" s="366"/>
      <c r="C83" s="452">
        <v>45521</v>
      </c>
      <c r="D83" s="451">
        <v>68</v>
      </c>
      <c r="E83" s="454" t="s">
        <v>909</v>
      </c>
      <c r="F83" s="539">
        <f t="shared" si="3"/>
        <v>767.80219780219784</v>
      </c>
      <c r="G83" s="540">
        <f t="shared" si="4"/>
        <v>59.061707523245985</v>
      </c>
      <c r="H83" s="541">
        <f t="shared" si="5"/>
        <v>15767.802197802197</v>
      </c>
      <c r="I83" s="446"/>
    </row>
    <row r="84" spans="2:9" ht="26.1" hidden="1" customHeight="1" thickTop="1" thickBot="1" x14ac:dyDescent="0.4">
      <c r="B84" s="366"/>
      <c r="C84" s="452">
        <v>45522</v>
      </c>
      <c r="D84" s="451">
        <v>69</v>
      </c>
      <c r="E84" s="454" t="s">
        <v>910</v>
      </c>
      <c r="F84" s="539">
        <f t="shared" si="3"/>
        <v>779.0934065934066</v>
      </c>
      <c r="G84" s="540">
        <f t="shared" si="4"/>
        <v>59.930262045646664</v>
      </c>
      <c r="H84" s="541">
        <f t="shared" si="5"/>
        <v>15779.093406593407</v>
      </c>
      <c r="I84" s="446"/>
    </row>
    <row r="85" spans="2:9" ht="26.1" hidden="1" customHeight="1" thickTop="1" thickBot="1" x14ac:dyDescent="0.4">
      <c r="B85" s="366"/>
      <c r="C85" s="452">
        <v>45523</v>
      </c>
      <c r="D85" s="451">
        <v>70</v>
      </c>
      <c r="E85" s="454" t="s">
        <v>904</v>
      </c>
      <c r="F85" s="539">
        <f t="shared" si="3"/>
        <v>790.38461538461547</v>
      </c>
      <c r="G85" s="540">
        <f t="shared" si="4"/>
        <v>60.798816568047343</v>
      </c>
      <c r="H85" s="541">
        <f t="shared" si="5"/>
        <v>15790.384615384615</v>
      </c>
      <c r="I85" s="446"/>
    </row>
    <row r="86" spans="2:9" ht="26.1" hidden="1" customHeight="1" thickTop="1" thickBot="1" x14ac:dyDescent="0.4">
      <c r="B86" s="366"/>
      <c r="C86" s="452">
        <v>45524</v>
      </c>
      <c r="D86" s="451">
        <v>71</v>
      </c>
      <c r="E86" s="454" t="s">
        <v>905</v>
      </c>
      <c r="F86" s="539">
        <f t="shared" si="3"/>
        <v>801.67582417582423</v>
      </c>
      <c r="G86" s="540">
        <f t="shared" si="4"/>
        <v>61.667371090448015</v>
      </c>
      <c r="H86" s="541">
        <f t="shared" si="5"/>
        <v>15801.675824175823</v>
      </c>
      <c r="I86" s="446"/>
    </row>
    <row r="87" spans="2:9" ht="26.1" hidden="1" customHeight="1" thickTop="1" thickBot="1" x14ac:dyDescent="0.4">
      <c r="B87" s="366"/>
      <c r="C87" s="452">
        <v>45525</v>
      </c>
      <c r="D87" s="451">
        <v>72</v>
      </c>
      <c r="E87" s="454" t="s">
        <v>906</v>
      </c>
      <c r="F87" s="539">
        <f t="shared" si="3"/>
        <v>812.96703296703299</v>
      </c>
      <c r="G87" s="540">
        <f t="shared" si="4"/>
        <v>62.535925612848693</v>
      </c>
      <c r="H87" s="541">
        <f t="shared" si="5"/>
        <v>15812.967032967033</v>
      </c>
      <c r="I87" s="446"/>
    </row>
    <row r="88" spans="2:9" ht="26.1" hidden="1" customHeight="1" thickTop="1" thickBot="1" x14ac:dyDescent="0.4">
      <c r="B88" s="366"/>
      <c r="C88" s="452">
        <v>45526</v>
      </c>
      <c r="D88" s="451">
        <v>73</v>
      </c>
      <c r="E88" s="454" t="s">
        <v>907</v>
      </c>
      <c r="F88" s="539">
        <f t="shared" si="3"/>
        <v>824.25824175824187</v>
      </c>
      <c r="G88" s="540">
        <f t="shared" si="4"/>
        <v>63.404480135249372</v>
      </c>
      <c r="H88" s="541">
        <f t="shared" si="5"/>
        <v>15824.258241758242</v>
      </c>
      <c r="I88" s="446"/>
    </row>
    <row r="89" spans="2:9" ht="26.1" hidden="1" customHeight="1" thickTop="1" thickBot="1" x14ac:dyDescent="0.4">
      <c r="B89" s="366"/>
      <c r="C89" s="452">
        <v>45527</v>
      </c>
      <c r="D89" s="451">
        <v>74</v>
      </c>
      <c r="E89" s="454" t="s">
        <v>908</v>
      </c>
      <c r="F89" s="539">
        <f t="shared" si="3"/>
        <v>835.54945054945063</v>
      </c>
      <c r="G89" s="540">
        <f t="shared" si="4"/>
        <v>64.273034657650044</v>
      </c>
      <c r="H89" s="541">
        <f t="shared" si="5"/>
        <v>15835.54945054945</v>
      </c>
      <c r="I89" s="446"/>
    </row>
    <row r="90" spans="2:9" ht="26.1" hidden="1" customHeight="1" thickTop="1" thickBot="1" x14ac:dyDescent="0.4">
      <c r="B90" s="366"/>
      <c r="C90" s="452">
        <v>45528</v>
      </c>
      <c r="D90" s="451">
        <v>75</v>
      </c>
      <c r="E90" s="454" t="s">
        <v>909</v>
      </c>
      <c r="F90" s="539">
        <f t="shared" si="3"/>
        <v>846.84065934065939</v>
      </c>
      <c r="G90" s="540">
        <f t="shared" si="4"/>
        <v>65.141589180050715</v>
      </c>
      <c r="H90" s="541">
        <f t="shared" si="5"/>
        <v>15846.84065934066</v>
      </c>
      <c r="I90" s="446"/>
    </row>
    <row r="91" spans="2:9" ht="26.1" hidden="1" customHeight="1" thickTop="1" thickBot="1" x14ac:dyDescent="0.4">
      <c r="B91" s="366"/>
      <c r="C91" s="452">
        <v>45529</v>
      </c>
      <c r="D91" s="451">
        <v>76</v>
      </c>
      <c r="E91" s="454" t="s">
        <v>910</v>
      </c>
      <c r="F91" s="539">
        <f t="shared" si="3"/>
        <v>858.13186813186815</v>
      </c>
      <c r="G91" s="540">
        <f t="shared" si="4"/>
        <v>66.010143702451401</v>
      </c>
      <c r="H91" s="541">
        <f t="shared" si="5"/>
        <v>15858.131868131868</v>
      </c>
      <c r="I91" s="446"/>
    </row>
    <row r="92" spans="2:9" ht="26.1" hidden="1" customHeight="1" thickTop="1" thickBot="1" x14ac:dyDescent="0.4">
      <c r="B92" s="366"/>
      <c r="C92" s="452">
        <v>45530</v>
      </c>
      <c r="D92" s="451">
        <v>77</v>
      </c>
      <c r="E92" s="454" t="s">
        <v>904</v>
      </c>
      <c r="F92" s="539">
        <f t="shared" si="3"/>
        <v>869.42307692307702</v>
      </c>
      <c r="G92" s="540">
        <f t="shared" si="4"/>
        <v>66.878698224852073</v>
      </c>
      <c r="H92" s="541">
        <f t="shared" si="5"/>
        <v>15869.423076923076</v>
      </c>
      <c r="I92" s="446"/>
    </row>
    <row r="93" spans="2:9" ht="26.1" hidden="1" customHeight="1" thickTop="1" thickBot="1" x14ac:dyDescent="0.4">
      <c r="B93" s="366"/>
      <c r="C93" s="452">
        <v>45531</v>
      </c>
      <c r="D93" s="451">
        <v>78</v>
      </c>
      <c r="E93" s="454" t="s">
        <v>905</v>
      </c>
      <c r="F93" s="539">
        <f t="shared" si="3"/>
        <v>880.71428571428578</v>
      </c>
      <c r="G93" s="540">
        <f t="shared" si="4"/>
        <v>67.747252747252759</v>
      </c>
      <c r="H93" s="541">
        <f t="shared" si="5"/>
        <v>15880.714285714286</v>
      </c>
      <c r="I93" s="446"/>
    </row>
    <row r="94" spans="2:9" ht="26.1" hidden="1" customHeight="1" thickTop="1" thickBot="1" x14ac:dyDescent="0.4">
      <c r="B94" s="366"/>
      <c r="C94" s="452">
        <v>45532</v>
      </c>
      <c r="D94" s="451">
        <v>79</v>
      </c>
      <c r="E94" s="454" t="s">
        <v>906</v>
      </c>
      <c r="F94" s="539">
        <f t="shared" si="3"/>
        <v>892.00549450549454</v>
      </c>
      <c r="G94" s="540">
        <f t="shared" si="4"/>
        <v>68.61580726965343</v>
      </c>
      <c r="H94" s="541">
        <f t="shared" si="5"/>
        <v>15892.005494505494</v>
      </c>
      <c r="I94" s="446"/>
    </row>
    <row r="95" spans="2:9" ht="26.1" hidden="1" customHeight="1" thickTop="1" thickBot="1" x14ac:dyDescent="0.4">
      <c r="B95" s="366"/>
      <c r="C95" s="452">
        <v>45533</v>
      </c>
      <c r="D95" s="451">
        <v>80</v>
      </c>
      <c r="E95" s="454" t="s">
        <v>907</v>
      </c>
      <c r="F95" s="539">
        <f t="shared" si="3"/>
        <v>903.2967032967033</v>
      </c>
      <c r="G95" s="540">
        <f t="shared" si="4"/>
        <v>69.484361792054102</v>
      </c>
      <c r="H95" s="541">
        <f t="shared" si="5"/>
        <v>15903.296703296703</v>
      </c>
      <c r="I95" s="446"/>
    </row>
    <row r="96" spans="2:9" ht="26.1" hidden="1" customHeight="1" thickTop="1" thickBot="1" x14ac:dyDescent="0.4">
      <c r="B96" s="366"/>
      <c r="C96" s="452">
        <v>45534</v>
      </c>
      <c r="D96" s="451">
        <v>81</v>
      </c>
      <c r="E96" s="454" t="s">
        <v>908</v>
      </c>
      <c r="F96" s="539">
        <f t="shared" si="3"/>
        <v>914.58791208791217</v>
      </c>
      <c r="G96" s="540">
        <f t="shared" si="4"/>
        <v>70.352916314454788</v>
      </c>
      <c r="H96" s="541">
        <f t="shared" si="5"/>
        <v>15914.587912087913</v>
      </c>
      <c r="I96" s="446"/>
    </row>
    <row r="97" spans="2:9" ht="26.1" hidden="1" customHeight="1" thickTop="1" thickBot="1" x14ac:dyDescent="0.4">
      <c r="B97" s="366"/>
      <c r="C97" s="452">
        <v>45535</v>
      </c>
      <c r="D97" s="451">
        <v>82</v>
      </c>
      <c r="E97" s="454" t="s">
        <v>909</v>
      </c>
      <c r="F97" s="539">
        <f t="shared" si="3"/>
        <v>925.87912087912093</v>
      </c>
      <c r="G97" s="540">
        <f t="shared" si="4"/>
        <v>71.22147083685546</v>
      </c>
      <c r="H97" s="541">
        <f t="shared" si="5"/>
        <v>15925.879120879121</v>
      </c>
      <c r="I97" s="446"/>
    </row>
    <row r="98" spans="2:9" ht="26.1" hidden="1" customHeight="1" thickTop="1" thickBot="1" x14ac:dyDescent="0.4">
      <c r="B98" s="366"/>
      <c r="C98" s="452">
        <v>45536</v>
      </c>
      <c r="D98" s="451">
        <v>83</v>
      </c>
      <c r="E98" s="454" t="s">
        <v>910</v>
      </c>
      <c r="F98" s="539">
        <f t="shared" si="3"/>
        <v>937.17032967032969</v>
      </c>
      <c r="G98" s="540">
        <f t="shared" si="4"/>
        <v>72.090025359256131</v>
      </c>
      <c r="H98" s="541">
        <f t="shared" si="5"/>
        <v>15937.170329670329</v>
      </c>
      <c r="I98" s="446"/>
    </row>
    <row r="99" spans="2:9" ht="26.1" hidden="1" customHeight="1" thickTop="1" thickBot="1" x14ac:dyDescent="0.4">
      <c r="B99" s="366"/>
      <c r="C99" s="452">
        <v>45537</v>
      </c>
      <c r="D99" s="451">
        <v>84</v>
      </c>
      <c r="E99" s="454" t="s">
        <v>904</v>
      </c>
      <c r="F99" s="539">
        <f t="shared" si="3"/>
        <v>948.46153846153857</v>
      </c>
      <c r="G99" s="540">
        <f t="shared" si="4"/>
        <v>72.958579881656817</v>
      </c>
      <c r="H99" s="541">
        <f t="shared" si="5"/>
        <v>15948.461538461539</v>
      </c>
      <c r="I99" s="446"/>
    </row>
    <row r="100" spans="2:9" ht="26.1" hidden="1" customHeight="1" thickTop="1" thickBot="1" x14ac:dyDescent="0.4">
      <c r="B100" s="366"/>
      <c r="C100" s="452">
        <v>45538</v>
      </c>
      <c r="D100" s="451">
        <v>85</v>
      </c>
      <c r="E100" s="454" t="s">
        <v>905</v>
      </c>
      <c r="F100" s="539">
        <f t="shared" si="3"/>
        <v>959.75274725274733</v>
      </c>
      <c r="G100" s="540">
        <f t="shared" si="4"/>
        <v>73.827134404057489</v>
      </c>
      <c r="H100" s="541">
        <f t="shared" si="5"/>
        <v>15959.752747252747</v>
      </c>
      <c r="I100" s="446"/>
    </row>
    <row r="101" spans="2:9" ht="26.1" hidden="1" customHeight="1" thickTop="1" thickBot="1" x14ac:dyDescent="0.4">
      <c r="B101" s="366"/>
      <c r="C101" s="452">
        <v>45539</v>
      </c>
      <c r="D101" s="451">
        <v>86</v>
      </c>
      <c r="E101" s="454" t="s">
        <v>906</v>
      </c>
      <c r="F101" s="539">
        <f t="shared" si="3"/>
        <v>971.04395604395609</v>
      </c>
      <c r="G101" s="540">
        <f t="shared" si="4"/>
        <v>74.69568892645816</v>
      </c>
      <c r="H101" s="541">
        <f t="shared" si="5"/>
        <v>15971.043956043955</v>
      </c>
      <c r="I101" s="446"/>
    </row>
    <row r="102" spans="2:9" ht="26.1" hidden="1" customHeight="1" thickTop="1" thickBot="1" x14ac:dyDescent="0.4">
      <c r="B102" s="366"/>
      <c r="C102" s="452">
        <v>45540</v>
      </c>
      <c r="D102" s="451">
        <v>87</v>
      </c>
      <c r="E102" s="454" t="s">
        <v>907</v>
      </c>
      <c r="F102" s="539">
        <f t="shared" si="3"/>
        <v>982.33516483516485</v>
      </c>
      <c r="G102" s="540">
        <f t="shared" si="4"/>
        <v>75.564243448858832</v>
      </c>
      <c r="H102" s="541">
        <f t="shared" si="5"/>
        <v>15982.335164835165</v>
      </c>
      <c r="I102" s="446"/>
    </row>
    <row r="103" spans="2:9" ht="26.1" hidden="1" customHeight="1" thickTop="1" thickBot="1" x14ac:dyDescent="0.4">
      <c r="B103" s="366"/>
      <c r="C103" s="452">
        <v>45541</v>
      </c>
      <c r="D103" s="451">
        <v>88</v>
      </c>
      <c r="E103" s="454" t="s">
        <v>908</v>
      </c>
      <c r="F103" s="539">
        <f t="shared" si="3"/>
        <v>993.62637362637372</v>
      </c>
      <c r="G103" s="540">
        <f t="shared" si="4"/>
        <v>76.432797971259518</v>
      </c>
      <c r="H103" s="541">
        <f t="shared" si="5"/>
        <v>15993.626373626374</v>
      </c>
      <c r="I103" s="446"/>
    </row>
    <row r="104" spans="2:9" ht="26.1" hidden="1" customHeight="1" thickTop="1" thickBot="1" x14ac:dyDescent="0.4">
      <c r="B104" s="366"/>
      <c r="C104" s="452">
        <v>45542</v>
      </c>
      <c r="D104" s="451">
        <v>89</v>
      </c>
      <c r="E104" s="454" t="s">
        <v>909</v>
      </c>
      <c r="F104" s="539">
        <f t="shared" si="3"/>
        <v>1004.9175824175825</v>
      </c>
      <c r="G104" s="540">
        <f t="shared" si="4"/>
        <v>77.30135249366019</v>
      </c>
      <c r="H104" s="541">
        <f t="shared" si="5"/>
        <v>16004.917582417582</v>
      </c>
      <c r="I104" s="446"/>
    </row>
    <row r="105" spans="2:9" ht="26.1" hidden="1" customHeight="1" thickTop="1" thickBot="1" x14ac:dyDescent="0.4">
      <c r="B105" s="366"/>
      <c r="C105" s="452">
        <v>45543</v>
      </c>
      <c r="D105" s="451">
        <v>90</v>
      </c>
      <c r="E105" s="454" t="s">
        <v>910</v>
      </c>
      <c r="F105" s="539">
        <f t="shared" si="3"/>
        <v>1016.2087912087912</v>
      </c>
      <c r="G105" s="540">
        <f t="shared" si="4"/>
        <v>78.169907016060861</v>
      </c>
      <c r="H105" s="541">
        <f t="shared" si="5"/>
        <v>16016.208791208792</v>
      </c>
      <c r="I105" s="446"/>
    </row>
    <row r="106" spans="2:9" ht="26.1" hidden="1" customHeight="1" thickTop="1" thickBot="1" x14ac:dyDescent="0.4">
      <c r="B106" s="366"/>
      <c r="C106" s="452">
        <v>45544</v>
      </c>
      <c r="D106" s="451">
        <v>91</v>
      </c>
      <c r="E106" s="454" t="s">
        <v>904</v>
      </c>
      <c r="F106" s="539">
        <f t="shared" si="3"/>
        <v>1027.5</v>
      </c>
      <c r="G106" s="540">
        <f t="shared" si="4"/>
        <v>79.038461538461533</v>
      </c>
      <c r="H106" s="541">
        <f t="shared" si="5"/>
        <v>16027.5</v>
      </c>
      <c r="I106" s="446"/>
    </row>
    <row r="107" spans="2:9" ht="26.1" hidden="1" customHeight="1" thickTop="1" thickBot="1" x14ac:dyDescent="0.4">
      <c r="B107" s="366"/>
      <c r="C107" s="452">
        <v>45545</v>
      </c>
      <c r="D107" s="451">
        <v>92</v>
      </c>
      <c r="E107" s="454" t="s">
        <v>905</v>
      </c>
      <c r="F107" s="539">
        <f t="shared" si="3"/>
        <v>1038.7912087912089</v>
      </c>
      <c r="G107" s="540">
        <f t="shared" si="4"/>
        <v>79.907016060862219</v>
      </c>
      <c r="H107" s="541">
        <f t="shared" si="5"/>
        <v>16038.791208791208</v>
      </c>
      <c r="I107" s="446"/>
    </row>
    <row r="108" spans="2:9" ht="26.1" hidden="1" customHeight="1" thickTop="1" thickBot="1" x14ac:dyDescent="0.4">
      <c r="B108" s="366"/>
      <c r="C108" s="452">
        <v>45546</v>
      </c>
      <c r="D108" s="451">
        <v>93</v>
      </c>
      <c r="E108" s="454" t="s">
        <v>906</v>
      </c>
      <c r="F108" s="539">
        <f t="shared" si="3"/>
        <v>1050.0824175824177</v>
      </c>
      <c r="G108" s="540">
        <f t="shared" si="4"/>
        <v>80.775570583262905</v>
      </c>
      <c r="H108" s="541">
        <f t="shared" si="5"/>
        <v>16050.082417582418</v>
      </c>
      <c r="I108" s="446"/>
    </row>
    <row r="109" spans="2:9" ht="26.1" hidden="1" customHeight="1" thickTop="1" thickBot="1" x14ac:dyDescent="0.4">
      <c r="B109" s="366"/>
      <c r="C109" s="452">
        <v>45547</v>
      </c>
      <c r="D109" s="451">
        <v>94</v>
      </c>
      <c r="E109" s="454" t="s">
        <v>907</v>
      </c>
      <c r="F109" s="539">
        <f t="shared" si="3"/>
        <v>1061.3736263736264</v>
      </c>
      <c r="G109" s="540">
        <f t="shared" si="4"/>
        <v>81.644125105663562</v>
      </c>
      <c r="H109" s="541">
        <f t="shared" si="5"/>
        <v>16061.373626373626</v>
      </c>
      <c r="I109" s="446"/>
    </row>
    <row r="110" spans="2:9" ht="26.1" hidden="1" customHeight="1" thickTop="1" thickBot="1" x14ac:dyDescent="0.4">
      <c r="B110" s="366"/>
      <c r="C110" s="452">
        <v>45548</v>
      </c>
      <c r="D110" s="451">
        <v>95</v>
      </c>
      <c r="E110" s="454" t="s">
        <v>908</v>
      </c>
      <c r="F110" s="539">
        <f t="shared" si="3"/>
        <v>1072.6648351648353</v>
      </c>
      <c r="G110" s="540">
        <f t="shared" si="4"/>
        <v>82.512679628064248</v>
      </c>
      <c r="H110" s="541">
        <f t="shared" si="5"/>
        <v>16072.664835164835</v>
      </c>
      <c r="I110" s="446"/>
    </row>
    <row r="111" spans="2:9" ht="26.1" hidden="1" customHeight="1" thickTop="1" thickBot="1" x14ac:dyDescent="0.4">
      <c r="B111" s="366"/>
      <c r="C111" s="452">
        <v>45549</v>
      </c>
      <c r="D111" s="451">
        <v>96</v>
      </c>
      <c r="E111" s="454" t="s">
        <v>909</v>
      </c>
      <c r="F111" s="539">
        <f t="shared" si="3"/>
        <v>1083.9560439560441</v>
      </c>
      <c r="G111" s="540">
        <f t="shared" si="4"/>
        <v>83.381234150464934</v>
      </c>
      <c r="H111" s="541">
        <f t="shared" si="5"/>
        <v>16083.956043956045</v>
      </c>
      <c r="I111" s="446"/>
    </row>
    <row r="112" spans="2:9" ht="26.1" hidden="1" customHeight="1" thickTop="1" thickBot="1" x14ac:dyDescent="0.4">
      <c r="B112" s="366"/>
      <c r="C112" s="452">
        <v>45550</v>
      </c>
      <c r="D112" s="451">
        <v>97</v>
      </c>
      <c r="E112" s="454" t="s">
        <v>910</v>
      </c>
      <c r="F112" s="539">
        <f t="shared" si="3"/>
        <v>1095.2472527472528</v>
      </c>
      <c r="G112" s="540">
        <f t="shared" si="4"/>
        <v>84.249788672865606</v>
      </c>
      <c r="H112" s="541">
        <f t="shared" si="5"/>
        <v>16095.247252747253</v>
      </c>
      <c r="I112" s="446"/>
    </row>
    <row r="113" spans="2:9" ht="26.1" hidden="1" customHeight="1" thickTop="1" thickBot="1" x14ac:dyDescent="0.4">
      <c r="B113" s="366"/>
      <c r="C113" s="452">
        <v>45551</v>
      </c>
      <c r="D113" s="451">
        <v>98</v>
      </c>
      <c r="E113" s="454" t="s">
        <v>904</v>
      </c>
      <c r="F113" s="539">
        <f t="shared" si="3"/>
        <v>1106.5384615384617</v>
      </c>
      <c r="G113" s="540">
        <f t="shared" si="4"/>
        <v>85.118343195266277</v>
      </c>
      <c r="H113" s="541">
        <f t="shared" si="5"/>
        <v>16106.538461538461</v>
      </c>
      <c r="I113" s="446"/>
    </row>
    <row r="114" spans="2:9" ht="26.1" hidden="1" customHeight="1" thickTop="1" thickBot="1" x14ac:dyDescent="0.4">
      <c r="B114" s="366"/>
      <c r="C114" s="452">
        <v>45552</v>
      </c>
      <c r="D114" s="451">
        <v>99</v>
      </c>
      <c r="E114" s="454" t="s">
        <v>905</v>
      </c>
      <c r="F114" s="539">
        <f t="shared" si="3"/>
        <v>1117.8296703296703</v>
      </c>
      <c r="G114" s="540">
        <f t="shared" si="4"/>
        <v>85.986897717666949</v>
      </c>
      <c r="H114" s="541">
        <f t="shared" si="5"/>
        <v>16117.829670329671</v>
      </c>
      <c r="I114" s="446"/>
    </row>
    <row r="115" spans="2:9" ht="26.1" hidden="1" customHeight="1" thickTop="1" thickBot="1" x14ac:dyDescent="0.4">
      <c r="B115" s="366"/>
      <c r="C115" s="452">
        <v>45553</v>
      </c>
      <c r="D115" s="451">
        <v>100</v>
      </c>
      <c r="E115" s="454" t="s">
        <v>906</v>
      </c>
      <c r="F115" s="539">
        <f t="shared" si="3"/>
        <v>1129.1208791208792</v>
      </c>
      <c r="G115" s="540">
        <f t="shared" si="4"/>
        <v>86.855452240067635</v>
      </c>
      <c r="H115" s="541">
        <f t="shared" si="5"/>
        <v>16129.120879120879</v>
      </c>
      <c r="I115" s="446"/>
    </row>
    <row r="116" spans="2:9" ht="26.1" hidden="1" customHeight="1" thickTop="1" thickBot="1" x14ac:dyDescent="0.4">
      <c r="B116" s="366"/>
      <c r="C116" s="452">
        <v>45554</v>
      </c>
      <c r="D116" s="451">
        <v>101</v>
      </c>
      <c r="E116" s="454" t="s">
        <v>907</v>
      </c>
      <c r="F116" s="539">
        <f t="shared" si="3"/>
        <v>1140.4120879120881</v>
      </c>
      <c r="G116" s="540">
        <f t="shared" si="4"/>
        <v>87.724006762468306</v>
      </c>
      <c r="H116" s="541">
        <f t="shared" si="5"/>
        <v>16140.412087912087</v>
      </c>
      <c r="I116" s="446"/>
    </row>
    <row r="117" spans="2:9" ht="26.1" hidden="1" customHeight="1" thickTop="1" thickBot="1" x14ac:dyDescent="0.4">
      <c r="B117" s="366"/>
      <c r="C117" s="452">
        <v>45555</v>
      </c>
      <c r="D117" s="451">
        <v>102</v>
      </c>
      <c r="E117" s="454" t="s">
        <v>908</v>
      </c>
      <c r="F117" s="539">
        <f t="shared" si="3"/>
        <v>1151.7032967032967</v>
      </c>
      <c r="G117" s="540">
        <f t="shared" si="4"/>
        <v>88.592561284868978</v>
      </c>
      <c r="H117" s="541">
        <f t="shared" si="5"/>
        <v>16151.703296703297</v>
      </c>
      <c r="I117" s="446"/>
    </row>
    <row r="118" spans="2:9" ht="26.1" hidden="1" customHeight="1" thickTop="1" thickBot="1" x14ac:dyDescent="0.4">
      <c r="B118" s="366"/>
      <c r="C118" s="452">
        <v>45556</v>
      </c>
      <c r="D118" s="451">
        <v>103</v>
      </c>
      <c r="E118" s="454" t="s">
        <v>909</v>
      </c>
      <c r="F118" s="539">
        <f t="shared" si="3"/>
        <v>1162.9945054945056</v>
      </c>
      <c r="G118" s="540">
        <f t="shared" si="4"/>
        <v>89.461115807269664</v>
      </c>
      <c r="H118" s="541">
        <f t="shared" si="5"/>
        <v>16162.994505494506</v>
      </c>
      <c r="I118" s="446"/>
    </row>
    <row r="119" spans="2:9" ht="26.1" hidden="1" customHeight="1" thickTop="1" thickBot="1" x14ac:dyDescent="0.4">
      <c r="B119" s="366"/>
      <c r="C119" s="452">
        <v>45557</v>
      </c>
      <c r="D119" s="451">
        <v>104</v>
      </c>
      <c r="E119" s="454" t="s">
        <v>910</v>
      </c>
      <c r="F119" s="539">
        <f t="shared" si="3"/>
        <v>1174.2857142857144</v>
      </c>
      <c r="G119" s="540">
        <f t="shared" si="4"/>
        <v>90.329670329670336</v>
      </c>
      <c r="H119" s="541">
        <f t="shared" si="5"/>
        <v>16174.285714285714</v>
      </c>
      <c r="I119" s="446"/>
    </row>
    <row r="120" spans="2:9" ht="26.1" hidden="1" customHeight="1" thickTop="1" thickBot="1" x14ac:dyDescent="0.4">
      <c r="B120" s="366"/>
      <c r="C120" s="452">
        <v>45558</v>
      </c>
      <c r="D120" s="451">
        <v>105</v>
      </c>
      <c r="E120" s="454" t="s">
        <v>904</v>
      </c>
      <c r="F120" s="539">
        <f t="shared" si="3"/>
        <v>1185.5769230769231</v>
      </c>
      <c r="G120" s="540">
        <f t="shared" si="4"/>
        <v>91.198224852071007</v>
      </c>
      <c r="H120" s="541">
        <f t="shared" si="5"/>
        <v>16185.576923076924</v>
      </c>
      <c r="I120" s="446"/>
    </row>
    <row r="121" spans="2:9" ht="26.1" hidden="1" customHeight="1" thickTop="1" thickBot="1" x14ac:dyDescent="0.4">
      <c r="B121" s="366"/>
      <c r="C121" s="452">
        <v>45559</v>
      </c>
      <c r="D121" s="451">
        <v>106</v>
      </c>
      <c r="E121" s="454" t="s">
        <v>905</v>
      </c>
      <c r="F121" s="539">
        <f t="shared" si="3"/>
        <v>1196.868131868132</v>
      </c>
      <c r="G121" s="540">
        <f t="shared" si="4"/>
        <v>92.066779374471693</v>
      </c>
      <c r="H121" s="541">
        <f t="shared" si="5"/>
        <v>16196.868131868132</v>
      </c>
      <c r="I121" s="446"/>
    </row>
    <row r="122" spans="2:9" ht="26.1" hidden="1" customHeight="1" thickTop="1" thickBot="1" x14ac:dyDescent="0.4">
      <c r="B122" s="366"/>
      <c r="C122" s="452">
        <v>45560</v>
      </c>
      <c r="D122" s="451">
        <v>107</v>
      </c>
      <c r="E122" s="454" t="s">
        <v>906</v>
      </c>
      <c r="F122" s="539">
        <f t="shared" si="3"/>
        <v>1208.1593406593408</v>
      </c>
      <c r="G122" s="540">
        <f t="shared" si="4"/>
        <v>92.935333896872379</v>
      </c>
      <c r="H122" s="541">
        <f t="shared" si="5"/>
        <v>16208.15934065934</v>
      </c>
      <c r="I122" s="446"/>
    </row>
    <row r="123" spans="2:9" ht="26.1" hidden="1" customHeight="1" thickTop="1" thickBot="1" x14ac:dyDescent="0.4">
      <c r="B123" s="366"/>
      <c r="C123" s="452">
        <v>45561</v>
      </c>
      <c r="D123" s="451">
        <v>108</v>
      </c>
      <c r="E123" s="454" t="s">
        <v>907</v>
      </c>
      <c r="F123" s="539">
        <f t="shared" si="3"/>
        <v>1219.4505494505495</v>
      </c>
      <c r="G123" s="540">
        <f t="shared" si="4"/>
        <v>93.803888419273036</v>
      </c>
      <c r="H123" s="541">
        <f t="shared" si="5"/>
        <v>16219.45054945055</v>
      </c>
      <c r="I123" s="446"/>
    </row>
    <row r="124" spans="2:9" ht="26.1" hidden="1" customHeight="1" thickTop="1" thickBot="1" x14ac:dyDescent="0.4">
      <c r="B124" s="366"/>
      <c r="C124" s="452">
        <v>45562</v>
      </c>
      <c r="D124" s="451">
        <v>109</v>
      </c>
      <c r="E124" s="454" t="s">
        <v>908</v>
      </c>
      <c r="F124" s="539">
        <f t="shared" si="3"/>
        <v>1230.7417582417584</v>
      </c>
      <c r="G124" s="540">
        <f t="shared" si="4"/>
        <v>94.672442941673722</v>
      </c>
      <c r="H124" s="541">
        <f t="shared" si="5"/>
        <v>16230.741758241758</v>
      </c>
      <c r="I124" s="446"/>
    </row>
    <row r="125" spans="2:9" ht="26.1" hidden="1" customHeight="1" thickTop="1" thickBot="1" x14ac:dyDescent="0.4">
      <c r="B125" s="366"/>
      <c r="C125" s="452">
        <v>45563</v>
      </c>
      <c r="D125" s="451">
        <v>110</v>
      </c>
      <c r="E125" s="454" t="s">
        <v>909</v>
      </c>
      <c r="F125" s="539">
        <f t="shared" si="3"/>
        <v>1242.032967032967</v>
      </c>
      <c r="G125" s="540">
        <f t="shared" si="4"/>
        <v>95.54099746407438</v>
      </c>
      <c r="H125" s="541">
        <f t="shared" si="5"/>
        <v>16242.032967032967</v>
      </c>
      <c r="I125" s="446"/>
    </row>
    <row r="126" spans="2:9" ht="26.1" hidden="1" customHeight="1" thickTop="1" thickBot="1" x14ac:dyDescent="0.4">
      <c r="B126" s="366"/>
      <c r="C126" s="452">
        <v>45564</v>
      </c>
      <c r="D126" s="451">
        <v>111</v>
      </c>
      <c r="E126" s="454" t="s">
        <v>910</v>
      </c>
      <c r="F126" s="539">
        <f t="shared" si="3"/>
        <v>1253.3241758241759</v>
      </c>
      <c r="G126" s="540">
        <f t="shared" si="4"/>
        <v>96.409551986475066</v>
      </c>
      <c r="H126" s="541">
        <f t="shared" si="5"/>
        <v>16253.324175824177</v>
      </c>
      <c r="I126" s="446"/>
    </row>
    <row r="127" spans="2:9" ht="26.1" hidden="1" customHeight="1" thickTop="1" thickBot="1" x14ac:dyDescent="0.4">
      <c r="B127" s="366"/>
      <c r="C127" s="452">
        <v>45565</v>
      </c>
      <c r="D127" s="451">
        <v>112</v>
      </c>
      <c r="E127" s="454" t="s">
        <v>904</v>
      </c>
      <c r="F127" s="539">
        <f t="shared" si="3"/>
        <v>1264.6153846153848</v>
      </c>
      <c r="G127" s="540">
        <f t="shared" si="4"/>
        <v>97.278106508875752</v>
      </c>
      <c r="H127" s="541">
        <f t="shared" si="5"/>
        <v>16264.615384615385</v>
      </c>
      <c r="I127" s="446"/>
    </row>
    <row r="128" spans="2:9" ht="26.1" hidden="1" customHeight="1" thickTop="1" thickBot="1" x14ac:dyDescent="0.4">
      <c r="B128" s="366"/>
      <c r="C128" s="452">
        <v>45566</v>
      </c>
      <c r="D128" s="451">
        <v>113</v>
      </c>
      <c r="E128" s="454" t="s">
        <v>905</v>
      </c>
      <c r="F128" s="539">
        <f t="shared" si="3"/>
        <v>1275.9065934065934</v>
      </c>
      <c r="G128" s="540">
        <f t="shared" si="4"/>
        <v>98.146661031276409</v>
      </c>
      <c r="H128" s="541">
        <f t="shared" si="5"/>
        <v>16275.906593406593</v>
      </c>
      <c r="I128" s="446"/>
    </row>
    <row r="129" spans="2:9" ht="26.1" hidden="1" customHeight="1" thickTop="1" thickBot="1" x14ac:dyDescent="0.4">
      <c r="B129" s="366"/>
      <c r="C129" s="452">
        <v>45567</v>
      </c>
      <c r="D129" s="451">
        <v>114</v>
      </c>
      <c r="E129" s="454" t="s">
        <v>906</v>
      </c>
      <c r="F129" s="539">
        <f t="shared" si="3"/>
        <v>1287.1978021978023</v>
      </c>
      <c r="G129" s="540">
        <f t="shared" si="4"/>
        <v>99.015215553677095</v>
      </c>
      <c r="H129" s="541">
        <f t="shared" si="5"/>
        <v>16287.197802197803</v>
      </c>
      <c r="I129" s="446"/>
    </row>
    <row r="130" spans="2:9" ht="26.1" hidden="1" customHeight="1" thickTop="1" thickBot="1" x14ac:dyDescent="0.4">
      <c r="B130" s="366"/>
      <c r="C130" s="452">
        <v>45568</v>
      </c>
      <c r="D130" s="451">
        <v>115</v>
      </c>
      <c r="E130" s="454" t="s">
        <v>907</v>
      </c>
      <c r="F130" s="539">
        <f t="shared" si="3"/>
        <v>1298.4890109890111</v>
      </c>
      <c r="G130" s="540">
        <f t="shared" si="4"/>
        <v>99.883770076077781</v>
      </c>
      <c r="H130" s="541">
        <f t="shared" si="5"/>
        <v>16298.489010989011</v>
      </c>
      <c r="I130" s="446"/>
    </row>
    <row r="131" spans="2:9" ht="26.1" hidden="1" customHeight="1" thickTop="1" thickBot="1" x14ac:dyDescent="0.4">
      <c r="B131" s="366"/>
      <c r="C131" s="452">
        <v>45569</v>
      </c>
      <c r="D131" s="451">
        <v>116</v>
      </c>
      <c r="E131" s="454" t="s">
        <v>908</v>
      </c>
      <c r="F131" s="539">
        <f t="shared" si="3"/>
        <v>1309.7802197802198</v>
      </c>
      <c r="G131" s="540">
        <f t="shared" si="4"/>
        <v>100.75232459847845</v>
      </c>
      <c r="H131" s="541">
        <f t="shared" si="5"/>
        <v>16309.780219780219</v>
      </c>
      <c r="I131" s="446"/>
    </row>
    <row r="132" spans="2:9" ht="26.1" hidden="1" customHeight="1" thickTop="1" thickBot="1" x14ac:dyDescent="0.4">
      <c r="B132" s="366"/>
      <c r="C132" s="452">
        <v>45570</v>
      </c>
      <c r="D132" s="451">
        <v>117</v>
      </c>
      <c r="E132" s="454" t="s">
        <v>909</v>
      </c>
      <c r="F132" s="539">
        <f t="shared" si="3"/>
        <v>1321.0714285714287</v>
      </c>
      <c r="G132" s="540">
        <f t="shared" si="4"/>
        <v>101.62087912087912</v>
      </c>
      <c r="H132" s="541">
        <f t="shared" si="5"/>
        <v>16321.071428571429</v>
      </c>
      <c r="I132" s="446"/>
    </row>
    <row r="133" spans="2:9" ht="26.1" hidden="1" customHeight="1" thickTop="1" thickBot="1" x14ac:dyDescent="0.4">
      <c r="B133" s="366"/>
      <c r="C133" s="452">
        <v>45571</v>
      </c>
      <c r="D133" s="451">
        <v>118</v>
      </c>
      <c r="E133" s="454" t="s">
        <v>910</v>
      </c>
      <c r="F133" s="539">
        <f t="shared" si="3"/>
        <v>1332.3626373626375</v>
      </c>
      <c r="G133" s="540">
        <f t="shared" si="4"/>
        <v>102.48943364327981</v>
      </c>
      <c r="H133" s="541">
        <f t="shared" si="5"/>
        <v>16332.362637362638</v>
      </c>
      <c r="I133" s="446"/>
    </row>
    <row r="134" spans="2:9" ht="26.1" hidden="1" customHeight="1" thickTop="1" thickBot="1" x14ac:dyDescent="0.4">
      <c r="B134" s="366"/>
      <c r="C134" s="452">
        <v>45572</v>
      </c>
      <c r="D134" s="451">
        <v>119</v>
      </c>
      <c r="E134" s="454" t="s">
        <v>904</v>
      </c>
      <c r="F134" s="539">
        <f t="shared" si="3"/>
        <v>1343.6538461538462</v>
      </c>
      <c r="G134" s="540">
        <f t="shared" si="4"/>
        <v>103.35798816568048</v>
      </c>
      <c r="H134" s="541">
        <f t="shared" si="5"/>
        <v>16343.653846153846</v>
      </c>
      <c r="I134" s="446"/>
    </row>
    <row r="135" spans="2:9" ht="26.1" hidden="1" customHeight="1" thickTop="1" thickBot="1" x14ac:dyDescent="0.4">
      <c r="B135" s="366"/>
      <c r="C135" s="452">
        <v>45573</v>
      </c>
      <c r="D135" s="451">
        <v>120</v>
      </c>
      <c r="E135" s="454" t="s">
        <v>905</v>
      </c>
      <c r="F135" s="539">
        <f t="shared" si="3"/>
        <v>1354.9450549450551</v>
      </c>
      <c r="G135" s="540">
        <f t="shared" si="4"/>
        <v>104.22654268808115</v>
      </c>
      <c r="H135" s="541">
        <f t="shared" si="5"/>
        <v>16354.945054945056</v>
      </c>
      <c r="I135" s="446"/>
    </row>
    <row r="136" spans="2:9" ht="26.1" hidden="1" customHeight="1" thickTop="1" thickBot="1" x14ac:dyDescent="0.4">
      <c r="B136" s="366"/>
      <c r="C136" s="452">
        <v>45574</v>
      </c>
      <c r="D136" s="451">
        <v>121</v>
      </c>
      <c r="E136" s="454" t="s">
        <v>906</v>
      </c>
      <c r="F136" s="539">
        <f t="shared" si="3"/>
        <v>1366.2362637362639</v>
      </c>
      <c r="G136" s="540">
        <f t="shared" si="4"/>
        <v>105.09509721048184</v>
      </c>
      <c r="H136" s="541">
        <f t="shared" si="5"/>
        <v>16366.236263736264</v>
      </c>
      <c r="I136" s="446"/>
    </row>
    <row r="137" spans="2:9" ht="26.1" hidden="1" customHeight="1" thickTop="1" thickBot="1" x14ac:dyDescent="0.4">
      <c r="B137" s="366"/>
      <c r="C137" s="452">
        <v>45575</v>
      </c>
      <c r="D137" s="451">
        <v>122</v>
      </c>
      <c r="E137" s="454" t="s">
        <v>907</v>
      </c>
      <c r="F137" s="539">
        <f t="shared" si="3"/>
        <v>1377.5274725274726</v>
      </c>
      <c r="G137" s="540">
        <f t="shared" si="4"/>
        <v>105.96365173288251</v>
      </c>
      <c r="H137" s="541">
        <f t="shared" si="5"/>
        <v>16377.527472527472</v>
      </c>
      <c r="I137" s="446"/>
    </row>
    <row r="138" spans="2:9" ht="26.1" hidden="1" customHeight="1" thickTop="1" thickBot="1" x14ac:dyDescent="0.4">
      <c r="B138" s="366"/>
      <c r="C138" s="452">
        <v>45576</v>
      </c>
      <c r="D138" s="451">
        <v>123</v>
      </c>
      <c r="E138" s="454" t="s">
        <v>908</v>
      </c>
      <c r="F138" s="539">
        <f t="shared" si="3"/>
        <v>1388.8186813186815</v>
      </c>
      <c r="G138" s="540">
        <f t="shared" si="4"/>
        <v>106.83220625528318</v>
      </c>
      <c r="H138" s="541">
        <f t="shared" si="5"/>
        <v>16388.81868131868</v>
      </c>
      <c r="I138" s="446"/>
    </row>
    <row r="139" spans="2:9" ht="26.1" hidden="1" customHeight="1" thickTop="1" thickBot="1" x14ac:dyDescent="0.4">
      <c r="B139" s="366"/>
      <c r="C139" s="452">
        <v>45577</v>
      </c>
      <c r="D139" s="451">
        <v>124</v>
      </c>
      <c r="E139" s="454" t="s">
        <v>909</v>
      </c>
      <c r="F139" s="539">
        <f t="shared" si="3"/>
        <v>1400.1098901098901</v>
      </c>
      <c r="G139" s="540">
        <f t="shared" si="4"/>
        <v>107.70076077768385</v>
      </c>
      <c r="H139" s="541">
        <f t="shared" si="5"/>
        <v>16400.109890109889</v>
      </c>
      <c r="I139" s="446"/>
    </row>
    <row r="140" spans="2:9" ht="26.1" hidden="1" customHeight="1" thickTop="1" thickBot="1" x14ac:dyDescent="0.4">
      <c r="B140" s="366"/>
      <c r="C140" s="452">
        <v>45578</v>
      </c>
      <c r="D140" s="451">
        <v>125</v>
      </c>
      <c r="E140" s="454" t="s">
        <v>910</v>
      </c>
      <c r="F140" s="539">
        <f t="shared" si="3"/>
        <v>1411.401098901099</v>
      </c>
      <c r="G140" s="540">
        <f t="shared" si="4"/>
        <v>108.56931530008454</v>
      </c>
      <c r="H140" s="541">
        <f t="shared" si="5"/>
        <v>16411.4010989011</v>
      </c>
      <c r="I140" s="446"/>
    </row>
    <row r="141" spans="2:9" ht="26.1" hidden="1" customHeight="1" thickTop="1" thickBot="1" x14ac:dyDescent="0.4">
      <c r="B141" s="366"/>
      <c r="C141" s="452">
        <v>45579</v>
      </c>
      <c r="D141" s="451">
        <v>126</v>
      </c>
      <c r="E141" s="454" t="s">
        <v>904</v>
      </c>
      <c r="F141" s="539">
        <f t="shared" si="3"/>
        <v>1422.6923076923078</v>
      </c>
      <c r="G141" s="540">
        <f t="shared" si="4"/>
        <v>109.43786982248523</v>
      </c>
      <c r="H141" s="541">
        <f t="shared" si="5"/>
        <v>16422.692307692309</v>
      </c>
      <c r="I141" s="446"/>
    </row>
    <row r="142" spans="2:9" ht="26.1" hidden="1" customHeight="1" thickTop="1" thickBot="1" x14ac:dyDescent="0.4">
      <c r="B142" s="366"/>
      <c r="C142" s="452">
        <v>45580</v>
      </c>
      <c r="D142" s="451">
        <v>127</v>
      </c>
      <c r="E142" s="454" t="s">
        <v>905</v>
      </c>
      <c r="F142" s="539">
        <f t="shared" si="3"/>
        <v>1433.9835164835165</v>
      </c>
      <c r="G142" s="540">
        <f t="shared" si="4"/>
        <v>110.30642434488588</v>
      </c>
      <c r="H142" s="541">
        <f t="shared" si="5"/>
        <v>16433.983516483517</v>
      </c>
      <c r="I142" s="446"/>
    </row>
    <row r="143" spans="2:9" ht="26.1" hidden="1" customHeight="1" thickTop="1" thickBot="1" x14ac:dyDescent="0.4">
      <c r="B143" s="366"/>
      <c r="C143" s="452">
        <v>45581</v>
      </c>
      <c r="D143" s="451">
        <v>128</v>
      </c>
      <c r="E143" s="454" t="s">
        <v>906</v>
      </c>
      <c r="F143" s="539">
        <f t="shared" si="3"/>
        <v>1445.2747252747254</v>
      </c>
      <c r="G143" s="540">
        <f t="shared" si="4"/>
        <v>111.17497886728657</v>
      </c>
      <c r="H143" s="541">
        <f t="shared" si="5"/>
        <v>16445.274725274725</v>
      </c>
      <c r="I143" s="446"/>
    </row>
    <row r="144" spans="2:9" ht="26.1" hidden="1" customHeight="1" thickTop="1" thickBot="1" x14ac:dyDescent="0.4">
      <c r="B144" s="366"/>
      <c r="C144" s="452">
        <v>45582</v>
      </c>
      <c r="D144" s="451">
        <v>129</v>
      </c>
      <c r="E144" s="454" t="s">
        <v>907</v>
      </c>
      <c r="F144" s="539">
        <f t="shared" ref="F144:F207" si="6">$E$8/$F$10*D144</f>
        <v>1456.5659340659342</v>
      </c>
      <c r="G144" s="540">
        <f t="shared" ref="G144:G207" si="7">F144/$C$12</f>
        <v>112.04353338968725</v>
      </c>
      <c r="H144" s="541">
        <f t="shared" si="5"/>
        <v>16456.565934065933</v>
      </c>
      <c r="I144" s="446"/>
    </row>
    <row r="145" spans="2:9" ht="26.1" hidden="1" customHeight="1" thickTop="1" thickBot="1" x14ac:dyDescent="0.4">
      <c r="B145" s="366"/>
      <c r="C145" s="452">
        <v>45583</v>
      </c>
      <c r="D145" s="451">
        <v>130</v>
      </c>
      <c r="E145" s="454" t="s">
        <v>908</v>
      </c>
      <c r="F145" s="539">
        <f t="shared" si="6"/>
        <v>1467.8571428571429</v>
      </c>
      <c r="G145" s="540">
        <f t="shared" si="7"/>
        <v>112.91208791208791</v>
      </c>
      <c r="H145" s="541">
        <f t="shared" ref="H145:H208" si="8">$C$8+F145</f>
        <v>16467.857142857141</v>
      </c>
      <c r="I145" s="446"/>
    </row>
    <row r="146" spans="2:9" ht="26.1" hidden="1" customHeight="1" thickTop="1" thickBot="1" x14ac:dyDescent="0.4">
      <c r="B146" s="366"/>
      <c r="C146" s="452">
        <v>45584</v>
      </c>
      <c r="D146" s="451">
        <v>131</v>
      </c>
      <c r="E146" s="454" t="s">
        <v>909</v>
      </c>
      <c r="F146" s="539">
        <f t="shared" si="6"/>
        <v>1479.1483516483518</v>
      </c>
      <c r="G146" s="540">
        <f t="shared" si="7"/>
        <v>113.7806424344886</v>
      </c>
      <c r="H146" s="541">
        <f t="shared" si="8"/>
        <v>16479.148351648353</v>
      </c>
      <c r="I146" s="446"/>
    </row>
    <row r="147" spans="2:9" ht="26.1" hidden="1" customHeight="1" thickTop="1" thickBot="1" x14ac:dyDescent="0.4">
      <c r="B147" s="366"/>
      <c r="C147" s="452">
        <v>45585</v>
      </c>
      <c r="D147" s="451">
        <v>132</v>
      </c>
      <c r="E147" s="454" t="s">
        <v>910</v>
      </c>
      <c r="F147" s="539">
        <f t="shared" si="6"/>
        <v>1490.4395604395606</v>
      </c>
      <c r="G147" s="540">
        <f t="shared" si="7"/>
        <v>114.64919695688928</v>
      </c>
      <c r="H147" s="541">
        <f t="shared" si="8"/>
        <v>16490.439560439561</v>
      </c>
      <c r="I147" s="446"/>
    </row>
    <row r="148" spans="2:9" ht="26.1" hidden="1" customHeight="1" thickTop="1" thickBot="1" x14ac:dyDescent="0.4">
      <c r="B148" s="366"/>
      <c r="C148" s="452">
        <v>45586</v>
      </c>
      <c r="D148" s="451">
        <v>133</v>
      </c>
      <c r="E148" s="454" t="s">
        <v>904</v>
      </c>
      <c r="F148" s="539">
        <f t="shared" si="6"/>
        <v>1501.7307692307693</v>
      </c>
      <c r="G148" s="540">
        <f t="shared" si="7"/>
        <v>115.51775147928994</v>
      </c>
      <c r="H148" s="541">
        <f t="shared" si="8"/>
        <v>16501.73076923077</v>
      </c>
      <c r="I148" s="446"/>
    </row>
    <row r="149" spans="2:9" ht="26.1" hidden="1" customHeight="1" thickTop="1" thickBot="1" x14ac:dyDescent="0.4">
      <c r="B149" s="366"/>
      <c r="C149" s="452">
        <v>45587</v>
      </c>
      <c r="D149" s="451">
        <v>134</v>
      </c>
      <c r="E149" s="454" t="s">
        <v>905</v>
      </c>
      <c r="F149" s="539">
        <f t="shared" si="6"/>
        <v>1513.0219780219782</v>
      </c>
      <c r="G149" s="540">
        <f t="shared" si="7"/>
        <v>116.38630600169063</v>
      </c>
      <c r="H149" s="541">
        <f t="shared" si="8"/>
        <v>16513.021978021978</v>
      </c>
      <c r="I149" s="446"/>
    </row>
    <row r="150" spans="2:9" ht="26.1" hidden="1" customHeight="1" thickTop="1" thickBot="1" x14ac:dyDescent="0.4">
      <c r="B150" s="366"/>
      <c r="C150" s="452">
        <v>45588</v>
      </c>
      <c r="D150" s="451">
        <v>135</v>
      </c>
      <c r="E150" s="454" t="s">
        <v>906</v>
      </c>
      <c r="F150" s="539">
        <f t="shared" si="6"/>
        <v>1524.3131868131868</v>
      </c>
      <c r="G150" s="540">
        <f t="shared" si="7"/>
        <v>117.2548605240913</v>
      </c>
      <c r="H150" s="541">
        <f t="shared" si="8"/>
        <v>16524.313186813186</v>
      </c>
      <c r="I150" s="446"/>
    </row>
    <row r="151" spans="2:9" ht="26.1" hidden="1" customHeight="1" thickTop="1" thickBot="1" x14ac:dyDescent="0.4">
      <c r="B151" s="366"/>
      <c r="C151" s="452">
        <v>45589</v>
      </c>
      <c r="D151" s="451">
        <v>136</v>
      </c>
      <c r="E151" s="454" t="s">
        <v>907</v>
      </c>
      <c r="F151" s="539">
        <f t="shared" si="6"/>
        <v>1535.6043956043957</v>
      </c>
      <c r="G151" s="540">
        <f t="shared" si="7"/>
        <v>118.12341504649197</v>
      </c>
      <c r="H151" s="541">
        <f t="shared" si="8"/>
        <v>16535.604395604394</v>
      </c>
      <c r="I151" s="446"/>
    </row>
    <row r="152" spans="2:9" ht="26.1" hidden="1" customHeight="1" thickTop="1" thickBot="1" x14ac:dyDescent="0.4">
      <c r="B152" s="366"/>
      <c r="C152" s="452">
        <v>45590</v>
      </c>
      <c r="D152" s="451">
        <v>137</v>
      </c>
      <c r="E152" s="454" t="s">
        <v>908</v>
      </c>
      <c r="F152" s="539">
        <f t="shared" si="6"/>
        <v>1546.8956043956046</v>
      </c>
      <c r="G152" s="540">
        <f t="shared" si="7"/>
        <v>118.99196956889266</v>
      </c>
      <c r="H152" s="541">
        <f t="shared" si="8"/>
        <v>16546.895604395606</v>
      </c>
      <c r="I152" s="446"/>
    </row>
    <row r="153" spans="2:9" ht="26.1" hidden="1" customHeight="1" thickTop="1" thickBot="1" x14ac:dyDescent="0.4">
      <c r="B153" s="366"/>
      <c r="C153" s="452">
        <v>45591</v>
      </c>
      <c r="D153" s="451">
        <v>138</v>
      </c>
      <c r="E153" s="454" t="s">
        <v>909</v>
      </c>
      <c r="F153" s="539">
        <f t="shared" si="6"/>
        <v>1558.1868131868132</v>
      </c>
      <c r="G153" s="540">
        <f t="shared" si="7"/>
        <v>119.86052409129333</v>
      </c>
      <c r="H153" s="541">
        <f t="shared" si="8"/>
        <v>16558.186813186814</v>
      </c>
      <c r="I153" s="446"/>
    </row>
    <row r="154" spans="2:9" ht="26.1" hidden="1" customHeight="1" thickTop="1" thickBot="1" x14ac:dyDescent="0.4">
      <c r="B154" s="366"/>
      <c r="C154" s="452">
        <v>45592</v>
      </c>
      <c r="D154" s="451">
        <v>139</v>
      </c>
      <c r="E154" s="454" t="s">
        <v>910</v>
      </c>
      <c r="F154" s="539">
        <f t="shared" si="6"/>
        <v>1569.4780219780221</v>
      </c>
      <c r="G154" s="540">
        <f t="shared" si="7"/>
        <v>120.729078613694</v>
      </c>
      <c r="H154" s="541">
        <f t="shared" si="8"/>
        <v>16569.478021978022</v>
      </c>
      <c r="I154" s="446"/>
    </row>
    <row r="155" spans="2:9" ht="26.1" hidden="1" customHeight="1" thickTop="1" thickBot="1" x14ac:dyDescent="0.4">
      <c r="B155" s="366"/>
      <c r="C155" s="452">
        <v>45593</v>
      </c>
      <c r="D155" s="451">
        <v>140</v>
      </c>
      <c r="E155" s="454" t="s">
        <v>904</v>
      </c>
      <c r="F155" s="539">
        <f t="shared" si="6"/>
        <v>1580.7692307692309</v>
      </c>
      <c r="G155" s="540">
        <f t="shared" si="7"/>
        <v>121.59763313609469</v>
      </c>
      <c r="H155" s="541">
        <f t="shared" si="8"/>
        <v>16580.76923076923</v>
      </c>
      <c r="I155" s="446"/>
    </row>
    <row r="156" spans="2:9" ht="26.1" hidden="1" customHeight="1" thickTop="1" thickBot="1" x14ac:dyDescent="0.4">
      <c r="B156" s="366"/>
      <c r="C156" s="452">
        <v>45594</v>
      </c>
      <c r="D156" s="451">
        <v>141</v>
      </c>
      <c r="E156" s="454" t="s">
        <v>905</v>
      </c>
      <c r="F156" s="539">
        <f t="shared" si="6"/>
        <v>1592.0604395604396</v>
      </c>
      <c r="G156" s="540">
        <f t="shared" si="7"/>
        <v>122.46618765849536</v>
      </c>
      <c r="H156" s="541">
        <f t="shared" si="8"/>
        <v>16592.060439560439</v>
      </c>
      <c r="I156" s="446"/>
    </row>
    <row r="157" spans="2:9" ht="26.1" hidden="1" customHeight="1" thickTop="1" thickBot="1" x14ac:dyDescent="0.4">
      <c r="B157" s="366"/>
      <c r="C157" s="452">
        <v>45595</v>
      </c>
      <c r="D157" s="451">
        <v>142</v>
      </c>
      <c r="E157" s="454" t="s">
        <v>906</v>
      </c>
      <c r="F157" s="539">
        <f t="shared" si="6"/>
        <v>1603.3516483516485</v>
      </c>
      <c r="G157" s="540">
        <f t="shared" si="7"/>
        <v>123.33474218089603</v>
      </c>
      <c r="H157" s="541">
        <f t="shared" si="8"/>
        <v>16603.351648351647</v>
      </c>
      <c r="I157" s="446"/>
    </row>
    <row r="158" spans="2:9" ht="26.1" hidden="1" customHeight="1" thickTop="1" thickBot="1" x14ac:dyDescent="0.4">
      <c r="B158" s="366"/>
      <c r="C158" s="452">
        <v>45596</v>
      </c>
      <c r="D158" s="451">
        <v>143</v>
      </c>
      <c r="E158" s="454" t="s">
        <v>907</v>
      </c>
      <c r="F158" s="539">
        <f t="shared" si="6"/>
        <v>1614.6428571428573</v>
      </c>
      <c r="G158" s="540">
        <f t="shared" si="7"/>
        <v>124.20329670329672</v>
      </c>
      <c r="H158" s="541">
        <f t="shared" si="8"/>
        <v>16614.642857142859</v>
      </c>
      <c r="I158" s="446"/>
    </row>
    <row r="159" spans="2:9" ht="26.1" hidden="1" customHeight="1" thickTop="1" thickBot="1" x14ac:dyDescent="0.4">
      <c r="B159" s="366"/>
      <c r="C159" s="452">
        <v>45597</v>
      </c>
      <c r="D159" s="451">
        <v>144</v>
      </c>
      <c r="E159" s="454" t="s">
        <v>908</v>
      </c>
      <c r="F159" s="539">
        <f t="shared" si="6"/>
        <v>1625.934065934066</v>
      </c>
      <c r="G159" s="540">
        <f t="shared" si="7"/>
        <v>125.07185122569739</v>
      </c>
      <c r="H159" s="541">
        <f t="shared" si="8"/>
        <v>16625.934065934067</v>
      </c>
      <c r="I159" s="446"/>
    </row>
    <row r="160" spans="2:9" ht="26.1" hidden="1" customHeight="1" thickTop="1" thickBot="1" x14ac:dyDescent="0.4">
      <c r="B160" s="366"/>
      <c r="C160" s="452">
        <v>45598</v>
      </c>
      <c r="D160" s="451">
        <v>145</v>
      </c>
      <c r="E160" s="454" t="s">
        <v>909</v>
      </c>
      <c r="F160" s="539">
        <f t="shared" si="6"/>
        <v>1637.2252747252749</v>
      </c>
      <c r="G160" s="540">
        <f t="shared" si="7"/>
        <v>125.94040574809807</v>
      </c>
      <c r="H160" s="541">
        <f t="shared" si="8"/>
        <v>16637.225274725275</v>
      </c>
      <c r="I160" s="446"/>
    </row>
    <row r="161" spans="2:9" ht="26.1" hidden="1" customHeight="1" thickTop="1" thickBot="1" x14ac:dyDescent="0.4">
      <c r="B161" s="366"/>
      <c r="C161" s="452">
        <v>45599</v>
      </c>
      <c r="D161" s="451">
        <v>146</v>
      </c>
      <c r="E161" s="454" t="s">
        <v>910</v>
      </c>
      <c r="F161" s="539">
        <f t="shared" si="6"/>
        <v>1648.5164835164837</v>
      </c>
      <c r="G161" s="540">
        <f t="shared" si="7"/>
        <v>126.80896027049874</v>
      </c>
      <c r="H161" s="541">
        <f t="shared" si="8"/>
        <v>16648.516483516483</v>
      </c>
      <c r="I161" s="446"/>
    </row>
    <row r="162" spans="2:9" ht="26.1" hidden="1" customHeight="1" thickTop="1" thickBot="1" x14ac:dyDescent="0.4">
      <c r="B162" s="366"/>
      <c r="C162" s="452">
        <v>45600</v>
      </c>
      <c r="D162" s="451">
        <v>147</v>
      </c>
      <c r="E162" s="454" t="s">
        <v>904</v>
      </c>
      <c r="F162" s="539">
        <f t="shared" si="6"/>
        <v>1659.8076923076924</v>
      </c>
      <c r="G162" s="540">
        <f t="shared" si="7"/>
        <v>127.67751479289942</v>
      </c>
      <c r="H162" s="541">
        <f t="shared" si="8"/>
        <v>16659.807692307691</v>
      </c>
      <c r="I162" s="446"/>
    </row>
    <row r="163" spans="2:9" ht="26.1" hidden="1" customHeight="1" thickTop="1" thickBot="1" x14ac:dyDescent="0.4">
      <c r="B163" s="366"/>
      <c r="C163" s="452">
        <v>45601</v>
      </c>
      <c r="D163" s="451">
        <v>148</v>
      </c>
      <c r="E163" s="454" t="s">
        <v>905</v>
      </c>
      <c r="F163" s="539">
        <f t="shared" si="6"/>
        <v>1671.0989010989013</v>
      </c>
      <c r="G163" s="540">
        <f t="shared" si="7"/>
        <v>128.54606931530009</v>
      </c>
      <c r="H163" s="541">
        <f t="shared" si="8"/>
        <v>16671.0989010989</v>
      </c>
      <c r="I163" s="446"/>
    </row>
    <row r="164" spans="2:9" ht="26.1" hidden="1" customHeight="1" thickTop="1" thickBot="1" x14ac:dyDescent="0.4">
      <c r="B164" s="366"/>
      <c r="C164" s="452">
        <v>45602</v>
      </c>
      <c r="D164" s="451">
        <v>149</v>
      </c>
      <c r="E164" s="454" t="s">
        <v>906</v>
      </c>
      <c r="F164" s="539">
        <f t="shared" si="6"/>
        <v>1682.3901098901099</v>
      </c>
      <c r="G164" s="540">
        <f t="shared" si="7"/>
        <v>129.41462383770076</v>
      </c>
      <c r="H164" s="541">
        <f t="shared" si="8"/>
        <v>16682.390109890111</v>
      </c>
      <c r="I164" s="446"/>
    </row>
    <row r="165" spans="2:9" ht="26.1" hidden="1" customHeight="1" thickTop="1" thickBot="1" x14ac:dyDescent="0.4">
      <c r="B165" s="366"/>
      <c r="C165" s="452">
        <v>45603</v>
      </c>
      <c r="D165" s="451">
        <v>150</v>
      </c>
      <c r="E165" s="454" t="s">
        <v>907</v>
      </c>
      <c r="F165" s="539">
        <f t="shared" si="6"/>
        <v>1693.6813186813188</v>
      </c>
      <c r="G165" s="540">
        <f t="shared" si="7"/>
        <v>130.28317836010143</v>
      </c>
      <c r="H165" s="541">
        <f t="shared" si="8"/>
        <v>16693.68131868132</v>
      </c>
      <c r="I165" s="446"/>
    </row>
    <row r="166" spans="2:9" ht="26.1" hidden="1" customHeight="1" thickTop="1" thickBot="1" x14ac:dyDescent="0.4">
      <c r="B166" s="366"/>
      <c r="C166" s="452">
        <v>45604</v>
      </c>
      <c r="D166" s="451">
        <v>151</v>
      </c>
      <c r="E166" s="454" t="s">
        <v>908</v>
      </c>
      <c r="F166" s="539">
        <f t="shared" si="6"/>
        <v>1704.9725274725276</v>
      </c>
      <c r="G166" s="540">
        <f t="shared" si="7"/>
        <v>131.15173288250213</v>
      </c>
      <c r="H166" s="541">
        <f t="shared" si="8"/>
        <v>16704.972527472528</v>
      </c>
      <c r="I166" s="446"/>
    </row>
    <row r="167" spans="2:9" ht="26.1" hidden="1" customHeight="1" thickTop="1" thickBot="1" x14ac:dyDescent="0.4">
      <c r="B167" s="366"/>
      <c r="C167" s="452">
        <v>45605</v>
      </c>
      <c r="D167" s="451">
        <v>152</v>
      </c>
      <c r="E167" s="454" t="s">
        <v>909</v>
      </c>
      <c r="F167" s="539">
        <f t="shared" si="6"/>
        <v>1716.2637362637363</v>
      </c>
      <c r="G167" s="540">
        <f t="shared" si="7"/>
        <v>132.0202874049028</v>
      </c>
      <c r="H167" s="541">
        <f t="shared" si="8"/>
        <v>16716.263736263736</v>
      </c>
      <c r="I167" s="446"/>
    </row>
    <row r="168" spans="2:9" ht="26.1" hidden="1" customHeight="1" thickTop="1" thickBot="1" x14ac:dyDescent="0.4">
      <c r="B168" s="366"/>
      <c r="C168" s="452">
        <v>45606</v>
      </c>
      <c r="D168" s="451">
        <v>153</v>
      </c>
      <c r="E168" s="454" t="s">
        <v>910</v>
      </c>
      <c r="F168" s="539">
        <f t="shared" si="6"/>
        <v>1727.5549450549452</v>
      </c>
      <c r="G168" s="540">
        <f t="shared" si="7"/>
        <v>132.88884192730347</v>
      </c>
      <c r="H168" s="541">
        <f t="shared" si="8"/>
        <v>16727.554945054944</v>
      </c>
      <c r="I168" s="446"/>
    </row>
    <row r="169" spans="2:9" ht="26.1" hidden="1" customHeight="1" thickTop="1" thickBot="1" x14ac:dyDescent="0.4">
      <c r="B169" s="366"/>
      <c r="C169" s="452">
        <v>45607</v>
      </c>
      <c r="D169" s="451">
        <v>154</v>
      </c>
      <c r="E169" s="454" t="s">
        <v>904</v>
      </c>
      <c r="F169" s="539">
        <f t="shared" si="6"/>
        <v>1738.846153846154</v>
      </c>
      <c r="G169" s="540">
        <f t="shared" si="7"/>
        <v>133.75739644970415</v>
      </c>
      <c r="H169" s="541">
        <f t="shared" si="8"/>
        <v>16738.846153846152</v>
      </c>
      <c r="I169" s="446"/>
    </row>
    <row r="170" spans="2:9" ht="26.1" hidden="1" customHeight="1" thickTop="1" thickBot="1" x14ac:dyDescent="0.4">
      <c r="B170" s="366"/>
      <c r="C170" s="452">
        <v>45608</v>
      </c>
      <c r="D170" s="451">
        <v>155</v>
      </c>
      <c r="E170" s="454" t="s">
        <v>905</v>
      </c>
      <c r="F170" s="539">
        <f t="shared" si="6"/>
        <v>1750.1373626373627</v>
      </c>
      <c r="G170" s="540">
        <f t="shared" si="7"/>
        <v>134.62595097210482</v>
      </c>
      <c r="H170" s="541">
        <f t="shared" si="8"/>
        <v>16750.137362637364</v>
      </c>
      <c r="I170" s="446"/>
    </row>
    <row r="171" spans="2:9" ht="26.1" hidden="1" customHeight="1" thickTop="1" thickBot="1" x14ac:dyDescent="0.4">
      <c r="B171" s="366"/>
      <c r="C171" s="452">
        <v>45609</v>
      </c>
      <c r="D171" s="451">
        <v>156</v>
      </c>
      <c r="E171" s="454" t="s">
        <v>906</v>
      </c>
      <c r="F171" s="539">
        <f t="shared" si="6"/>
        <v>1761.4285714285716</v>
      </c>
      <c r="G171" s="540">
        <f t="shared" si="7"/>
        <v>135.49450549450552</v>
      </c>
      <c r="H171" s="541">
        <f t="shared" si="8"/>
        <v>16761.428571428572</v>
      </c>
      <c r="I171" s="446"/>
    </row>
    <row r="172" spans="2:9" ht="26.1" hidden="1" customHeight="1" thickTop="1" thickBot="1" x14ac:dyDescent="0.4">
      <c r="B172" s="366"/>
      <c r="C172" s="452">
        <v>45610</v>
      </c>
      <c r="D172" s="451">
        <v>157</v>
      </c>
      <c r="E172" s="454" t="s">
        <v>907</v>
      </c>
      <c r="F172" s="539">
        <f t="shared" si="6"/>
        <v>1772.7197802197804</v>
      </c>
      <c r="G172" s="540">
        <f t="shared" si="7"/>
        <v>136.36306001690619</v>
      </c>
      <c r="H172" s="541">
        <f t="shared" si="8"/>
        <v>16772.719780219781</v>
      </c>
      <c r="I172" s="446"/>
    </row>
    <row r="173" spans="2:9" ht="26.1" hidden="1" customHeight="1" thickTop="1" thickBot="1" x14ac:dyDescent="0.4">
      <c r="B173" s="366"/>
      <c r="C173" s="452">
        <v>45611</v>
      </c>
      <c r="D173" s="451">
        <v>158</v>
      </c>
      <c r="E173" s="454" t="s">
        <v>908</v>
      </c>
      <c r="F173" s="539">
        <f t="shared" si="6"/>
        <v>1784.0109890109891</v>
      </c>
      <c r="G173" s="540">
        <f t="shared" si="7"/>
        <v>137.23161453930686</v>
      </c>
      <c r="H173" s="541">
        <f t="shared" si="8"/>
        <v>16784.010989010989</v>
      </c>
      <c r="I173" s="446"/>
    </row>
    <row r="174" spans="2:9" ht="26.1" hidden="1" customHeight="1" thickTop="1" thickBot="1" x14ac:dyDescent="0.4">
      <c r="B174" s="366"/>
      <c r="C174" s="452">
        <v>45612</v>
      </c>
      <c r="D174" s="451">
        <v>159</v>
      </c>
      <c r="E174" s="454" t="s">
        <v>909</v>
      </c>
      <c r="F174" s="539">
        <f t="shared" si="6"/>
        <v>1795.302197802198</v>
      </c>
      <c r="G174" s="540">
        <f t="shared" si="7"/>
        <v>138.10016906170753</v>
      </c>
      <c r="H174" s="541">
        <f t="shared" si="8"/>
        <v>16795.302197802197</v>
      </c>
      <c r="I174" s="446"/>
    </row>
    <row r="175" spans="2:9" ht="26.1" hidden="1" customHeight="1" thickTop="1" thickBot="1" x14ac:dyDescent="0.4">
      <c r="B175" s="366"/>
      <c r="C175" s="452">
        <v>45613</v>
      </c>
      <c r="D175" s="451">
        <v>160</v>
      </c>
      <c r="E175" s="454" t="s">
        <v>910</v>
      </c>
      <c r="F175" s="539">
        <f t="shared" si="6"/>
        <v>1806.5934065934066</v>
      </c>
      <c r="G175" s="540">
        <f t="shared" si="7"/>
        <v>138.9687235841082</v>
      </c>
      <c r="H175" s="541">
        <f t="shared" si="8"/>
        <v>16806.593406593405</v>
      </c>
      <c r="I175" s="446"/>
    </row>
    <row r="176" spans="2:9" ht="26.1" hidden="1" customHeight="1" thickTop="1" thickBot="1" x14ac:dyDescent="0.4">
      <c r="B176" s="366"/>
      <c r="C176" s="452">
        <v>45614</v>
      </c>
      <c r="D176" s="451">
        <v>161</v>
      </c>
      <c r="E176" s="454" t="s">
        <v>904</v>
      </c>
      <c r="F176" s="539">
        <f t="shared" si="6"/>
        <v>1817.8846153846155</v>
      </c>
      <c r="G176" s="540">
        <f t="shared" si="7"/>
        <v>139.83727810650888</v>
      </c>
      <c r="H176" s="541">
        <f t="shared" si="8"/>
        <v>16817.884615384617</v>
      </c>
      <c r="I176" s="446"/>
    </row>
    <row r="177" spans="2:9" ht="26.1" hidden="1" customHeight="1" thickTop="1" thickBot="1" x14ac:dyDescent="0.4">
      <c r="B177" s="366"/>
      <c r="C177" s="452">
        <v>45615</v>
      </c>
      <c r="D177" s="451">
        <v>162</v>
      </c>
      <c r="E177" s="454" t="s">
        <v>905</v>
      </c>
      <c r="F177" s="539">
        <f t="shared" si="6"/>
        <v>1829.1758241758243</v>
      </c>
      <c r="G177" s="540">
        <f t="shared" si="7"/>
        <v>140.70583262890958</v>
      </c>
      <c r="H177" s="541">
        <f t="shared" si="8"/>
        <v>16829.175824175825</v>
      </c>
      <c r="I177" s="446"/>
    </row>
    <row r="178" spans="2:9" ht="26.1" hidden="1" customHeight="1" thickTop="1" thickBot="1" x14ac:dyDescent="0.4">
      <c r="B178" s="366"/>
      <c r="C178" s="452">
        <v>45616</v>
      </c>
      <c r="D178" s="451">
        <v>163</v>
      </c>
      <c r="E178" s="454" t="s">
        <v>906</v>
      </c>
      <c r="F178" s="539">
        <f t="shared" si="6"/>
        <v>1840.467032967033</v>
      </c>
      <c r="G178" s="540">
        <f t="shared" si="7"/>
        <v>141.57438715131022</v>
      </c>
      <c r="H178" s="541">
        <f t="shared" si="8"/>
        <v>16840.467032967033</v>
      </c>
      <c r="I178" s="446"/>
    </row>
    <row r="179" spans="2:9" ht="26.1" hidden="1" customHeight="1" thickTop="1" thickBot="1" x14ac:dyDescent="0.4">
      <c r="B179" s="366"/>
      <c r="C179" s="452">
        <v>45617</v>
      </c>
      <c r="D179" s="451">
        <v>164</v>
      </c>
      <c r="E179" s="454" t="s">
        <v>907</v>
      </c>
      <c r="F179" s="539">
        <f t="shared" si="6"/>
        <v>1851.7582417582419</v>
      </c>
      <c r="G179" s="540">
        <f t="shared" si="7"/>
        <v>142.44294167371092</v>
      </c>
      <c r="H179" s="541">
        <f t="shared" si="8"/>
        <v>16851.758241758242</v>
      </c>
      <c r="I179" s="446"/>
    </row>
    <row r="180" spans="2:9" ht="26.1" hidden="1" customHeight="1" thickTop="1" thickBot="1" x14ac:dyDescent="0.4">
      <c r="B180" s="366"/>
      <c r="C180" s="452">
        <v>45618</v>
      </c>
      <c r="D180" s="451">
        <v>165</v>
      </c>
      <c r="E180" s="454" t="s">
        <v>908</v>
      </c>
      <c r="F180" s="539">
        <f t="shared" si="6"/>
        <v>1863.0494505494507</v>
      </c>
      <c r="G180" s="540">
        <f t="shared" si="7"/>
        <v>143.31149619611159</v>
      </c>
      <c r="H180" s="541">
        <f t="shared" si="8"/>
        <v>16863.04945054945</v>
      </c>
      <c r="I180" s="446"/>
    </row>
    <row r="181" spans="2:9" ht="26.1" hidden="1" customHeight="1" thickTop="1" thickBot="1" x14ac:dyDescent="0.4">
      <c r="B181" s="366"/>
      <c r="C181" s="452">
        <v>45619</v>
      </c>
      <c r="D181" s="451">
        <v>166</v>
      </c>
      <c r="E181" s="454" t="s">
        <v>909</v>
      </c>
      <c r="F181" s="539">
        <f t="shared" si="6"/>
        <v>1874.3406593406594</v>
      </c>
      <c r="G181" s="540">
        <f t="shared" si="7"/>
        <v>144.18005071851226</v>
      </c>
      <c r="H181" s="541">
        <f t="shared" si="8"/>
        <v>16874.340659340658</v>
      </c>
      <c r="I181" s="446"/>
    </row>
    <row r="182" spans="2:9" ht="26.1" hidden="1" customHeight="1" thickTop="1" thickBot="1" x14ac:dyDescent="0.4">
      <c r="B182" s="366"/>
      <c r="C182" s="452">
        <v>45620</v>
      </c>
      <c r="D182" s="451">
        <v>167</v>
      </c>
      <c r="E182" s="454" t="s">
        <v>910</v>
      </c>
      <c r="F182" s="539">
        <f t="shared" si="6"/>
        <v>1885.6318681318683</v>
      </c>
      <c r="G182" s="540">
        <f t="shared" si="7"/>
        <v>145.04860524091293</v>
      </c>
      <c r="H182" s="541">
        <f t="shared" si="8"/>
        <v>16885.63186813187</v>
      </c>
      <c r="I182" s="446"/>
    </row>
    <row r="183" spans="2:9" ht="26.1" hidden="1" customHeight="1" thickTop="1" thickBot="1" x14ac:dyDescent="0.4">
      <c r="B183" s="366"/>
      <c r="C183" s="452">
        <v>45621</v>
      </c>
      <c r="D183" s="451">
        <v>168</v>
      </c>
      <c r="E183" s="454" t="s">
        <v>904</v>
      </c>
      <c r="F183" s="539">
        <f t="shared" si="6"/>
        <v>1896.9230769230771</v>
      </c>
      <c r="G183" s="540">
        <f t="shared" si="7"/>
        <v>145.91715976331363</v>
      </c>
      <c r="H183" s="541">
        <f t="shared" si="8"/>
        <v>16896.923076923078</v>
      </c>
      <c r="I183" s="446"/>
    </row>
    <row r="184" spans="2:9" ht="26.1" hidden="1" customHeight="1" thickTop="1" thickBot="1" x14ac:dyDescent="0.4">
      <c r="B184" s="366"/>
      <c r="C184" s="452">
        <v>45622</v>
      </c>
      <c r="D184" s="451">
        <v>169</v>
      </c>
      <c r="E184" s="454" t="s">
        <v>905</v>
      </c>
      <c r="F184" s="539">
        <f t="shared" si="6"/>
        <v>1908.2142857142858</v>
      </c>
      <c r="G184" s="540">
        <f t="shared" si="7"/>
        <v>146.78571428571428</v>
      </c>
      <c r="H184" s="541">
        <f t="shared" si="8"/>
        <v>16908.214285714286</v>
      </c>
      <c r="I184" s="446"/>
    </row>
    <row r="185" spans="2:9" ht="26.1" hidden="1" customHeight="1" thickTop="1" thickBot="1" x14ac:dyDescent="0.4">
      <c r="B185" s="366"/>
      <c r="C185" s="452">
        <v>45623</v>
      </c>
      <c r="D185" s="451">
        <v>170</v>
      </c>
      <c r="E185" s="454" t="s">
        <v>906</v>
      </c>
      <c r="F185" s="539">
        <f t="shared" si="6"/>
        <v>1919.5054945054947</v>
      </c>
      <c r="G185" s="540">
        <f t="shared" si="7"/>
        <v>147.65426880811498</v>
      </c>
      <c r="H185" s="541">
        <f t="shared" si="8"/>
        <v>16919.505494505494</v>
      </c>
      <c r="I185" s="446"/>
    </row>
    <row r="186" spans="2:9" ht="26.1" hidden="1" customHeight="1" thickTop="1" thickBot="1" x14ac:dyDescent="0.4">
      <c r="B186" s="366"/>
      <c r="C186" s="452">
        <v>45624</v>
      </c>
      <c r="D186" s="451">
        <v>171</v>
      </c>
      <c r="E186" s="454" t="s">
        <v>907</v>
      </c>
      <c r="F186" s="539">
        <f t="shared" si="6"/>
        <v>1930.7967032967035</v>
      </c>
      <c r="G186" s="540">
        <f t="shared" si="7"/>
        <v>148.52282333051565</v>
      </c>
      <c r="H186" s="541">
        <f t="shared" si="8"/>
        <v>16930.796703296703</v>
      </c>
      <c r="I186" s="446"/>
    </row>
    <row r="187" spans="2:9" ht="26.1" hidden="1" customHeight="1" thickTop="1" thickBot="1" x14ac:dyDescent="0.4">
      <c r="B187" s="366"/>
      <c r="C187" s="452">
        <v>45625</v>
      </c>
      <c r="D187" s="451">
        <v>172</v>
      </c>
      <c r="E187" s="454" t="s">
        <v>908</v>
      </c>
      <c r="F187" s="539">
        <f t="shared" si="6"/>
        <v>1942.0879120879122</v>
      </c>
      <c r="G187" s="540">
        <f t="shared" si="7"/>
        <v>149.39137785291632</v>
      </c>
      <c r="H187" s="541">
        <f t="shared" si="8"/>
        <v>16942.087912087911</v>
      </c>
      <c r="I187" s="446"/>
    </row>
    <row r="188" spans="2:9" ht="26.1" hidden="1" customHeight="1" thickTop="1" thickBot="1" x14ac:dyDescent="0.4">
      <c r="B188" s="366"/>
      <c r="C188" s="452">
        <v>45626</v>
      </c>
      <c r="D188" s="451">
        <v>173</v>
      </c>
      <c r="E188" s="454" t="s">
        <v>909</v>
      </c>
      <c r="F188" s="539">
        <f t="shared" si="6"/>
        <v>1953.379120879121</v>
      </c>
      <c r="G188" s="540">
        <f t="shared" si="7"/>
        <v>150.25993237531699</v>
      </c>
      <c r="H188" s="541">
        <f t="shared" si="8"/>
        <v>16953.379120879123</v>
      </c>
      <c r="I188" s="446"/>
    </row>
    <row r="189" spans="2:9" ht="26.1" hidden="1" customHeight="1" thickTop="1" thickBot="1" x14ac:dyDescent="0.4">
      <c r="B189" s="366"/>
      <c r="C189" s="452">
        <v>45627</v>
      </c>
      <c r="D189" s="451">
        <v>174</v>
      </c>
      <c r="E189" s="454" t="s">
        <v>910</v>
      </c>
      <c r="F189" s="539">
        <f t="shared" si="6"/>
        <v>1964.6703296703297</v>
      </c>
      <c r="G189" s="540">
        <f t="shared" si="7"/>
        <v>151.12848689771766</v>
      </c>
      <c r="H189" s="541">
        <f t="shared" si="8"/>
        <v>16964.670329670331</v>
      </c>
      <c r="I189" s="446"/>
    </row>
    <row r="190" spans="2:9" ht="26.1" hidden="1" customHeight="1" thickTop="1" thickBot="1" x14ac:dyDescent="0.4">
      <c r="B190" s="366"/>
      <c r="C190" s="452">
        <v>45628</v>
      </c>
      <c r="D190" s="451">
        <v>175</v>
      </c>
      <c r="E190" s="454" t="s">
        <v>904</v>
      </c>
      <c r="F190" s="539">
        <f t="shared" si="6"/>
        <v>1975.9615384615386</v>
      </c>
      <c r="G190" s="540">
        <f t="shared" si="7"/>
        <v>151.99704142011836</v>
      </c>
      <c r="H190" s="541">
        <f t="shared" si="8"/>
        <v>16975.961538461539</v>
      </c>
      <c r="I190" s="446"/>
    </row>
    <row r="191" spans="2:9" ht="26.1" hidden="1" customHeight="1" thickTop="1" thickBot="1" x14ac:dyDescent="0.4">
      <c r="B191" s="366"/>
      <c r="C191" s="452">
        <v>45629</v>
      </c>
      <c r="D191" s="451">
        <v>176</v>
      </c>
      <c r="E191" s="454" t="s">
        <v>905</v>
      </c>
      <c r="F191" s="539">
        <f t="shared" si="6"/>
        <v>1987.2527472527474</v>
      </c>
      <c r="G191" s="540">
        <f t="shared" si="7"/>
        <v>152.86559594251904</v>
      </c>
      <c r="H191" s="541">
        <f t="shared" si="8"/>
        <v>16987.252747252747</v>
      </c>
      <c r="I191" s="446"/>
    </row>
    <row r="192" spans="2:9" ht="26.1" hidden="1" customHeight="1" thickTop="1" thickBot="1" x14ac:dyDescent="0.4">
      <c r="B192" s="366"/>
      <c r="C192" s="452">
        <v>45630</v>
      </c>
      <c r="D192" s="451">
        <v>177</v>
      </c>
      <c r="E192" s="454" t="s">
        <v>906</v>
      </c>
      <c r="F192" s="539">
        <f t="shared" si="6"/>
        <v>1998.5439560439561</v>
      </c>
      <c r="G192" s="540">
        <f t="shared" si="7"/>
        <v>153.73415046491971</v>
      </c>
      <c r="H192" s="541">
        <f t="shared" si="8"/>
        <v>16998.543956043955</v>
      </c>
      <c r="I192" s="446"/>
    </row>
    <row r="193" spans="2:9" ht="26.1" hidden="1" customHeight="1" thickTop="1" thickBot="1" x14ac:dyDescent="0.4">
      <c r="B193" s="366"/>
      <c r="C193" s="452">
        <v>45631</v>
      </c>
      <c r="D193" s="451">
        <v>178</v>
      </c>
      <c r="E193" s="454" t="s">
        <v>907</v>
      </c>
      <c r="F193" s="539">
        <f t="shared" si="6"/>
        <v>2009.835164835165</v>
      </c>
      <c r="G193" s="540">
        <f t="shared" si="7"/>
        <v>154.60270498732038</v>
      </c>
      <c r="H193" s="541">
        <f t="shared" si="8"/>
        <v>17009.835164835164</v>
      </c>
      <c r="I193" s="446"/>
    </row>
    <row r="194" spans="2:9" ht="26.1" hidden="1" customHeight="1" thickTop="1" thickBot="1" x14ac:dyDescent="0.4">
      <c r="B194" s="366"/>
      <c r="C194" s="452">
        <v>45632</v>
      </c>
      <c r="D194" s="451">
        <v>179</v>
      </c>
      <c r="E194" s="454" t="s">
        <v>908</v>
      </c>
      <c r="F194" s="539">
        <f t="shared" si="6"/>
        <v>2021.1263736263738</v>
      </c>
      <c r="G194" s="540">
        <f t="shared" si="7"/>
        <v>155.47125950972105</v>
      </c>
      <c r="H194" s="541">
        <f t="shared" si="8"/>
        <v>17021.126373626375</v>
      </c>
      <c r="I194" s="446"/>
    </row>
    <row r="195" spans="2:9" ht="26.1" hidden="1" customHeight="1" thickTop="1" thickBot="1" x14ac:dyDescent="0.4">
      <c r="B195" s="366"/>
      <c r="C195" s="452">
        <v>45633</v>
      </c>
      <c r="D195" s="451">
        <v>180</v>
      </c>
      <c r="E195" s="454" t="s">
        <v>909</v>
      </c>
      <c r="F195" s="539">
        <f t="shared" si="6"/>
        <v>2032.4175824175825</v>
      </c>
      <c r="G195" s="540">
        <f t="shared" si="7"/>
        <v>156.33981403212172</v>
      </c>
      <c r="H195" s="541">
        <f t="shared" si="8"/>
        <v>17032.417582417584</v>
      </c>
      <c r="I195" s="446"/>
    </row>
    <row r="196" spans="2:9" ht="26.1" hidden="1" customHeight="1" thickTop="1" thickBot="1" x14ac:dyDescent="0.4">
      <c r="B196" s="366"/>
      <c r="C196" s="452">
        <v>45634</v>
      </c>
      <c r="D196" s="451">
        <v>181</v>
      </c>
      <c r="E196" s="454" t="s">
        <v>910</v>
      </c>
      <c r="F196" s="539">
        <f t="shared" si="6"/>
        <v>2043.7087912087914</v>
      </c>
      <c r="G196" s="540">
        <f t="shared" si="7"/>
        <v>157.20836855452242</v>
      </c>
      <c r="H196" s="541">
        <f t="shared" si="8"/>
        <v>17043.708791208792</v>
      </c>
      <c r="I196" s="446"/>
    </row>
    <row r="197" spans="2:9" ht="26.1" hidden="1" customHeight="1" thickTop="1" thickBot="1" x14ac:dyDescent="0.4">
      <c r="B197" s="366"/>
      <c r="C197" s="452">
        <v>45635</v>
      </c>
      <c r="D197" s="451">
        <v>182</v>
      </c>
      <c r="E197" s="454" t="s">
        <v>904</v>
      </c>
      <c r="F197" s="539">
        <f t="shared" si="6"/>
        <v>2055</v>
      </c>
      <c r="G197" s="540">
        <f t="shared" si="7"/>
        <v>158.07692307692307</v>
      </c>
      <c r="H197" s="541">
        <f t="shared" si="8"/>
        <v>17055</v>
      </c>
      <c r="I197" s="446"/>
    </row>
    <row r="198" spans="2:9" ht="26.1" hidden="1" customHeight="1" thickTop="1" thickBot="1" x14ac:dyDescent="0.4">
      <c r="B198" s="366"/>
      <c r="C198" s="452">
        <v>45636</v>
      </c>
      <c r="D198" s="451">
        <v>183</v>
      </c>
      <c r="E198" s="454" t="s">
        <v>905</v>
      </c>
      <c r="F198" s="539">
        <f t="shared" si="6"/>
        <v>2066.2912087912091</v>
      </c>
      <c r="G198" s="540">
        <f t="shared" si="7"/>
        <v>158.94547759932377</v>
      </c>
      <c r="H198" s="541">
        <f t="shared" si="8"/>
        <v>17066.291208791208</v>
      </c>
      <c r="I198" s="446"/>
    </row>
    <row r="199" spans="2:9" ht="26.1" hidden="1" customHeight="1" thickTop="1" thickBot="1" x14ac:dyDescent="0.4">
      <c r="B199" s="366"/>
      <c r="C199" s="452">
        <v>45637</v>
      </c>
      <c r="D199" s="451">
        <v>184</v>
      </c>
      <c r="E199" s="454" t="s">
        <v>906</v>
      </c>
      <c r="F199" s="539">
        <f t="shared" si="6"/>
        <v>2077.5824175824177</v>
      </c>
      <c r="G199" s="540">
        <f t="shared" si="7"/>
        <v>159.81403212172444</v>
      </c>
      <c r="H199" s="541">
        <f t="shared" si="8"/>
        <v>17077.582417582416</v>
      </c>
      <c r="I199" s="446"/>
    </row>
    <row r="200" spans="2:9" ht="26.1" hidden="1" customHeight="1" thickTop="1" thickBot="1" x14ac:dyDescent="0.4">
      <c r="B200" s="366"/>
      <c r="C200" s="452">
        <v>45638</v>
      </c>
      <c r="D200" s="451">
        <v>185</v>
      </c>
      <c r="E200" s="454" t="s">
        <v>907</v>
      </c>
      <c r="F200" s="539">
        <f t="shared" si="6"/>
        <v>2088.8736263736264</v>
      </c>
      <c r="G200" s="540">
        <f t="shared" si="7"/>
        <v>160.68258664412511</v>
      </c>
      <c r="H200" s="541">
        <f t="shared" si="8"/>
        <v>17088.873626373628</v>
      </c>
      <c r="I200" s="446"/>
    </row>
    <row r="201" spans="2:9" ht="26.1" hidden="1" customHeight="1" thickTop="1" thickBot="1" x14ac:dyDescent="0.4">
      <c r="B201" s="366"/>
      <c r="C201" s="452">
        <v>45639</v>
      </c>
      <c r="D201" s="451">
        <v>186</v>
      </c>
      <c r="E201" s="454" t="s">
        <v>908</v>
      </c>
      <c r="F201" s="539">
        <f t="shared" si="6"/>
        <v>2100.1648351648355</v>
      </c>
      <c r="G201" s="540">
        <f t="shared" si="7"/>
        <v>161.55114116652581</v>
      </c>
      <c r="H201" s="541">
        <f t="shared" si="8"/>
        <v>17100.164835164836</v>
      </c>
      <c r="I201" s="446"/>
    </row>
    <row r="202" spans="2:9" ht="26.1" hidden="1" customHeight="1" thickTop="1" thickBot="1" x14ac:dyDescent="0.4">
      <c r="B202" s="366"/>
      <c r="C202" s="452">
        <v>45640</v>
      </c>
      <c r="D202" s="451">
        <v>187</v>
      </c>
      <c r="E202" s="454" t="s">
        <v>909</v>
      </c>
      <c r="F202" s="539">
        <f t="shared" si="6"/>
        <v>2111.4560439560441</v>
      </c>
      <c r="G202" s="540">
        <f t="shared" si="7"/>
        <v>162.41969568892648</v>
      </c>
      <c r="H202" s="541">
        <f t="shared" si="8"/>
        <v>17111.456043956045</v>
      </c>
      <c r="I202" s="446"/>
    </row>
    <row r="203" spans="2:9" ht="26.1" hidden="1" customHeight="1" thickTop="1" thickBot="1" x14ac:dyDescent="0.4">
      <c r="B203" s="366"/>
      <c r="C203" s="452">
        <v>45641</v>
      </c>
      <c r="D203" s="451">
        <v>188</v>
      </c>
      <c r="E203" s="454" t="s">
        <v>910</v>
      </c>
      <c r="F203" s="539">
        <f t="shared" si="6"/>
        <v>2122.7472527472528</v>
      </c>
      <c r="G203" s="540">
        <f t="shared" si="7"/>
        <v>163.28825021132712</v>
      </c>
      <c r="H203" s="541">
        <f t="shared" si="8"/>
        <v>17122.747252747253</v>
      </c>
      <c r="I203" s="446"/>
    </row>
    <row r="204" spans="2:9" ht="26.1" hidden="1" customHeight="1" thickTop="1" thickBot="1" x14ac:dyDescent="0.4">
      <c r="B204" s="366"/>
      <c r="C204" s="452">
        <v>45642</v>
      </c>
      <c r="D204" s="451">
        <v>189</v>
      </c>
      <c r="E204" s="454" t="s">
        <v>904</v>
      </c>
      <c r="F204" s="539">
        <f t="shared" si="6"/>
        <v>2134.0384615384619</v>
      </c>
      <c r="G204" s="540">
        <f t="shared" si="7"/>
        <v>164.15680473372782</v>
      </c>
      <c r="H204" s="541">
        <f t="shared" si="8"/>
        <v>17134.038461538461</v>
      </c>
      <c r="I204" s="446"/>
    </row>
    <row r="205" spans="2:9" ht="26.1" hidden="1" customHeight="1" thickTop="1" thickBot="1" x14ac:dyDescent="0.4">
      <c r="B205" s="366"/>
      <c r="C205" s="452">
        <v>45643</v>
      </c>
      <c r="D205" s="451">
        <v>190</v>
      </c>
      <c r="E205" s="454" t="s">
        <v>905</v>
      </c>
      <c r="F205" s="539">
        <f t="shared" si="6"/>
        <v>2145.3296703296705</v>
      </c>
      <c r="G205" s="540">
        <f t="shared" si="7"/>
        <v>165.0253592561285</v>
      </c>
      <c r="H205" s="541">
        <f t="shared" si="8"/>
        <v>17145.329670329669</v>
      </c>
      <c r="I205" s="446"/>
    </row>
    <row r="206" spans="2:9" ht="26.1" hidden="1" customHeight="1" thickTop="1" thickBot="1" x14ac:dyDescent="0.4">
      <c r="B206" s="366"/>
      <c r="C206" s="452">
        <v>45644</v>
      </c>
      <c r="D206" s="451">
        <v>191</v>
      </c>
      <c r="E206" s="454" t="s">
        <v>906</v>
      </c>
      <c r="F206" s="539">
        <f t="shared" si="6"/>
        <v>2156.6208791208792</v>
      </c>
      <c r="G206" s="540">
        <f t="shared" si="7"/>
        <v>165.89391377852917</v>
      </c>
      <c r="H206" s="541">
        <f t="shared" si="8"/>
        <v>17156.620879120877</v>
      </c>
      <c r="I206" s="446"/>
    </row>
    <row r="207" spans="2:9" ht="26.1" hidden="1" customHeight="1" thickTop="1" thickBot="1" x14ac:dyDescent="0.4">
      <c r="B207" s="366"/>
      <c r="C207" s="452">
        <v>45645</v>
      </c>
      <c r="D207" s="451">
        <v>192</v>
      </c>
      <c r="E207" s="454" t="s">
        <v>907</v>
      </c>
      <c r="F207" s="539">
        <f t="shared" si="6"/>
        <v>2167.9120879120883</v>
      </c>
      <c r="G207" s="540">
        <f t="shared" si="7"/>
        <v>166.76246830092987</v>
      </c>
      <c r="H207" s="541">
        <f t="shared" si="8"/>
        <v>17167.912087912089</v>
      </c>
      <c r="I207" s="446"/>
    </row>
    <row r="208" spans="2:9" ht="26.1" hidden="1" customHeight="1" thickTop="1" thickBot="1" x14ac:dyDescent="0.4">
      <c r="B208" s="366"/>
      <c r="C208" s="452">
        <v>45646</v>
      </c>
      <c r="D208" s="451">
        <v>193</v>
      </c>
      <c r="E208" s="454" t="s">
        <v>908</v>
      </c>
      <c r="F208" s="539">
        <f t="shared" ref="F208:F271" si="9">$E$8/$F$10*D208</f>
        <v>2179.2032967032969</v>
      </c>
      <c r="G208" s="540">
        <f t="shared" ref="G208:G271" si="10">F208/$C$12</f>
        <v>167.63102282333054</v>
      </c>
      <c r="H208" s="541">
        <f t="shared" si="8"/>
        <v>17179.203296703297</v>
      </c>
      <c r="I208" s="446"/>
    </row>
    <row r="209" spans="2:9" ht="26.1" hidden="1" customHeight="1" thickTop="1" thickBot="1" x14ac:dyDescent="0.4">
      <c r="B209" s="366"/>
      <c r="C209" s="452">
        <v>45647</v>
      </c>
      <c r="D209" s="451">
        <v>194</v>
      </c>
      <c r="E209" s="454" t="s">
        <v>909</v>
      </c>
      <c r="F209" s="539">
        <f t="shared" si="9"/>
        <v>2190.4945054945056</v>
      </c>
      <c r="G209" s="540">
        <f t="shared" si="10"/>
        <v>168.49957734573121</v>
      </c>
      <c r="H209" s="541">
        <f t="shared" ref="H209:H272" si="11">$C$8+F209</f>
        <v>17190.494505494506</v>
      </c>
      <c r="I209" s="446"/>
    </row>
    <row r="210" spans="2:9" ht="26.1" hidden="1" customHeight="1" thickTop="1" thickBot="1" x14ac:dyDescent="0.4">
      <c r="B210" s="366"/>
      <c r="C210" s="452">
        <v>45648</v>
      </c>
      <c r="D210" s="451">
        <v>195</v>
      </c>
      <c r="E210" s="454" t="s">
        <v>910</v>
      </c>
      <c r="F210" s="539">
        <f t="shared" si="9"/>
        <v>2201.7857142857142</v>
      </c>
      <c r="G210" s="540">
        <f t="shared" si="10"/>
        <v>169.36813186813185</v>
      </c>
      <c r="H210" s="541">
        <f t="shared" si="11"/>
        <v>17201.785714285714</v>
      </c>
      <c r="I210" s="446"/>
    </row>
    <row r="211" spans="2:9" ht="26.1" hidden="1" customHeight="1" thickTop="1" thickBot="1" x14ac:dyDescent="0.4">
      <c r="B211" s="366"/>
      <c r="C211" s="452">
        <v>45649</v>
      </c>
      <c r="D211" s="451">
        <v>196</v>
      </c>
      <c r="E211" s="454" t="s">
        <v>904</v>
      </c>
      <c r="F211" s="539">
        <f t="shared" si="9"/>
        <v>2213.0769230769233</v>
      </c>
      <c r="G211" s="540">
        <f t="shared" si="10"/>
        <v>170.23668639053255</v>
      </c>
      <c r="H211" s="541">
        <f t="shared" si="11"/>
        <v>17213.076923076922</v>
      </c>
      <c r="I211" s="446"/>
    </row>
    <row r="212" spans="2:9" ht="26.1" hidden="1" customHeight="1" thickTop="1" thickBot="1" x14ac:dyDescent="0.4">
      <c r="B212" s="366"/>
      <c r="C212" s="452">
        <v>45650</v>
      </c>
      <c r="D212" s="451">
        <v>197</v>
      </c>
      <c r="E212" s="454" t="s">
        <v>905</v>
      </c>
      <c r="F212" s="539">
        <f t="shared" si="9"/>
        <v>2224.368131868132</v>
      </c>
      <c r="G212" s="540">
        <f t="shared" si="10"/>
        <v>171.10524091293323</v>
      </c>
      <c r="H212" s="541">
        <f t="shared" si="11"/>
        <v>17224.368131868134</v>
      </c>
      <c r="I212" s="446"/>
    </row>
    <row r="213" spans="2:9" ht="26.1" hidden="1" customHeight="1" thickTop="1" thickBot="1" x14ac:dyDescent="0.4">
      <c r="B213" s="366"/>
      <c r="C213" s="452">
        <v>45651</v>
      </c>
      <c r="D213" s="451">
        <v>198</v>
      </c>
      <c r="E213" s="454" t="s">
        <v>906</v>
      </c>
      <c r="F213" s="539">
        <f t="shared" si="9"/>
        <v>2235.6593406593406</v>
      </c>
      <c r="G213" s="540">
        <f t="shared" si="10"/>
        <v>171.9737954353339</v>
      </c>
      <c r="H213" s="541">
        <f t="shared" si="11"/>
        <v>17235.659340659342</v>
      </c>
      <c r="I213" s="446"/>
    </row>
    <row r="214" spans="2:9" ht="26.1" hidden="1" customHeight="1" thickTop="1" thickBot="1" x14ac:dyDescent="0.4">
      <c r="B214" s="366"/>
      <c r="C214" s="452">
        <v>45652</v>
      </c>
      <c r="D214" s="451">
        <v>199</v>
      </c>
      <c r="E214" s="454" t="s">
        <v>907</v>
      </c>
      <c r="F214" s="539">
        <f t="shared" si="9"/>
        <v>2246.9505494505497</v>
      </c>
      <c r="G214" s="540">
        <f t="shared" si="10"/>
        <v>172.8423499577346</v>
      </c>
      <c r="H214" s="541">
        <f t="shared" si="11"/>
        <v>17246.95054945055</v>
      </c>
      <c r="I214" s="446"/>
    </row>
    <row r="215" spans="2:9" ht="26.1" hidden="1" customHeight="1" thickTop="1" thickBot="1" x14ac:dyDescent="0.4">
      <c r="B215" s="366"/>
      <c r="C215" s="452">
        <v>45653</v>
      </c>
      <c r="D215" s="451">
        <v>200</v>
      </c>
      <c r="E215" s="454" t="s">
        <v>908</v>
      </c>
      <c r="F215" s="539">
        <f t="shared" si="9"/>
        <v>2258.2417582417584</v>
      </c>
      <c r="G215" s="540">
        <f t="shared" si="10"/>
        <v>173.71090448013527</v>
      </c>
      <c r="H215" s="541">
        <f t="shared" si="11"/>
        <v>17258.241758241758</v>
      </c>
      <c r="I215" s="446"/>
    </row>
    <row r="216" spans="2:9" ht="26.1" hidden="1" customHeight="1" thickTop="1" thickBot="1" x14ac:dyDescent="0.4">
      <c r="B216" s="366"/>
      <c r="C216" s="452">
        <v>45654</v>
      </c>
      <c r="D216" s="451">
        <v>201</v>
      </c>
      <c r="E216" s="454" t="s">
        <v>909</v>
      </c>
      <c r="F216" s="539">
        <f t="shared" si="9"/>
        <v>2269.532967032967</v>
      </c>
      <c r="G216" s="540">
        <f t="shared" si="10"/>
        <v>174.57945900253591</v>
      </c>
      <c r="H216" s="541">
        <f t="shared" si="11"/>
        <v>17269.532967032967</v>
      </c>
      <c r="I216" s="446"/>
    </row>
    <row r="217" spans="2:9" ht="26.1" hidden="1" customHeight="1" thickTop="1" thickBot="1" x14ac:dyDescent="0.4">
      <c r="B217" s="366"/>
      <c r="C217" s="452">
        <v>45655</v>
      </c>
      <c r="D217" s="451">
        <v>202</v>
      </c>
      <c r="E217" s="454" t="s">
        <v>910</v>
      </c>
      <c r="F217" s="539">
        <f t="shared" si="9"/>
        <v>2280.8241758241761</v>
      </c>
      <c r="G217" s="540">
        <f t="shared" si="10"/>
        <v>175.44801352493661</v>
      </c>
      <c r="H217" s="541">
        <f t="shared" si="11"/>
        <v>17280.824175824175</v>
      </c>
      <c r="I217" s="446"/>
    </row>
    <row r="218" spans="2:9" ht="26.1" hidden="1" customHeight="1" thickTop="1" thickBot="1" x14ac:dyDescent="0.4">
      <c r="B218" s="366"/>
      <c r="C218" s="452">
        <v>45656</v>
      </c>
      <c r="D218" s="451">
        <v>203</v>
      </c>
      <c r="E218" s="454" t="s">
        <v>904</v>
      </c>
      <c r="F218" s="539">
        <f t="shared" si="9"/>
        <v>2292.1153846153848</v>
      </c>
      <c r="G218" s="540">
        <f t="shared" si="10"/>
        <v>176.31656804733728</v>
      </c>
      <c r="H218" s="541">
        <f t="shared" si="11"/>
        <v>17292.115384615383</v>
      </c>
      <c r="I218" s="446"/>
    </row>
    <row r="219" spans="2:9" ht="26.1" hidden="1" customHeight="1" thickTop="1" thickBot="1" x14ac:dyDescent="0.4">
      <c r="B219" s="366"/>
      <c r="C219" s="452">
        <v>45657</v>
      </c>
      <c r="D219" s="451">
        <v>204</v>
      </c>
      <c r="E219" s="454" t="s">
        <v>905</v>
      </c>
      <c r="F219" s="539">
        <f t="shared" si="9"/>
        <v>2303.4065934065934</v>
      </c>
      <c r="G219" s="540">
        <f t="shared" si="10"/>
        <v>177.18512256973796</v>
      </c>
      <c r="H219" s="541">
        <f t="shared" si="11"/>
        <v>17303.406593406595</v>
      </c>
      <c r="I219" s="446"/>
    </row>
    <row r="220" spans="2:9" ht="26.1" hidden="1" customHeight="1" thickTop="1" thickBot="1" x14ac:dyDescent="0.4">
      <c r="B220" s="366"/>
      <c r="C220" s="452">
        <v>45658</v>
      </c>
      <c r="D220" s="451">
        <v>205</v>
      </c>
      <c r="E220" s="454" t="s">
        <v>906</v>
      </c>
      <c r="F220" s="539">
        <f t="shared" si="9"/>
        <v>2314.6978021978025</v>
      </c>
      <c r="G220" s="540">
        <f t="shared" si="10"/>
        <v>178.05367709213866</v>
      </c>
      <c r="H220" s="541">
        <f t="shared" si="11"/>
        <v>17314.697802197803</v>
      </c>
      <c r="I220" s="446"/>
    </row>
    <row r="221" spans="2:9" ht="26.1" hidden="1" customHeight="1" thickTop="1" thickBot="1" x14ac:dyDescent="0.4">
      <c r="B221" s="366"/>
      <c r="C221" s="452">
        <v>45659</v>
      </c>
      <c r="D221" s="451">
        <v>206</v>
      </c>
      <c r="E221" s="454" t="s">
        <v>907</v>
      </c>
      <c r="F221" s="539">
        <f t="shared" si="9"/>
        <v>2325.9890109890111</v>
      </c>
      <c r="G221" s="540">
        <f t="shared" si="10"/>
        <v>178.92223161453933</v>
      </c>
      <c r="H221" s="541">
        <f t="shared" si="11"/>
        <v>17325.989010989011</v>
      </c>
      <c r="I221" s="446"/>
    </row>
    <row r="222" spans="2:9" ht="26.1" hidden="1" customHeight="1" thickTop="1" thickBot="1" x14ac:dyDescent="0.4">
      <c r="B222" s="366"/>
      <c r="C222" s="452">
        <v>45660</v>
      </c>
      <c r="D222" s="451">
        <v>207</v>
      </c>
      <c r="E222" s="454" t="s">
        <v>908</v>
      </c>
      <c r="F222" s="539">
        <f t="shared" si="9"/>
        <v>2337.2802197802198</v>
      </c>
      <c r="G222" s="540">
        <f t="shared" si="10"/>
        <v>179.79078613693997</v>
      </c>
      <c r="H222" s="541">
        <f t="shared" si="11"/>
        <v>17337.280219780219</v>
      </c>
      <c r="I222" s="446"/>
    </row>
    <row r="223" spans="2:9" ht="26.1" hidden="1" customHeight="1" thickTop="1" thickBot="1" x14ac:dyDescent="0.4">
      <c r="B223" s="366"/>
      <c r="C223" s="452">
        <v>45661</v>
      </c>
      <c r="D223" s="451">
        <v>208</v>
      </c>
      <c r="E223" s="454" t="s">
        <v>909</v>
      </c>
      <c r="F223" s="539">
        <f t="shared" si="9"/>
        <v>2348.5714285714289</v>
      </c>
      <c r="G223" s="540">
        <f t="shared" si="10"/>
        <v>180.65934065934067</v>
      </c>
      <c r="H223" s="541">
        <f t="shared" si="11"/>
        <v>17348.571428571428</v>
      </c>
      <c r="I223" s="446"/>
    </row>
    <row r="224" spans="2:9" ht="26.1" hidden="1" customHeight="1" thickTop="1" thickBot="1" x14ac:dyDescent="0.4">
      <c r="B224" s="366"/>
      <c r="C224" s="452">
        <v>45662</v>
      </c>
      <c r="D224" s="451">
        <v>209</v>
      </c>
      <c r="E224" s="454" t="s">
        <v>910</v>
      </c>
      <c r="F224" s="539">
        <f t="shared" si="9"/>
        <v>2359.8626373626375</v>
      </c>
      <c r="G224" s="540">
        <f t="shared" si="10"/>
        <v>181.52789518174134</v>
      </c>
      <c r="H224" s="541">
        <f t="shared" si="11"/>
        <v>17359.862637362639</v>
      </c>
      <c r="I224" s="446"/>
    </row>
    <row r="225" spans="2:9" ht="26.1" hidden="1" customHeight="1" thickTop="1" thickBot="1" x14ac:dyDescent="0.4">
      <c r="B225" s="366"/>
      <c r="C225" s="452">
        <v>45663</v>
      </c>
      <c r="D225" s="451">
        <v>210</v>
      </c>
      <c r="E225" s="454" t="s">
        <v>904</v>
      </c>
      <c r="F225" s="539">
        <f t="shared" si="9"/>
        <v>2371.1538461538462</v>
      </c>
      <c r="G225" s="540">
        <f t="shared" si="10"/>
        <v>182.39644970414201</v>
      </c>
      <c r="H225" s="541">
        <f t="shared" si="11"/>
        <v>17371.153846153848</v>
      </c>
      <c r="I225" s="446"/>
    </row>
    <row r="226" spans="2:9" ht="26.1" hidden="1" customHeight="1" thickTop="1" thickBot="1" x14ac:dyDescent="0.4">
      <c r="B226" s="366"/>
      <c r="C226" s="452">
        <v>45664</v>
      </c>
      <c r="D226" s="451">
        <v>211</v>
      </c>
      <c r="E226" s="454" t="s">
        <v>905</v>
      </c>
      <c r="F226" s="539">
        <f t="shared" si="9"/>
        <v>2382.4450549450553</v>
      </c>
      <c r="G226" s="540">
        <f t="shared" si="10"/>
        <v>183.26500422654271</v>
      </c>
      <c r="H226" s="541">
        <f t="shared" si="11"/>
        <v>17382.445054945056</v>
      </c>
      <c r="I226" s="446"/>
    </row>
    <row r="227" spans="2:9" ht="26.1" hidden="1" customHeight="1" thickTop="1" thickBot="1" x14ac:dyDescent="0.4">
      <c r="B227" s="366"/>
      <c r="C227" s="452">
        <v>45665</v>
      </c>
      <c r="D227" s="451">
        <v>212</v>
      </c>
      <c r="E227" s="454" t="s">
        <v>906</v>
      </c>
      <c r="F227" s="539">
        <f t="shared" si="9"/>
        <v>2393.7362637362639</v>
      </c>
      <c r="G227" s="540">
        <f t="shared" si="10"/>
        <v>184.13355874894339</v>
      </c>
      <c r="H227" s="541">
        <f t="shared" si="11"/>
        <v>17393.736263736264</v>
      </c>
      <c r="I227" s="446"/>
    </row>
    <row r="228" spans="2:9" ht="26.1" hidden="1" customHeight="1" thickTop="1" thickBot="1" x14ac:dyDescent="0.4">
      <c r="B228" s="366"/>
      <c r="C228" s="452">
        <v>45666</v>
      </c>
      <c r="D228" s="451">
        <v>213</v>
      </c>
      <c r="E228" s="454" t="s">
        <v>907</v>
      </c>
      <c r="F228" s="539">
        <f t="shared" si="9"/>
        <v>2405.0274725274726</v>
      </c>
      <c r="G228" s="540">
        <f t="shared" si="10"/>
        <v>185.00211327134406</v>
      </c>
      <c r="H228" s="541">
        <f t="shared" si="11"/>
        <v>17405.027472527472</v>
      </c>
      <c r="I228" s="446"/>
    </row>
    <row r="229" spans="2:9" ht="26.1" hidden="1" customHeight="1" thickTop="1" thickBot="1" x14ac:dyDescent="0.4">
      <c r="B229" s="366"/>
      <c r="C229" s="452">
        <v>45667</v>
      </c>
      <c r="D229" s="451">
        <v>214</v>
      </c>
      <c r="E229" s="454" t="s">
        <v>908</v>
      </c>
      <c r="F229" s="539">
        <f t="shared" si="9"/>
        <v>2416.3186813186817</v>
      </c>
      <c r="G229" s="540">
        <f t="shared" si="10"/>
        <v>185.87066779374476</v>
      </c>
      <c r="H229" s="541">
        <f t="shared" si="11"/>
        <v>17416.31868131868</v>
      </c>
      <c r="I229" s="446"/>
    </row>
    <row r="230" spans="2:9" ht="26.1" hidden="1" customHeight="1" thickTop="1" thickBot="1" x14ac:dyDescent="0.4">
      <c r="B230" s="366"/>
      <c r="C230" s="452">
        <v>45668</v>
      </c>
      <c r="D230" s="451">
        <v>215</v>
      </c>
      <c r="E230" s="454" t="s">
        <v>909</v>
      </c>
      <c r="F230" s="539">
        <f t="shared" si="9"/>
        <v>2427.6098901098903</v>
      </c>
      <c r="G230" s="540">
        <f t="shared" si="10"/>
        <v>186.7392223161454</v>
      </c>
      <c r="H230" s="541">
        <f t="shared" si="11"/>
        <v>17427.609890109889</v>
      </c>
      <c r="I230" s="446"/>
    </row>
    <row r="231" spans="2:9" ht="26.1" hidden="1" customHeight="1" thickTop="1" thickBot="1" x14ac:dyDescent="0.4">
      <c r="B231" s="366"/>
      <c r="C231" s="452">
        <v>45669</v>
      </c>
      <c r="D231" s="451">
        <v>216</v>
      </c>
      <c r="E231" s="454" t="s">
        <v>910</v>
      </c>
      <c r="F231" s="539">
        <f t="shared" si="9"/>
        <v>2438.901098901099</v>
      </c>
      <c r="G231" s="540">
        <f t="shared" si="10"/>
        <v>187.60777683854607</v>
      </c>
      <c r="H231" s="541">
        <f t="shared" si="11"/>
        <v>17438.9010989011</v>
      </c>
      <c r="I231" s="446"/>
    </row>
    <row r="232" spans="2:9" ht="26.1" hidden="1" customHeight="1" thickTop="1" thickBot="1" x14ac:dyDescent="0.4">
      <c r="B232" s="366"/>
      <c r="C232" s="452">
        <v>45670</v>
      </c>
      <c r="D232" s="451">
        <v>217</v>
      </c>
      <c r="E232" s="454" t="s">
        <v>904</v>
      </c>
      <c r="F232" s="539">
        <f t="shared" si="9"/>
        <v>2450.1923076923081</v>
      </c>
      <c r="G232" s="540">
        <f t="shared" si="10"/>
        <v>188.47633136094677</v>
      </c>
      <c r="H232" s="541">
        <f t="shared" si="11"/>
        <v>17450.192307692309</v>
      </c>
      <c r="I232" s="446"/>
    </row>
    <row r="233" spans="2:9" ht="26.1" hidden="1" customHeight="1" thickTop="1" thickBot="1" x14ac:dyDescent="0.4">
      <c r="B233" s="366"/>
      <c r="C233" s="452">
        <v>45671</v>
      </c>
      <c r="D233" s="451">
        <v>218</v>
      </c>
      <c r="E233" s="454" t="s">
        <v>905</v>
      </c>
      <c r="F233" s="539">
        <f t="shared" si="9"/>
        <v>2461.4835164835167</v>
      </c>
      <c r="G233" s="540">
        <f t="shared" si="10"/>
        <v>189.34488588334744</v>
      </c>
      <c r="H233" s="541">
        <f t="shared" si="11"/>
        <v>17461.483516483517</v>
      </c>
      <c r="I233" s="446"/>
    </row>
    <row r="234" spans="2:9" ht="26.1" hidden="1" customHeight="1" thickTop="1" thickBot="1" x14ac:dyDescent="0.4">
      <c r="B234" s="366"/>
      <c r="C234" s="452">
        <v>45672</v>
      </c>
      <c r="D234" s="451">
        <v>219</v>
      </c>
      <c r="E234" s="454" t="s">
        <v>906</v>
      </c>
      <c r="F234" s="539">
        <f t="shared" si="9"/>
        <v>2472.7747252747254</v>
      </c>
      <c r="G234" s="540">
        <f t="shared" si="10"/>
        <v>190.21344040574812</v>
      </c>
      <c r="H234" s="541">
        <f t="shared" si="11"/>
        <v>17472.774725274725</v>
      </c>
      <c r="I234" s="446"/>
    </row>
    <row r="235" spans="2:9" ht="26.1" hidden="1" customHeight="1" thickTop="1" thickBot="1" x14ac:dyDescent="0.4">
      <c r="B235" s="366"/>
      <c r="C235" s="452">
        <v>45673</v>
      </c>
      <c r="D235" s="451">
        <v>220</v>
      </c>
      <c r="E235" s="454" t="s">
        <v>907</v>
      </c>
      <c r="F235" s="539">
        <f t="shared" si="9"/>
        <v>2484.065934065934</v>
      </c>
      <c r="G235" s="540">
        <f t="shared" si="10"/>
        <v>191.08199492814876</v>
      </c>
      <c r="H235" s="541">
        <f t="shared" si="11"/>
        <v>17484.065934065933</v>
      </c>
      <c r="I235" s="446"/>
    </row>
    <row r="236" spans="2:9" ht="26.1" hidden="1" customHeight="1" thickTop="1" thickBot="1" x14ac:dyDescent="0.4">
      <c r="B236" s="366"/>
      <c r="C236" s="452">
        <v>45674</v>
      </c>
      <c r="D236" s="451">
        <v>221</v>
      </c>
      <c r="E236" s="454" t="s">
        <v>908</v>
      </c>
      <c r="F236" s="539">
        <f t="shared" si="9"/>
        <v>2495.3571428571431</v>
      </c>
      <c r="G236" s="540">
        <f t="shared" si="10"/>
        <v>191.95054945054946</v>
      </c>
      <c r="H236" s="541">
        <f t="shared" si="11"/>
        <v>17495.357142857145</v>
      </c>
      <c r="I236" s="446"/>
    </row>
    <row r="237" spans="2:9" ht="26.1" hidden="1" customHeight="1" thickTop="1" thickBot="1" x14ac:dyDescent="0.4">
      <c r="B237" s="366"/>
      <c r="C237" s="452">
        <v>45675</v>
      </c>
      <c r="D237" s="451">
        <v>222</v>
      </c>
      <c r="E237" s="454" t="s">
        <v>909</v>
      </c>
      <c r="F237" s="539">
        <f t="shared" si="9"/>
        <v>2506.6483516483518</v>
      </c>
      <c r="G237" s="540">
        <f t="shared" si="10"/>
        <v>192.81910397295013</v>
      </c>
      <c r="H237" s="541">
        <f t="shared" si="11"/>
        <v>17506.648351648353</v>
      </c>
      <c r="I237" s="446"/>
    </row>
    <row r="238" spans="2:9" ht="26.1" hidden="1" customHeight="1" thickTop="1" thickBot="1" x14ac:dyDescent="0.4">
      <c r="B238" s="366"/>
      <c r="C238" s="452">
        <v>45676</v>
      </c>
      <c r="D238" s="451">
        <v>223</v>
      </c>
      <c r="E238" s="454" t="s">
        <v>910</v>
      </c>
      <c r="F238" s="539">
        <f t="shared" si="9"/>
        <v>2517.9395604395604</v>
      </c>
      <c r="G238" s="540">
        <f t="shared" si="10"/>
        <v>193.6876584953508</v>
      </c>
      <c r="H238" s="541">
        <f t="shared" si="11"/>
        <v>17517.939560439561</v>
      </c>
      <c r="I238" s="446"/>
    </row>
    <row r="239" spans="2:9" ht="26.1" hidden="1" customHeight="1" thickTop="1" thickBot="1" x14ac:dyDescent="0.4">
      <c r="B239" s="366"/>
      <c r="C239" s="452">
        <v>45677</v>
      </c>
      <c r="D239" s="451">
        <v>224</v>
      </c>
      <c r="E239" s="454" t="s">
        <v>904</v>
      </c>
      <c r="F239" s="539">
        <f t="shared" si="9"/>
        <v>2529.2307692307695</v>
      </c>
      <c r="G239" s="540">
        <f t="shared" si="10"/>
        <v>194.5562130177515</v>
      </c>
      <c r="H239" s="541">
        <f t="shared" si="11"/>
        <v>17529.23076923077</v>
      </c>
      <c r="I239" s="446"/>
    </row>
    <row r="240" spans="2:9" ht="26.1" hidden="1" customHeight="1" thickTop="1" thickBot="1" x14ac:dyDescent="0.4">
      <c r="B240" s="366"/>
      <c r="C240" s="452">
        <v>45678</v>
      </c>
      <c r="D240" s="451">
        <v>225</v>
      </c>
      <c r="E240" s="454" t="s">
        <v>905</v>
      </c>
      <c r="F240" s="539">
        <f t="shared" si="9"/>
        <v>2540.5219780219782</v>
      </c>
      <c r="G240" s="540">
        <f t="shared" si="10"/>
        <v>195.42476754015217</v>
      </c>
      <c r="H240" s="541">
        <f t="shared" si="11"/>
        <v>17540.521978021978</v>
      </c>
      <c r="I240" s="446"/>
    </row>
    <row r="241" spans="2:9" ht="26.1" hidden="1" customHeight="1" thickTop="1" thickBot="1" x14ac:dyDescent="0.4">
      <c r="B241" s="366"/>
      <c r="C241" s="452">
        <v>45679</v>
      </c>
      <c r="D241" s="451">
        <v>226</v>
      </c>
      <c r="E241" s="454" t="s">
        <v>906</v>
      </c>
      <c r="F241" s="539">
        <f t="shared" si="9"/>
        <v>2551.8131868131868</v>
      </c>
      <c r="G241" s="540">
        <f t="shared" si="10"/>
        <v>196.29332206255282</v>
      </c>
      <c r="H241" s="541">
        <f t="shared" si="11"/>
        <v>17551.813186813186</v>
      </c>
      <c r="I241" s="446"/>
    </row>
    <row r="242" spans="2:9" ht="26.1" hidden="1" customHeight="1" thickTop="1" thickBot="1" x14ac:dyDescent="0.4">
      <c r="B242" s="366"/>
      <c r="C242" s="452">
        <v>45680</v>
      </c>
      <c r="D242" s="451">
        <v>227</v>
      </c>
      <c r="E242" s="454" t="s">
        <v>907</v>
      </c>
      <c r="F242" s="539">
        <f t="shared" si="9"/>
        <v>2563.1043956043959</v>
      </c>
      <c r="G242" s="540">
        <f t="shared" si="10"/>
        <v>197.16187658495352</v>
      </c>
      <c r="H242" s="541">
        <f t="shared" si="11"/>
        <v>17563.104395604394</v>
      </c>
      <c r="I242" s="446"/>
    </row>
    <row r="243" spans="2:9" ht="26.1" hidden="1" customHeight="1" thickTop="1" thickBot="1" x14ac:dyDescent="0.4">
      <c r="B243" s="366"/>
      <c r="C243" s="452">
        <v>45681</v>
      </c>
      <c r="D243" s="451">
        <v>228</v>
      </c>
      <c r="E243" s="454" t="s">
        <v>908</v>
      </c>
      <c r="F243" s="539">
        <f t="shared" si="9"/>
        <v>2574.3956043956046</v>
      </c>
      <c r="G243" s="540">
        <f t="shared" si="10"/>
        <v>198.03043110735419</v>
      </c>
      <c r="H243" s="541">
        <f t="shared" si="11"/>
        <v>17574.395604395606</v>
      </c>
      <c r="I243" s="446"/>
    </row>
    <row r="244" spans="2:9" ht="26.1" hidden="1" customHeight="1" thickTop="1" thickBot="1" x14ac:dyDescent="0.4">
      <c r="B244" s="366"/>
      <c r="C244" s="452">
        <v>45682</v>
      </c>
      <c r="D244" s="451">
        <v>229</v>
      </c>
      <c r="E244" s="454" t="s">
        <v>909</v>
      </c>
      <c r="F244" s="539">
        <f t="shared" si="9"/>
        <v>2585.6868131868132</v>
      </c>
      <c r="G244" s="540">
        <f t="shared" si="10"/>
        <v>198.89898562975486</v>
      </c>
      <c r="H244" s="541">
        <f t="shared" si="11"/>
        <v>17585.686813186814</v>
      </c>
      <c r="I244" s="446"/>
    </row>
    <row r="245" spans="2:9" ht="26.1" hidden="1" customHeight="1" thickTop="1" thickBot="1" x14ac:dyDescent="0.4">
      <c r="B245" s="366"/>
      <c r="C245" s="452">
        <v>45683</v>
      </c>
      <c r="D245" s="451">
        <v>230</v>
      </c>
      <c r="E245" s="454" t="s">
        <v>910</v>
      </c>
      <c r="F245" s="539">
        <f t="shared" si="9"/>
        <v>2596.9780219780223</v>
      </c>
      <c r="G245" s="540">
        <f t="shared" si="10"/>
        <v>199.76754015215556</v>
      </c>
      <c r="H245" s="541">
        <f t="shared" si="11"/>
        <v>17596.978021978022</v>
      </c>
      <c r="I245" s="446"/>
    </row>
    <row r="246" spans="2:9" ht="26.1" hidden="1" customHeight="1" thickTop="1" thickBot="1" x14ac:dyDescent="0.4">
      <c r="B246" s="366"/>
      <c r="C246" s="452">
        <v>45684</v>
      </c>
      <c r="D246" s="451">
        <v>231</v>
      </c>
      <c r="E246" s="454" t="s">
        <v>904</v>
      </c>
      <c r="F246" s="539">
        <f t="shared" si="9"/>
        <v>2608.2692307692309</v>
      </c>
      <c r="G246" s="540">
        <f t="shared" si="10"/>
        <v>200.63609467455623</v>
      </c>
      <c r="H246" s="541">
        <f t="shared" si="11"/>
        <v>17608.26923076923</v>
      </c>
      <c r="I246" s="446"/>
    </row>
    <row r="247" spans="2:9" ht="26.1" hidden="1" customHeight="1" thickTop="1" thickBot="1" x14ac:dyDescent="0.4">
      <c r="B247" s="366"/>
      <c r="C247" s="452">
        <v>45685</v>
      </c>
      <c r="D247" s="451">
        <v>232</v>
      </c>
      <c r="E247" s="454" t="s">
        <v>905</v>
      </c>
      <c r="F247" s="539">
        <f t="shared" si="9"/>
        <v>2619.5604395604396</v>
      </c>
      <c r="G247" s="540">
        <f t="shared" si="10"/>
        <v>201.5046491969569</v>
      </c>
      <c r="H247" s="541">
        <f t="shared" si="11"/>
        <v>17619.560439560439</v>
      </c>
      <c r="I247" s="446"/>
    </row>
    <row r="248" spans="2:9" ht="26.1" hidden="1" customHeight="1" thickTop="1" thickBot="1" x14ac:dyDescent="0.4">
      <c r="B248" s="366"/>
      <c r="C248" s="452">
        <v>45686</v>
      </c>
      <c r="D248" s="451">
        <v>233</v>
      </c>
      <c r="E248" s="454" t="s">
        <v>906</v>
      </c>
      <c r="F248" s="539">
        <f t="shared" si="9"/>
        <v>2630.8516483516487</v>
      </c>
      <c r="G248" s="540">
        <f t="shared" si="10"/>
        <v>202.3732037193576</v>
      </c>
      <c r="H248" s="541">
        <f t="shared" si="11"/>
        <v>17630.851648351651</v>
      </c>
      <c r="I248" s="446"/>
    </row>
    <row r="249" spans="2:9" ht="26.1" hidden="1" customHeight="1" thickTop="1" thickBot="1" x14ac:dyDescent="0.4">
      <c r="B249" s="366"/>
      <c r="C249" s="452">
        <v>45687</v>
      </c>
      <c r="D249" s="451">
        <v>234</v>
      </c>
      <c r="E249" s="454" t="s">
        <v>907</v>
      </c>
      <c r="F249" s="539">
        <f t="shared" si="9"/>
        <v>2642.1428571428573</v>
      </c>
      <c r="G249" s="540">
        <f t="shared" si="10"/>
        <v>203.24175824175825</v>
      </c>
      <c r="H249" s="541">
        <f t="shared" si="11"/>
        <v>17642.142857142859</v>
      </c>
      <c r="I249" s="446"/>
    </row>
    <row r="250" spans="2:9" ht="26.1" hidden="1" customHeight="1" thickTop="1" thickBot="1" x14ac:dyDescent="0.4">
      <c r="B250" s="366"/>
      <c r="C250" s="452">
        <v>45688</v>
      </c>
      <c r="D250" s="451">
        <v>235</v>
      </c>
      <c r="E250" s="454" t="s">
        <v>908</v>
      </c>
      <c r="F250" s="539">
        <f t="shared" si="9"/>
        <v>2653.434065934066</v>
      </c>
      <c r="G250" s="540">
        <f t="shared" si="10"/>
        <v>204.11031276415892</v>
      </c>
      <c r="H250" s="541">
        <f t="shared" si="11"/>
        <v>17653.434065934067</v>
      </c>
      <c r="I250" s="446"/>
    </row>
    <row r="251" spans="2:9" ht="26.1" hidden="1" customHeight="1" thickTop="1" thickBot="1" x14ac:dyDescent="0.4">
      <c r="B251" s="366"/>
      <c r="C251" s="452">
        <v>45689</v>
      </c>
      <c r="D251" s="451">
        <v>236</v>
      </c>
      <c r="E251" s="454" t="s">
        <v>909</v>
      </c>
      <c r="F251" s="539">
        <f t="shared" si="9"/>
        <v>2664.7252747252751</v>
      </c>
      <c r="G251" s="540">
        <f t="shared" si="10"/>
        <v>204.97886728655962</v>
      </c>
      <c r="H251" s="541">
        <f t="shared" si="11"/>
        <v>17664.725274725275</v>
      </c>
      <c r="I251" s="446"/>
    </row>
    <row r="252" spans="2:9" ht="26.1" hidden="1" customHeight="1" thickTop="1" thickBot="1" x14ac:dyDescent="0.4">
      <c r="B252" s="366"/>
      <c r="C252" s="452">
        <v>45690</v>
      </c>
      <c r="D252" s="451">
        <v>237</v>
      </c>
      <c r="E252" s="454" t="s">
        <v>910</v>
      </c>
      <c r="F252" s="539">
        <f t="shared" si="9"/>
        <v>2676.0164835164837</v>
      </c>
      <c r="G252" s="540">
        <f t="shared" si="10"/>
        <v>205.84742180896029</v>
      </c>
      <c r="H252" s="541">
        <f t="shared" si="11"/>
        <v>17676.016483516483</v>
      </c>
      <c r="I252" s="446"/>
    </row>
    <row r="253" spans="2:9" ht="26.1" hidden="1" customHeight="1" thickTop="1" thickBot="1" x14ac:dyDescent="0.4">
      <c r="B253" s="366"/>
      <c r="C253" s="452">
        <v>45691</v>
      </c>
      <c r="D253" s="451">
        <v>238</v>
      </c>
      <c r="E253" s="454" t="s">
        <v>904</v>
      </c>
      <c r="F253" s="539">
        <f t="shared" si="9"/>
        <v>2687.3076923076924</v>
      </c>
      <c r="G253" s="540">
        <f t="shared" si="10"/>
        <v>206.71597633136096</v>
      </c>
      <c r="H253" s="541">
        <f t="shared" si="11"/>
        <v>17687.307692307691</v>
      </c>
      <c r="I253" s="446"/>
    </row>
    <row r="254" spans="2:9" ht="26.1" hidden="1" customHeight="1" thickTop="1" thickBot="1" x14ac:dyDescent="0.4">
      <c r="B254" s="366"/>
      <c r="C254" s="452">
        <v>45692</v>
      </c>
      <c r="D254" s="451">
        <v>239</v>
      </c>
      <c r="E254" s="454" t="s">
        <v>905</v>
      </c>
      <c r="F254" s="539">
        <f t="shared" si="9"/>
        <v>2698.5989010989015</v>
      </c>
      <c r="G254" s="540">
        <f t="shared" si="10"/>
        <v>207.58453085376166</v>
      </c>
      <c r="H254" s="541">
        <f t="shared" si="11"/>
        <v>17698.5989010989</v>
      </c>
      <c r="I254" s="446"/>
    </row>
    <row r="255" spans="2:9" ht="26.1" hidden="1" customHeight="1" thickTop="1" thickBot="1" x14ac:dyDescent="0.4">
      <c r="B255" s="366"/>
      <c r="C255" s="452">
        <v>45693</v>
      </c>
      <c r="D255" s="451">
        <v>240</v>
      </c>
      <c r="E255" s="454" t="s">
        <v>906</v>
      </c>
      <c r="F255" s="539">
        <f t="shared" si="9"/>
        <v>2709.8901098901101</v>
      </c>
      <c r="G255" s="540">
        <f t="shared" si="10"/>
        <v>208.45308537616231</v>
      </c>
      <c r="H255" s="541">
        <f t="shared" si="11"/>
        <v>17709.890109890111</v>
      </c>
      <c r="I255" s="446"/>
    </row>
    <row r="256" spans="2:9" ht="26.1" hidden="1" customHeight="1" thickTop="1" thickBot="1" x14ac:dyDescent="0.4">
      <c r="B256" s="366"/>
      <c r="C256" s="452">
        <v>45694</v>
      </c>
      <c r="D256" s="451">
        <v>241</v>
      </c>
      <c r="E256" s="454" t="s">
        <v>907</v>
      </c>
      <c r="F256" s="539">
        <f t="shared" si="9"/>
        <v>2721.1813186813188</v>
      </c>
      <c r="G256" s="540">
        <f t="shared" si="10"/>
        <v>209.32163989856298</v>
      </c>
      <c r="H256" s="541">
        <f t="shared" si="11"/>
        <v>17721.18131868132</v>
      </c>
      <c r="I256" s="446"/>
    </row>
    <row r="257" spans="2:9" ht="26.1" hidden="1" customHeight="1" thickTop="1" thickBot="1" x14ac:dyDescent="0.4">
      <c r="B257" s="366"/>
      <c r="C257" s="452">
        <v>45695</v>
      </c>
      <c r="D257" s="451">
        <v>242</v>
      </c>
      <c r="E257" s="454" t="s">
        <v>908</v>
      </c>
      <c r="F257" s="539">
        <f t="shared" si="9"/>
        <v>2732.4725274725279</v>
      </c>
      <c r="G257" s="540">
        <f t="shared" si="10"/>
        <v>210.19019442096368</v>
      </c>
      <c r="H257" s="541">
        <f t="shared" si="11"/>
        <v>17732.472527472528</v>
      </c>
      <c r="I257" s="446"/>
    </row>
    <row r="258" spans="2:9" ht="26.1" hidden="1" customHeight="1" thickTop="1" thickBot="1" x14ac:dyDescent="0.4">
      <c r="B258" s="366"/>
      <c r="C258" s="452">
        <v>45696</v>
      </c>
      <c r="D258" s="451">
        <v>243</v>
      </c>
      <c r="E258" s="454" t="s">
        <v>909</v>
      </c>
      <c r="F258" s="539">
        <f t="shared" si="9"/>
        <v>2743.7637362637365</v>
      </c>
      <c r="G258" s="540">
        <f t="shared" si="10"/>
        <v>211.05874894336435</v>
      </c>
      <c r="H258" s="541">
        <f t="shared" si="11"/>
        <v>17743.763736263736</v>
      </c>
      <c r="I258" s="446"/>
    </row>
    <row r="259" spans="2:9" ht="26.1" hidden="1" customHeight="1" thickTop="1" thickBot="1" x14ac:dyDescent="0.4">
      <c r="B259" s="366"/>
      <c r="C259" s="452">
        <v>45697</v>
      </c>
      <c r="D259" s="451">
        <v>244</v>
      </c>
      <c r="E259" s="454" t="s">
        <v>910</v>
      </c>
      <c r="F259" s="539">
        <f t="shared" si="9"/>
        <v>2755.0549450549452</v>
      </c>
      <c r="G259" s="540">
        <f t="shared" si="10"/>
        <v>211.92730346576502</v>
      </c>
      <c r="H259" s="541">
        <f t="shared" si="11"/>
        <v>17755.054945054944</v>
      </c>
      <c r="I259" s="446"/>
    </row>
    <row r="260" spans="2:9" ht="26.1" hidden="1" customHeight="1" thickTop="1" thickBot="1" x14ac:dyDescent="0.4">
      <c r="B260" s="366"/>
      <c r="C260" s="452">
        <v>45698</v>
      </c>
      <c r="D260" s="451">
        <v>245</v>
      </c>
      <c r="E260" s="454" t="s">
        <v>904</v>
      </c>
      <c r="F260" s="539">
        <f t="shared" si="9"/>
        <v>2766.3461538461538</v>
      </c>
      <c r="G260" s="540">
        <f t="shared" si="10"/>
        <v>212.79585798816566</v>
      </c>
      <c r="H260" s="541">
        <f t="shared" si="11"/>
        <v>17766.346153846152</v>
      </c>
      <c r="I260" s="446"/>
    </row>
    <row r="261" spans="2:9" ht="26.1" hidden="1" customHeight="1" thickTop="1" thickBot="1" x14ac:dyDescent="0.4">
      <c r="B261" s="366"/>
      <c r="C261" s="452">
        <v>45699</v>
      </c>
      <c r="D261" s="451">
        <v>246</v>
      </c>
      <c r="E261" s="454" t="s">
        <v>905</v>
      </c>
      <c r="F261" s="539">
        <f t="shared" si="9"/>
        <v>2777.6373626373629</v>
      </c>
      <c r="G261" s="540">
        <f t="shared" si="10"/>
        <v>213.66441251056636</v>
      </c>
      <c r="H261" s="541">
        <f t="shared" si="11"/>
        <v>17777.637362637364</v>
      </c>
      <c r="I261" s="446"/>
    </row>
    <row r="262" spans="2:9" ht="26.1" hidden="1" customHeight="1" thickTop="1" thickBot="1" x14ac:dyDescent="0.4">
      <c r="B262" s="366"/>
      <c r="C262" s="452">
        <v>45700</v>
      </c>
      <c r="D262" s="451">
        <v>247</v>
      </c>
      <c r="E262" s="454" t="s">
        <v>906</v>
      </c>
      <c r="F262" s="539">
        <f t="shared" si="9"/>
        <v>2788.9285714285716</v>
      </c>
      <c r="G262" s="540">
        <f t="shared" si="10"/>
        <v>214.53296703296704</v>
      </c>
      <c r="H262" s="541">
        <f t="shared" si="11"/>
        <v>17788.928571428572</v>
      </c>
      <c r="I262" s="446"/>
    </row>
    <row r="263" spans="2:9" ht="26.1" hidden="1" customHeight="1" thickTop="1" thickBot="1" x14ac:dyDescent="0.4">
      <c r="B263" s="366"/>
      <c r="C263" s="452">
        <v>45701</v>
      </c>
      <c r="D263" s="451">
        <v>248</v>
      </c>
      <c r="E263" s="454" t="s">
        <v>907</v>
      </c>
      <c r="F263" s="539">
        <f t="shared" si="9"/>
        <v>2800.2197802197802</v>
      </c>
      <c r="G263" s="540">
        <f t="shared" si="10"/>
        <v>215.40152155536771</v>
      </c>
      <c r="H263" s="541">
        <f t="shared" si="11"/>
        <v>17800.219780219781</v>
      </c>
      <c r="I263" s="446"/>
    </row>
    <row r="264" spans="2:9" ht="26.1" hidden="1" customHeight="1" thickTop="1" thickBot="1" x14ac:dyDescent="0.4">
      <c r="B264" s="366"/>
      <c r="C264" s="452">
        <v>45702</v>
      </c>
      <c r="D264" s="451">
        <v>249</v>
      </c>
      <c r="E264" s="454" t="s">
        <v>908</v>
      </c>
      <c r="F264" s="539">
        <f t="shared" si="9"/>
        <v>2811.5109890109893</v>
      </c>
      <c r="G264" s="540">
        <f t="shared" si="10"/>
        <v>216.27007607776841</v>
      </c>
      <c r="H264" s="541">
        <f t="shared" si="11"/>
        <v>17811.510989010989</v>
      </c>
      <c r="I264" s="446"/>
    </row>
    <row r="265" spans="2:9" ht="26.1" hidden="1" customHeight="1" thickTop="1" thickBot="1" x14ac:dyDescent="0.4">
      <c r="B265" s="366"/>
      <c r="C265" s="452">
        <v>45703</v>
      </c>
      <c r="D265" s="451">
        <v>250</v>
      </c>
      <c r="E265" s="454" t="s">
        <v>909</v>
      </c>
      <c r="F265" s="539">
        <f t="shared" si="9"/>
        <v>2822.802197802198</v>
      </c>
      <c r="G265" s="540">
        <f t="shared" si="10"/>
        <v>217.13863060016908</v>
      </c>
      <c r="H265" s="541">
        <f t="shared" si="11"/>
        <v>17822.802197802197</v>
      </c>
      <c r="I265" s="446"/>
    </row>
    <row r="266" spans="2:9" ht="26.1" hidden="1" customHeight="1" thickTop="1" thickBot="1" x14ac:dyDescent="0.4">
      <c r="B266" s="366"/>
      <c r="C266" s="452">
        <v>45704</v>
      </c>
      <c r="D266" s="451">
        <v>251</v>
      </c>
      <c r="E266" s="454" t="s">
        <v>910</v>
      </c>
      <c r="F266" s="539">
        <f t="shared" si="9"/>
        <v>2834.0934065934066</v>
      </c>
      <c r="G266" s="540">
        <f t="shared" si="10"/>
        <v>218.00718512256975</v>
      </c>
      <c r="H266" s="541">
        <f t="shared" si="11"/>
        <v>17834.093406593405</v>
      </c>
      <c r="I266" s="446"/>
    </row>
    <row r="267" spans="2:9" ht="26.1" hidden="1" customHeight="1" thickTop="1" thickBot="1" x14ac:dyDescent="0.4">
      <c r="B267" s="366"/>
      <c r="C267" s="452">
        <v>45705</v>
      </c>
      <c r="D267" s="451">
        <v>252</v>
      </c>
      <c r="E267" s="454" t="s">
        <v>904</v>
      </c>
      <c r="F267" s="539">
        <f t="shared" si="9"/>
        <v>2845.3846153846157</v>
      </c>
      <c r="G267" s="540">
        <f t="shared" si="10"/>
        <v>218.87573964497045</v>
      </c>
      <c r="H267" s="541">
        <f t="shared" si="11"/>
        <v>17845.384615384617</v>
      </c>
      <c r="I267" s="446"/>
    </row>
    <row r="268" spans="2:9" ht="26.1" hidden="1" customHeight="1" thickTop="1" thickBot="1" x14ac:dyDescent="0.4">
      <c r="B268" s="366"/>
      <c r="C268" s="452">
        <v>45706</v>
      </c>
      <c r="D268" s="451">
        <v>253</v>
      </c>
      <c r="E268" s="454" t="s">
        <v>905</v>
      </c>
      <c r="F268" s="539">
        <f t="shared" si="9"/>
        <v>2856.6758241758243</v>
      </c>
      <c r="G268" s="540">
        <f t="shared" si="10"/>
        <v>219.74429416737109</v>
      </c>
      <c r="H268" s="541">
        <f t="shared" si="11"/>
        <v>17856.675824175825</v>
      </c>
      <c r="I268" s="446"/>
    </row>
    <row r="269" spans="2:9" ht="26.1" hidden="1" customHeight="1" thickTop="1" thickBot="1" x14ac:dyDescent="0.4">
      <c r="B269" s="366"/>
      <c r="C269" s="452">
        <v>45707</v>
      </c>
      <c r="D269" s="451">
        <v>254</v>
      </c>
      <c r="E269" s="454" t="s">
        <v>906</v>
      </c>
      <c r="F269" s="539">
        <f t="shared" si="9"/>
        <v>2867.967032967033</v>
      </c>
      <c r="G269" s="540">
        <f t="shared" si="10"/>
        <v>220.61284868977177</v>
      </c>
      <c r="H269" s="541">
        <f t="shared" si="11"/>
        <v>17867.967032967033</v>
      </c>
      <c r="I269" s="446"/>
    </row>
    <row r="270" spans="2:9" ht="26.1" hidden="1" customHeight="1" thickTop="1" thickBot="1" x14ac:dyDescent="0.4">
      <c r="B270" s="366"/>
      <c r="C270" s="452">
        <v>45708</v>
      </c>
      <c r="D270" s="451">
        <v>255</v>
      </c>
      <c r="E270" s="454" t="s">
        <v>907</v>
      </c>
      <c r="F270" s="539">
        <f t="shared" si="9"/>
        <v>2879.2582417582421</v>
      </c>
      <c r="G270" s="540">
        <f t="shared" si="10"/>
        <v>221.48140321217247</v>
      </c>
      <c r="H270" s="541">
        <f t="shared" si="11"/>
        <v>17879.258241758242</v>
      </c>
      <c r="I270" s="446"/>
    </row>
    <row r="271" spans="2:9" ht="26.1" hidden="1" customHeight="1" thickTop="1" thickBot="1" x14ac:dyDescent="0.4">
      <c r="B271" s="366"/>
      <c r="C271" s="452">
        <v>45709</v>
      </c>
      <c r="D271" s="451">
        <v>256</v>
      </c>
      <c r="E271" s="454" t="s">
        <v>908</v>
      </c>
      <c r="F271" s="539">
        <f t="shared" si="9"/>
        <v>2890.5494505494507</v>
      </c>
      <c r="G271" s="540">
        <f t="shared" si="10"/>
        <v>222.34995773457314</v>
      </c>
      <c r="H271" s="541">
        <f t="shared" si="11"/>
        <v>17890.54945054945</v>
      </c>
      <c r="I271" s="446"/>
    </row>
    <row r="272" spans="2:9" ht="26.1" hidden="1" customHeight="1" thickTop="1" thickBot="1" x14ac:dyDescent="0.4">
      <c r="B272" s="366"/>
      <c r="C272" s="452">
        <v>45710</v>
      </c>
      <c r="D272" s="451">
        <v>257</v>
      </c>
      <c r="E272" s="454" t="s">
        <v>909</v>
      </c>
      <c r="F272" s="539">
        <f t="shared" ref="F272:F335" si="12">$E$8/$F$10*D272</f>
        <v>2901.8406593406594</v>
      </c>
      <c r="G272" s="540">
        <f t="shared" ref="G272:G335" si="13">F272/$C$12</f>
        <v>223.21851225697381</v>
      </c>
      <c r="H272" s="541">
        <f t="shared" si="11"/>
        <v>17901.840659340658</v>
      </c>
      <c r="I272" s="446"/>
    </row>
    <row r="273" spans="2:9" ht="26.1" hidden="1" customHeight="1" thickTop="1" thickBot="1" x14ac:dyDescent="0.4">
      <c r="B273" s="366"/>
      <c r="C273" s="452">
        <v>45711</v>
      </c>
      <c r="D273" s="451">
        <v>258</v>
      </c>
      <c r="E273" s="454" t="s">
        <v>910</v>
      </c>
      <c r="F273" s="539">
        <f t="shared" si="12"/>
        <v>2913.1318681318685</v>
      </c>
      <c r="G273" s="540">
        <f t="shared" si="13"/>
        <v>224.08706677937451</v>
      </c>
      <c r="H273" s="541">
        <f t="shared" ref="H273:H336" si="14">$C$8+F273</f>
        <v>17913.13186813187</v>
      </c>
      <c r="I273" s="446"/>
    </row>
    <row r="274" spans="2:9" ht="26.1" hidden="1" customHeight="1" thickTop="1" thickBot="1" x14ac:dyDescent="0.4">
      <c r="B274" s="366"/>
      <c r="C274" s="452">
        <v>45712</v>
      </c>
      <c r="D274" s="451">
        <v>259</v>
      </c>
      <c r="E274" s="454" t="s">
        <v>904</v>
      </c>
      <c r="F274" s="539">
        <f t="shared" si="12"/>
        <v>2924.4230769230771</v>
      </c>
      <c r="G274" s="540">
        <f t="shared" si="13"/>
        <v>224.95562130177515</v>
      </c>
      <c r="H274" s="541">
        <f t="shared" si="14"/>
        <v>17924.423076923078</v>
      </c>
      <c r="I274" s="446"/>
    </row>
    <row r="275" spans="2:9" ht="26.1" hidden="1" customHeight="1" thickTop="1" thickBot="1" x14ac:dyDescent="0.4">
      <c r="B275" s="366"/>
      <c r="C275" s="452">
        <v>45713</v>
      </c>
      <c r="D275" s="451">
        <v>260</v>
      </c>
      <c r="E275" s="454" t="s">
        <v>905</v>
      </c>
      <c r="F275" s="539">
        <f t="shared" si="12"/>
        <v>2935.7142857142858</v>
      </c>
      <c r="G275" s="540">
        <f t="shared" si="13"/>
        <v>225.82417582417582</v>
      </c>
      <c r="H275" s="541">
        <f t="shared" si="14"/>
        <v>17935.714285714286</v>
      </c>
      <c r="I275" s="446"/>
    </row>
    <row r="276" spans="2:9" ht="26.1" hidden="1" customHeight="1" thickTop="1" thickBot="1" x14ac:dyDescent="0.4">
      <c r="B276" s="366"/>
      <c r="C276" s="452">
        <v>45714</v>
      </c>
      <c r="D276" s="451">
        <v>261</v>
      </c>
      <c r="E276" s="454" t="s">
        <v>906</v>
      </c>
      <c r="F276" s="539">
        <f t="shared" si="12"/>
        <v>2947.0054945054949</v>
      </c>
      <c r="G276" s="540">
        <f t="shared" si="13"/>
        <v>226.69273034657652</v>
      </c>
      <c r="H276" s="541">
        <f t="shared" si="14"/>
        <v>17947.005494505494</v>
      </c>
      <c r="I276" s="446"/>
    </row>
    <row r="277" spans="2:9" ht="26.1" hidden="1" customHeight="1" thickTop="1" thickBot="1" x14ac:dyDescent="0.4">
      <c r="B277" s="366"/>
      <c r="C277" s="452">
        <v>45715</v>
      </c>
      <c r="D277" s="451">
        <v>262</v>
      </c>
      <c r="E277" s="454" t="s">
        <v>907</v>
      </c>
      <c r="F277" s="539">
        <f t="shared" si="12"/>
        <v>2958.2967032967035</v>
      </c>
      <c r="G277" s="540">
        <f t="shared" si="13"/>
        <v>227.5612848689772</v>
      </c>
      <c r="H277" s="541">
        <f t="shared" si="14"/>
        <v>17958.296703296703</v>
      </c>
      <c r="I277" s="446"/>
    </row>
    <row r="278" spans="2:9" ht="26.1" hidden="1" customHeight="1" thickTop="1" thickBot="1" x14ac:dyDescent="0.4">
      <c r="B278" s="366"/>
      <c r="C278" s="452">
        <v>45716</v>
      </c>
      <c r="D278" s="451">
        <v>263</v>
      </c>
      <c r="E278" s="454" t="s">
        <v>908</v>
      </c>
      <c r="F278" s="539">
        <f t="shared" si="12"/>
        <v>2969.5879120879122</v>
      </c>
      <c r="G278" s="540">
        <f t="shared" si="13"/>
        <v>228.42983939137787</v>
      </c>
      <c r="H278" s="541">
        <f t="shared" si="14"/>
        <v>17969.587912087911</v>
      </c>
      <c r="I278" s="446"/>
    </row>
    <row r="279" spans="2:9" ht="26.1" hidden="1" customHeight="1" thickTop="1" thickBot="1" x14ac:dyDescent="0.4">
      <c r="B279" s="366"/>
      <c r="C279" s="452">
        <v>45717</v>
      </c>
      <c r="D279" s="451">
        <v>264</v>
      </c>
      <c r="E279" s="454" t="s">
        <v>909</v>
      </c>
      <c r="F279" s="539">
        <f t="shared" si="12"/>
        <v>2980.8791208791213</v>
      </c>
      <c r="G279" s="540">
        <f t="shared" si="13"/>
        <v>229.29839391377857</v>
      </c>
      <c r="H279" s="541">
        <f t="shared" si="14"/>
        <v>17980.879120879123</v>
      </c>
      <c r="I279" s="446"/>
    </row>
    <row r="280" spans="2:9" ht="26.1" hidden="1" customHeight="1" thickTop="1" thickBot="1" x14ac:dyDescent="0.4">
      <c r="B280" s="366"/>
      <c r="C280" s="452">
        <v>45718</v>
      </c>
      <c r="D280" s="451">
        <v>265</v>
      </c>
      <c r="E280" s="454" t="s">
        <v>910</v>
      </c>
      <c r="F280" s="539">
        <f t="shared" si="12"/>
        <v>2992.1703296703299</v>
      </c>
      <c r="G280" s="540">
        <f t="shared" si="13"/>
        <v>230.16694843617921</v>
      </c>
      <c r="H280" s="541">
        <f t="shared" si="14"/>
        <v>17992.170329670331</v>
      </c>
      <c r="I280" s="446"/>
    </row>
    <row r="281" spans="2:9" ht="26.1" hidden="1" customHeight="1" thickTop="1" thickBot="1" x14ac:dyDescent="0.4">
      <c r="B281" s="366"/>
      <c r="C281" s="452">
        <v>45719</v>
      </c>
      <c r="D281" s="451">
        <v>266</v>
      </c>
      <c r="E281" s="454" t="s">
        <v>904</v>
      </c>
      <c r="F281" s="539">
        <f t="shared" si="12"/>
        <v>3003.4615384615386</v>
      </c>
      <c r="G281" s="540">
        <f t="shared" si="13"/>
        <v>231.03550295857988</v>
      </c>
      <c r="H281" s="541">
        <f t="shared" si="14"/>
        <v>18003.461538461539</v>
      </c>
      <c r="I281" s="446"/>
    </row>
    <row r="282" spans="2:9" ht="26.1" hidden="1" customHeight="1" thickTop="1" thickBot="1" x14ac:dyDescent="0.4">
      <c r="B282" s="366"/>
      <c r="C282" s="452">
        <v>45720</v>
      </c>
      <c r="D282" s="451">
        <v>267</v>
      </c>
      <c r="E282" s="454" t="s">
        <v>905</v>
      </c>
      <c r="F282" s="539">
        <f t="shared" si="12"/>
        <v>3014.7527472527477</v>
      </c>
      <c r="G282" s="540">
        <f t="shared" si="13"/>
        <v>231.90405748098058</v>
      </c>
      <c r="H282" s="541">
        <f t="shared" si="14"/>
        <v>18014.752747252747</v>
      </c>
      <c r="I282" s="446"/>
    </row>
    <row r="283" spans="2:9" ht="26.1" hidden="1" customHeight="1" thickTop="1" thickBot="1" x14ac:dyDescent="0.4">
      <c r="B283" s="366"/>
      <c r="C283" s="452">
        <v>45721</v>
      </c>
      <c r="D283" s="451">
        <v>268</v>
      </c>
      <c r="E283" s="454" t="s">
        <v>906</v>
      </c>
      <c r="F283" s="539">
        <f t="shared" si="12"/>
        <v>3026.0439560439563</v>
      </c>
      <c r="G283" s="540">
        <f t="shared" si="13"/>
        <v>232.77261200338125</v>
      </c>
      <c r="H283" s="541">
        <f t="shared" si="14"/>
        <v>18026.043956043955</v>
      </c>
      <c r="I283" s="446"/>
    </row>
    <row r="284" spans="2:9" ht="26.1" hidden="1" customHeight="1" thickTop="1" thickBot="1" x14ac:dyDescent="0.4">
      <c r="B284" s="366"/>
      <c r="C284" s="452">
        <v>45722</v>
      </c>
      <c r="D284" s="451">
        <v>269</v>
      </c>
      <c r="E284" s="454" t="s">
        <v>907</v>
      </c>
      <c r="F284" s="539">
        <f t="shared" si="12"/>
        <v>3037.335164835165</v>
      </c>
      <c r="G284" s="540">
        <f t="shared" si="13"/>
        <v>233.64116652578193</v>
      </c>
      <c r="H284" s="541">
        <f t="shared" si="14"/>
        <v>18037.335164835164</v>
      </c>
      <c r="I284" s="446"/>
    </row>
    <row r="285" spans="2:9" ht="26.1" hidden="1" customHeight="1" thickTop="1" thickBot="1" x14ac:dyDescent="0.4">
      <c r="B285" s="366"/>
      <c r="C285" s="452">
        <v>45723</v>
      </c>
      <c r="D285" s="451">
        <v>270</v>
      </c>
      <c r="E285" s="454" t="s">
        <v>908</v>
      </c>
      <c r="F285" s="539">
        <f t="shared" si="12"/>
        <v>3048.6263736263736</v>
      </c>
      <c r="G285" s="540">
        <f t="shared" si="13"/>
        <v>234.5097210481826</v>
      </c>
      <c r="H285" s="541">
        <f t="shared" si="14"/>
        <v>18048.626373626372</v>
      </c>
      <c r="I285" s="446"/>
    </row>
    <row r="286" spans="2:9" ht="26.1" hidden="1" customHeight="1" thickTop="1" thickBot="1" x14ac:dyDescent="0.4">
      <c r="B286" s="366"/>
      <c r="C286" s="452">
        <v>45724</v>
      </c>
      <c r="D286" s="451">
        <v>271</v>
      </c>
      <c r="E286" s="454" t="s">
        <v>909</v>
      </c>
      <c r="F286" s="539">
        <f t="shared" si="12"/>
        <v>3059.9175824175827</v>
      </c>
      <c r="G286" s="540">
        <f t="shared" si="13"/>
        <v>235.3782755705833</v>
      </c>
      <c r="H286" s="541">
        <f t="shared" si="14"/>
        <v>18059.917582417584</v>
      </c>
      <c r="I286" s="446"/>
    </row>
    <row r="287" spans="2:9" ht="26.1" hidden="1" customHeight="1" thickTop="1" thickBot="1" x14ac:dyDescent="0.4">
      <c r="B287" s="366"/>
      <c r="C287" s="452">
        <v>45725</v>
      </c>
      <c r="D287" s="451">
        <v>272</v>
      </c>
      <c r="E287" s="454" t="s">
        <v>910</v>
      </c>
      <c r="F287" s="539">
        <f t="shared" si="12"/>
        <v>3071.2087912087914</v>
      </c>
      <c r="G287" s="540">
        <f t="shared" si="13"/>
        <v>236.24683009298394</v>
      </c>
      <c r="H287" s="541">
        <f t="shared" si="14"/>
        <v>18071.208791208792</v>
      </c>
      <c r="I287" s="446"/>
    </row>
    <row r="288" spans="2:9" ht="26.1" hidden="1" customHeight="1" thickTop="1" thickBot="1" x14ac:dyDescent="0.4">
      <c r="B288" s="366"/>
      <c r="C288" s="452">
        <v>45726</v>
      </c>
      <c r="D288" s="451">
        <v>273</v>
      </c>
      <c r="E288" s="454" t="s">
        <v>904</v>
      </c>
      <c r="F288" s="539">
        <f t="shared" si="12"/>
        <v>3082.5</v>
      </c>
      <c r="G288" s="540">
        <f t="shared" si="13"/>
        <v>237.11538461538461</v>
      </c>
      <c r="H288" s="541">
        <f t="shared" si="14"/>
        <v>18082.5</v>
      </c>
      <c r="I288" s="446"/>
    </row>
    <row r="289" spans="2:9" ht="26.1" hidden="1" customHeight="1" thickTop="1" thickBot="1" x14ac:dyDescent="0.4">
      <c r="B289" s="366"/>
      <c r="C289" s="452">
        <v>45727</v>
      </c>
      <c r="D289" s="451">
        <v>274</v>
      </c>
      <c r="E289" s="454" t="s">
        <v>905</v>
      </c>
      <c r="F289" s="539">
        <f t="shared" si="12"/>
        <v>3093.7912087912091</v>
      </c>
      <c r="G289" s="540">
        <f t="shared" si="13"/>
        <v>237.98393913778531</v>
      </c>
      <c r="H289" s="541">
        <f t="shared" si="14"/>
        <v>18093.791208791208</v>
      </c>
      <c r="I289" s="446"/>
    </row>
    <row r="290" spans="2:9" ht="26.1" hidden="1" customHeight="1" thickTop="1" thickBot="1" x14ac:dyDescent="0.4">
      <c r="B290" s="366"/>
      <c r="C290" s="452">
        <v>45728</v>
      </c>
      <c r="D290" s="451">
        <v>275</v>
      </c>
      <c r="E290" s="454" t="s">
        <v>906</v>
      </c>
      <c r="F290" s="539">
        <f t="shared" si="12"/>
        <v>3105.0824175824177</v>
      </c>
      <c r="G290" s="540">
        <f t="shared" si="13"/>
        <v>238.85249366018598</v>
      </c>
      <c r="H290" s="541">
        <f t="shared" si="14"/>
        <v>18105.082417582416</v>
      </c>
      <c r="I290" s="446"/>
    </row>
    <row r="291" spans="2:9" ht="26.1" hidden="1" customHeight="1" thickTop="1" thickBot="1" x14ac:dyDescent="0.4">
      <c r="B291" s="366"/>
      <c r="C291" s="452">
        <v>45729</v>
      </c>
      <c r="D291" s="451">
        <v>276</v>
      </c>
      <c r="E291" s="454" t="s">
        <v>907</v>
      </c>
      <c r="F291" s="539">
        <f t="shared" si="12"/>
        <v>3116.3736263736264</v>
      </c>
      <c r="G291" s="540">
        <f t="shared" si="13"/>
        <v>239.72104818258666</v>
      </c>
      <c r="H291" s="541">
        <f t="shared" si="14"/>
        <v>18116.373626373628</v>
      </c>
      <c r="I291" s="446"/>
    </row>
    <row r="292" spans="2:9" ht="26.1" hidden="1" customHeight="1" thickTop="1" thickBot="1" x14ac:dyDescent="0.4">
      <c r="B292" s="366"/>
      <c r="C292" s="452">
        <v>45730</v>
      </c>
      <c r="D292" s="451">
        <v>277</v>
      </c>
      <c r="E292" s="454" t="s">
        <v>908</v>
      </c>
      <c r="F292" s="539">
        <f t="shared" si="12"/>
        <v>3127.6648351648355</v>
      </c>
      <c r="G292" s="540">
        <f t="shared" si="13"/>
        <v>240.58960270498736</v>
      </c>
      <c r="H292" s="541">
        <f t="shared" si="14"/>
        <v>18127.664835164836</v>
      </c>
      <c r="I292" s="446"/>
    </row>
    <row r="293" spans="2:9" ht="26.1" hidden="1" customHeight="1" thickTop="1" thickBot="1" x14ac:dyDescent="0.4">
      <c r="B293" s="366"/>
      <c r="C293" s="452">
        <v>45731</v>
      </c>
      <c r="D293" s="451">
        <v>278</v>
      </c>
      <c r="E293" s="454" t="s">
        <v>909</v>
      </c>
      <c r="F293" s="539">
        <f t="shared" si="12"/>
        <v>3138.9560439560441</v>
      </c>
      <c r="G293" s="540">
        <f t="shared" si="13"/>
        <v>241.458157227388</v>
      </c>
      <c r="H293" s="541">
        <f t="shared" si="14"/>
        <v>18138.956043956045</v>
      </c>
      <c r="I293" s="446"/>
    </row>
    <row r="294" spans="2:9" ht="26.1" hidden="1" customHeight="1" thickTop="1" thickBot="1" x14ac:dyDescent="0.4">
      <c r="B294" s="366"/>
      <c r="C294" s="452">
        <v>45732</v>
      </c>
      <c r="D294" s="451">
        <v>279</v>
      </c>
      <c r="E294" s="454" t="s">
        <v>910</v>
      </c>
      <c r="F294" s="539">
        <f t="shared" si="12"/>
        <v>3150.2472527472528</v>
      </c>
      <c r="G294" s="540">
        <f t="shared" si="13"/>
        <v>242.32671174978867</v>
      </c>
      <c r="H294" s="541">
        <f t="shared" si="14"/>
        <v>18150.247252747253</v>
      </c>
      <c r="I294" s="446"/>
    </row>
    <row r="295" spans="2:9" ht="26.1" hidden="1" customHeight="1" thickTop="1" thickBot="1" x14ac:dyDescent="0.4">
      <c r="B295" s="366"/>
      <c r="C295" s="452">
        <v>45733</v>
      </c>
      <c r="D295" s="451">
        <v>280</v>
      </c>
      <c r="E295" s="454" t="s">
        <v>904</v>
      </c>
      <c r="F295" s="539">
        <f t="shared" si="12"/>
        <v>3161.5384615384619</v>
      </c>
      <c r="G295" s="540">
        <f t="shared" si="13"/>
        <v>243.19526627218937</v>
      </c>
      <c r="H295" s="541">
        <f t="shared" si="14"/>
        <v>18161.538461538461</v>
      </c>
      <c r="I295" s="446"/>
    </row>
    <row r="296" spans="2:9" ht="26.1" hidden="1" customHeight="1" thickTop="1" thickBot="1" x14ac:dyDescent="0.4">
      <c r="B296" s="366"/>
      <c r="C296" s="452">
        <v>45734</v>
      </c>
      <c r="D296" s="451">
        <v>281</v>
      </c>
      <c r="E296" s="454" t="s">
        <v>905</v>
      </c>
      <c r="F296" s="539">
        <f t="shared" si="12"/>
        <v>3172.8296703296705</v>
      </c>
      <c r="G296" s="540">
        <f t="shared" si="13"/>
        <v>244.06382079459004</v>
      </c>
      <c r="H296" s="541">
        <f t="shared" si="14"/>
        <v>18172.829670329669</v>
      </c>
      <c r="I296" s="446"/>
    </row>
    <row r="297" spans="2:9" ht="26.1" hidden="1" customHeight="1" thickTop="1" thickBot="1" x14ac:dyDescent="0.4">
      <c r="B297" s="366"/>
      <c r="C297" s="452">
        <v>45735</v>
      </c>
      <c r="D297" s="451">
        <v>282</v>
      </c>
      <c r="E297" s="454" t="s">
        <v>906</v>
      </c>
      <c r="F297" s="539">
        <f t="shared" si="12"/>
        <v>3184.1208791208792</v>
      </c>
      <c r="G297" s="540">
        <f t="shared" si="13"/>
        <v>244.93237531699071</v>
      </c>
      <c r="H297" s="541">
        <f t="shared" si="14"/>
        <v>18184.120879120877</v>
      </c>
      <c r="I297" s="446"/>
    </row>
    <row r="298" spans="2:9" ht="26.1" hidden="1" customHeight="1" thickTop="1" thickBot="1" x14ac:dyDescent="0.4">
      <c r="B298" s="366"/>
      <c r="C298" s="452">
        <v>45736</v>
      </c>
      <c r="D298" s="451">
        <v>283</v>
      </c>
      <c r="E298" s="454" t="s">
        <v>907</v>
      </c>
      <c r="F298" s="539">
        <f t="shared" si="12"/>
        <v>3195.4120879120883</v>
      </c>
      <c r="G298" s="540">
        <f t="shared" si="13"/>
        <v>245.80092983939142</v>
      </c>
      <c r="H298" s="541">
        <f t="shared" si="14"/>
        <v>18195.412087912089</v>
      </c>
      <c r="I298" s="446"/>
    </row>
    <row r="299" spans="2:9" ht="26.1" hidden="1" customHeight="1" thickTop="1" thickBot="1" x14ac:dyDescent="0.4">
      <c r="B299" s="366"/>
      <c r="C299" s="452">
        <v>45737</v>
      </c>
      <c r="D299" s="451">
        <v>284</v>
      </c>
      <c r="E299" s="454" t="s">
        <v>908</v>
      </c>
      <c r="F299" s="539">
        <f t="shared" si="12"/>
        <v>3206.7032967032969</v>
      </c>
      <c r="G299" s="540">
        <f t="shared" si="13"/>
        <v>246.66948436179206</v>
      </c>
      <c r="H299" s="541">
        <f t="shared" si="14"/>
        <v>18206.703296703297</v>
      </c>
      <c r="I299" s="446"/>
    </row>
    <row r="300" spans="2:9" ht="26.1" hidden="1" customHeight="1" thickTop="1" thickBot="1" x14ac:dyDescent="0.4">
      <c r="B300" s="366"/>
      <c r="C300" s="452">
        <v>45738</v>
      </c>
      <c r="D300" s="451">
        <v>285</v>
      </c>
      <c r="E300" s="454" t="s">
        <v>909</v>
      </c>
      <c r="F300" s="539">
        <f t="shared" si="12"/>
        <v>3217.9945054945056</v>
      </c>
      <c r="G300" s="540">
        <f t="shared" si="13"/>
        <v>247.53803888419273</v>
      </c>
      <c r="H300" s="541">
        <f t="shared" si="14"/>
        <v>18217.994505494506</v>
      </c>
      <c r="I300" s="446"/>
    </row>
    <row r="301" spans="2:9" ht="26.1" hidden="1" customHeight="1" thickTop="1" thickBot="1" x14ac:dyDescent="0.4">
      <c r="B301" s="366"/>
      <c r="C301" s="452">
        <v>45739</v>
      </c>
      <c r="D301" s="451">
        <v>286</v>
      </c>
      <c r="E301" s="454" t="s">
        <v>910</v>
      </c>
      <c r="F301" s="539">
        <f t="shared" si="12"/>
        <v>3229.2857142857147</v>
      </c>
      <c r="G301" s="540">
        <f t="shared" si="13"/>
        <v>248.40659340659343</v>
      </c>
      <c r="H301" s="541">
        <f t="shared" si="14"/>
        <v>18229.285714285714</v>
      </c>
      <c r="I301" s="446"/>
    </row>
    <row r="302" spans="2:9" ht="26.1" hidden="1" customHeight="1" thickTop="1" thickBot="1" x14ac:dyDescent="0.4">
      <c r="B302" s="366"/>
      <c r="C302" s="452">
        <v>45740</v>
      </c>
      <c r="D302" s="451">
        <v>287</v>
      </c>
      <c r="E302" s="454" t="s">
        <v>904</v>
      </c>
      <c r="F302" s="539">
        <f t="shared" si="12"/>
        <v>3240.5769230769233</v>
      </c>
      <c r="G302" s="540">
        <f t="shared" si="13"/>
        <v>249.2751479289941</v>
      </c>
      <c r="H302" s="541">
        <f t="shared" si="14"/>
        <v>18240.576923076922</v>
      </c>
      <c r="I302" s="446"/>
    </row>
    <row r="303" spans="2:9" ht="26.1" hidden="1" customHeight="1" thickTop="1" thickBot="1" x14ac:dyDescent="0.4">
      <c r="B303" s="366"/>
      <c r="C303" s="452">
        <v>45741</v>
      </c>
      <c r="D303" s="451">
        <v>288</v>
      </c>
      <c r="E303" s="454" t="s">
        <v>905</v>
      </c>
      <c r="F303" s="539">
        <f t="shared" si="12"/>
        <v>3251.868131868132</v>
      </c>
      <c r="G303" s="540">
        <f t="shared" si="13"/>
        <v>250.14370245139477</v>
      </c>
      <c r="H303" s="541">
        <f t="shared" si="14"/>
        <v>18251.868131868134</v>
      </c>
      <c r="I303" s="446"/>
    </row>
    <row r="304" spans="2:9" ht="26.1" hidden="1" customHeight="1" thickTop="1" thickBot="1" x14ac:dyDescent="0.4">
      <c r="B304" s="366"/>
      <c r="C304" s="452">
        <v>45742</v>
      </c>
      <c r="D304" s="451">
        <v>289</v>
      </c>
      <c r="E304" s="454" t="s">
        <v>906</v>
      </c>
      <c r="F304" s="539">
        <f t="shared" si="12"/>
        <v>3263.1593406593411</v>
      </c>
      <c r="G304" s="540">
        <f t="shared" si="13"/>
        <v>251.01225697379547</v>
      </c>
      <c r="H304" s="541">
        <f t="shared" si="14"/>
        <v>18263.159340659342</v>
      </c>
      <c r="I304" s="446"/>
    </row>
    <row r="305" spans="2:9" ht="26.1" hidden="1" customHeight="1" thickTop="1" thickBot="1" x14ac:dyDescent="0.4">
      <c r="B305" s="366"/>
      <c r="C305" s="452">
        <v>45743</v>
      </c>
      <c r="D305" s="451">
        <v>290</v>
      </c>
      <c r="E305" s="454" t="s">
        <v>907</v>
      </c>
      <c r="F305" s="539">
        <f t="shared" si="12"/>
        <v>3274.4505494505497</v>
      </c>
      <c r="G305" s="540">
        <f t="shared" si="13"/>
        <v>251.88081149619615</v>
      </c>
      <c r="H305" s="541">
        <f t="shared" si="14"/>
        <v>18274.45054945055</v>
      </c>
      <c r="I305" s="446"/>
    </row>
    <row r="306" spans="2:9" ht="26.1" hidden="1" customHeight="1" thickTop="1" thickBot="1" x14ac:dyDescent="0.4">
      <c r="B306" s="366"/>
      <c r="C306" s="452">
        <v>45744</v>
      </c>
      <c r="D306" s="451">
        <v>291</v>
      </c>
      <c r="E306" s="454" t="s">
        <v>908</v>
      </c>
      <c r="F306" s="539">
        <f t="shared" si="12"/>
        <v>3285.7417582417584</v>
      </c>
      <c r="G306" s="540">
        <f t="shared" si="13"/>
        <v>252.74936601859679</v>
      </c>
      <c r="H306" s="541">
        <f t="shared" si="14"/>
        <v>18285.741758241758</v>
      </c>
      <c r="I306" s="446"/>
    </row>
    <row r="307" spans="2:9" ht="26.1" hidden="1" customHeight="1" thickTop="1" thickBot="1" x14ac:dyDescent="0.4">
      <c r="B307" s="366"/>
      <c r="C307" s="452">
        <v>45745</v>
      </c>
      <c r="D307" s="451">
        <v>292</v>
      </c>
      <c r="E307" s="454" t="s">
        <v>909</v>
      </c>
      <c r="F307" s="539">
        <f t="shared" si="12"/>
        <v>3297.0329670329675</v>
      </c>
      <c r="G307" s="540">
        <f t="shared" si="13"/>
        <v>253.61792054099749</v>
      </c>
      <c r="H307" s="541">
        <f t="shared" si="14"/>
        <v>18297.032967032967</v>
      </c>
      <c r="I307" s="446"/>
    </row>
    <row r="308" spans="2:9" ht="26.1" hidden="1" customHeight="1" thickTop="1" thickBot="1" x14ac:dyDescent="0.4">
      <c r="B308" s="366"/>
      <c r="C308" s="452">
        <v>45746</v>
      </c>
      <c r="D308" s="451">
        <v>293</v>
      </c>
      <c r="E308" s="454" t="s">
        <v>910</v>
      </c>
      <c r="F308" s="539">
        <f t="shared" si="12"/>
        <v>3308.3241758241761</v>
      </c>
      <c r="G308" s="540">
        <f t="shared" si="13"/>
        <v>254.48647506339816</v>
      </c>
      <c r="H308" s="541">
        <f t="shared" si="14"/>
        <v>18308.324175824175</v>
      </c>
      <c r="I308" s="446"/>
    </row>
    <row r="309" spans="2:9" ht="26.1" hidden="1" customHeight="1" thickTop="1" thickBot="1" x14ac:dyDescent="0.4">
      <c r="B309" s="366"/>
      <c r="C309" s="452">
        <v>45747</v>
      </c>
      <c r="D309" s="451">
        <v>294</v>
      </c>
      <c r="E309" s="454" t="s">
        <v>904</v>
      </c>
      <c r="F309" s="539">
        <f t="shared" si="12"/>
        <v>3319.6153846153848</v>
      </c>
      <c r="G309" s="540">
        <f t="shared" si="13"/>
        <v>255.35502958579883</v>
      </c>
      <c r="H309" s="541">
        <f t="shared" si="14"/>
        <v>18319.615384615383</v>
      </c>
      <c r="I309" s="446"/>
    </row>
    <row r="310" spans="2:9" ht="26.1" hidden="1" customHeight="1" thickTop="1" thickBot="1" x14ac:dyDescent="0.4">
      <c r="B310" s="366"/>
      <c r="C310" s="452">
        <v>45748</v>
      </c>
      <c r="D310" s="451">
        <v>295</v>
      </c>
      <c r="E310" s="454" t="s">
        <v>905</v>
      </c>
      <c r="F310" s="539">
        <f t="shared" si="12"/>
        <v>3330.9065934065934</v>
      </c>
      <c r="G310" s="540">
        <f t="shared" si="13"/>
        <v>256.22358410819947</v>
      </c>
      <c r="H310" s="541">
        <f t="shared" si="14"/>
        <v>18330.906593406595</v>
      </c>
      <c r="I310" s="446"/>
    </row>
    <row r="311" spans="2:9" ht="26.1" hidden="1" customHeight="1" thickTop="1" thickBot="1" x14ac:dyDescent="0.4">
      <c r="B311" s="366"/>
      <c r="C311" s="452">
        <v>45749</v>
      </c>
      <c r="D311" s="451">
        <v>296</v>
      </c>
      <c r="E311" s="454" t="s">
        <v>906</v>
      </c>
      <c r="F311" s="539">
        <f t="shared" si="12"/>
        <v>3342.1978021978025</v>
      </c>
      <c r="G311" s="540">
        <f t="shared" si="13"/>
        <v>257.09213863060018</v>
      </c>
      <c r="H311" s="541">
        <f t="shared" si="14"/>
        <v>18342.197802197803</v>
      </c>
      <c r="I311" s="446"/>
    </row>
    <row r="312" spans="2:9" ht="26.1" hidden="1" customHeight="1" thickTop="1" thickBot="1" x14ac:dyDescent="0.4">
      <c r="B312" s="366"/>
      <c r="C312" s="452">
        <v>45750</v>
      </c>
      <c r="D312" s="451">
        <v>297</v>
      </c>
      <c r="E312" s="454" t="s">
        <v>907</v>
      </c>
      <c r="F312" s="539">
        <f t="shared" si="12"/>
        <v>3353.4890109890111</v>
      </c>
      <c r="G312" s="540">
        <f t="shared" si="13"/>
        <v>257.96069315300088</v>
      </c>
      <c r="H312" s="541">
        <f t="shared" si="14"/>
        <v>18353.489010989011</v>
      </c>
      <c r="I312" s="446"/>
    </row>
    <row r="313" spans="2:9" ht="26.1" hidden="1" customHeight="1" thickTop="1" thickBot="1" x14ac:dyDescent="0.4">
      <c r="B313" s="366"/>
      <c r="C313" s="452">
        <v>45751</v>
      </c>
      <c r="D313" s="451">
        <v>298</v>
      </c>
      <c r="E313" s="454" t="s">
        <v>908</v>
      </c>
      <c r="F313" s="539">
        <f t="shared" si="12"/>
        <v>3364.7802197802198</v>
      </c>
      <c r="G313" s="540">
        <f t="shared" si="13"/>
        <v>258.82924767540152</v>
      </c>
      <c r="H313" s="541">
        <f t="shared" si="14"/>
        <v>18364.780219780219</v>
      </c>
      <c r="I313" s="446"/>
    </row>
    <row r="314" spans="2:9" ht="26.1" hidden="1" customHeight="1" thickTop="1" thickBot="1" x14ac:dyDescent="0.4">
      <c r="B314" s="366"/>
      <c r="C314" s="452">
        <v>45752</v>
      </c>
      <c r="D314" s="451">
        <v>299</v>
      </c>
      <c r="E314" s="454" t="s">
        <v>909</v>
      </c>
      <c r="F314" s="539">
        <f t="shared" si="12"/>
        <v>3376.0714285714289</v>
      </c>
      <c r="G314" s="540">
        <f t="shared" si="13"/>
        <v>259.69780219780222</v>
      </c>
      <c r="H314" s="541">
        <f t="shared" si="14"/>
        <v>18376.071428571428</v>
      </c>
      <c r="I314" s="446"/>
    </row>
    <row r="315" spans="2:9" ht="26.1" hidden="1" customHeight="1" thickTop="1" thickBot="1" x14ac:dyDescent="0.4">
      <c r="B315" s="366"/>
      <c r="C315" s="452">
        <v>45753</v>
      </c>
      <c r="D315" s="451">
        <v>300</v>
      </c>
      <c r="E315" s="454" t="s">
        <v>910</v>
      </c>
      <c r="F315" s="539">
        <f t="shared" si="12"/>
        <v>3387.3626373626375</v>
      </c>
      <c r="G315" s="540">
        <f t="shared" si="13"/>
        <v>260.56635672020286</v>
      </c>
      <c r="H315" s="541">
        <f t="shared" si="14"/>
        <v>18387.362637362639</v>
      </c>
      <c r="I315" s="446"/>
    </row>
    <row r="316" spans="2:9" ht="26.1" hidden="1" customHeight="1" thickTop="1" thickBot="1" x14ac:dyDescent="0.4">
      <c r="B316" s="366"/>
      <c r="C316" s="452">
        <v>45754</v>
      </c>
      <c r="D316" s="451">
        <v>301</v>
      </c>
      <c r="E316" s="454" t="s">
        <v>904</v>
      </c>
      <c r="F316" s="539">
        <f t="shared" si="12"/>
        <v>3398.6538461538462</v>
      </c>
      <c r="G316" s="540">
        <f t="shared" si="13"/>
        <v>261.43491124260356</v>
      </c>
      <c r="H316" s="541">
        <f t="shared" si="14"/>
        <v>18398.653846153848</v>
      </c>
      <c r="I316" s="446"/>
    </row>
    <row r="317" spans="2:9" ht="26.1" hidden="1" customHeight="1" thickTop="1" thickBot="1" x14ac:dyDescent="0.4">
      <c r="B317" s="366"/>
      <c r="C317" s="452">
        <v>45755</v>
      </c>
      <c r="D317" s="451">
        <v>302</v>
      </c>
      <c r="E317" s="454" t="s">
        <v>905</v>
      </c>
      <c r="F317" s="539">
        <f t="shared" si="12"/>
        <v>3409.9450549450553</v>
      </c>
      <c r="G317" s="540">
        <f t="shared" si="13"/>
        <v>262.30346576500426</v>
      </c>
      <c r="H317" s="541">
        <f t="shared" si="14"/>
        <v>18409.945054945056</v>
      </c>
      <c r="I317" s="446"/>
    </row>
    <row r="318" spans="2:9" ht="26.1" hidden="1" customHeight="1" thickTop="1" thickBot="1" x14ac:dyDescent="0.4">
      <c r="B318" s="366"/>
      <c r="C318" s="452">
        <v>45756</v>
      </c>
      <c r="D318" s="451">
        <v>303</v>
      </c>
      <c r="E318" s="454" t="s">
        <v>906</v>
      </c>
      <c r="F318" s="539">
        <f t="shared" si="12"/>
        <v>3421.2362637362639</v>
      </c>
      <c r="G318" s="540">
        <f t="shared" si="13"/>
        <v>263.17202028740491</v>
      </c>
      <c r="H318" s="541">
        <f t="shared" si="14"/>
        <v>18421.236263736264</v>
      </c>
      <c r="I318" s="446"/>
    </row>
    <row r="319" spans="2:9" ht="26.1" hidden="1" customHeight="1" thickTop="1" thickBot="1" x14ac:dyDescent="0.4">
      <c r="B319" s="366"/>
      <c r="C319" s="452">
        <v>45757</v>
      </c>
      <c r="D319" s="451">
        <v>304</v>
      </c>
      <c r="E319" s="454" t="s">
        <v>907</v>
      </c>
      <c r="F319" s="539">
        <f t="shared" si="12"/>
        <v>3432.5274725274726</v>
      </c>
      <c r="G319" s="540">
        <f t="shared" si="13"/>
        <v>264.04057480980561</v>
      </c>
      <c r="H319" s="541">
        <f t="shared" si="14"/>
        <v>18432.527472527472</v>
      </c>
      <c r="I319" s="446"/>
    </row>
    <row r="320" spans="2:9" ht="26.1" hidden="1" customHeight="1" thickTop="1" thickBot="1" x14ac:dyDescent="0.4">
      <c r="B320" s="366"/>
      <c r="C320" s="452">
        <v>45758</v>
      </c>
      <c r="D320" s="451">
        <v>305</v>
      </c>
      <c r="E320" s="454" t="s">
        <v>908</v>
      </c>
      <c r="F320" s="539">
        <f t="shared" si="12"/>
        <v>3443.8186813186817</v>
      </c>
      <c r="G320" s="540">
        <f t="shared" si="13"/>
        <v>264.90912933220631</v>
      </c>
      <c r="H320" s="541">
        <f t="shared" si="14"/>
        <v>18443.81868131868</v>
      </c>
      <c r="I320" s="446"/>
    </row>
    <row r="321" spans="2:9" ht="26.1" hidden="1" customHeight="1" thickTop="1" thickBot="1" x14ac:dyDescent="0.4">
      <c r="B321" s="366"/>
      <c r="C321" s="452">
        <v>45759</v>
      </c>
      <c r="D321" s="451">
        <v>306</v>
      </c>
      <c r="E321" s="454" t="s">
        <v>909</v>
      </c>
      <c r="F321" s="539">
        <f t="shared" si="12"/>
        <v>3455.1098901098903</v>
      </c>
      <c r="G321" s="540">
        <f t="shared" si="13"/>
        <v>265.77768385460695</v>
      </c>
      <c r="H321" s="541">
        <f t="shared" si="14"/>
        <v>18455.109890109889</v>
      </c>
      <c r="I321" s="446"/>
    </row>
    <row r="322" spans="2:9" ht="26.1" hidden="1" customHeight="1" thickTop="1" thickBot="1" x14ac:dyDescent="0.4">
      <c r="B322" s="366"/>
      <c r="C322" s="452">
        <v>45760</v>
      </c>
      <c r="D322" s="451">
        <v>307</v>
      </c>
      <c r="E322" s="454" t="s">
        <v>910</v>
      </c>
      <c r="F322" s="539">
        <f t="shared" si="12"/>
        <v>3466.401098901099</v>
      </c>
      <c r="G322" s="540">
        <f t="shared" si="13"/>
        <v>266.64623837700759</v>
      </c>
      <c r="H322" s="541">
        <f t="shared" si="14"/>
        <v>18466.4010989011</v>
      </c>
      <c r="I322" s="446"/>
    </row>
    <row r="323" spans="2:9" ht="26.1" hidden="1" customHeight="1" thickTop="1" thickBot="1" x14ac:dyDescent="0.4">
      <c r="B323" s="366"/>
      <c r="C323" s="452">
        <v>45761</v>
      </c>
      <c r="D323" s="451">
        <v>308</v>
      </c>
      <c r="E323" s="454" t="s">
        <v>904</v>
      </c>
      <c r="F323" s="539">
        <f t="shared" si="12"/>
        <v>3477.6923076923081</v>
      </c>
      <c r="G323" s="540">
        <f t="shared" si="13"/>
        <v>267.51479289940829</v>
      </c>
      <c r="H323" s="541">
        <f t="shared" si="14"/>
        <v>18477.692307692309</v>
      </c>
      <c r="I323" s="446"/>
    </row>
    <row r="324" spans="2:9" ht="26.1" hidden="1" customHeight="1" thickTop="1" thickBot="1" x14ac:dyDescent="0.4">
      <c r="B324" s="366"/>
      <c r="C324" s="452">
        <v>45762</v>
      </c>
      <c r="D324" s="451">
        <v>309</v>
      </c>
      <c r="E324" s="454" t="s">
        <v>905</v>
      </c>
      <c r="F324" s="539">
        <f t="shared" si="12"/>
        <v>3488.9835164835167</v>
      </c>
      <c r="G324" s="540">
        <f t="shared" si="13"/>
        <v>268.38334742180899</v>
      </c>
      <c r="H324" s="541">
        <f t="shared" si="14"/>
        <v>18488.983516483517</v>
      </c>
      <c r="I324" s="446"/>
    </row>
    <row r="325" spans="2:9" ht="26.1" hidden="1" customHeight="1" thickTop="1" thickBot="1" x14ac:dyDescent="0.4">
      <c r="B325" s="366"/>
      <c r="C325" s="452">
        <v>45763</v>
      </c>
      <c r="D325" s="451">
        <v>310</v>
      </c>
      <c r="E325" s="454" t="s">
        <v>906</v>
      </c>
      <c r="F325" s="539">
        <f t="shared" si="12"/>
        <v>3500.2747252747254</v>
      </c>
      <c r="G325" s="540">
        <f t="shared" si="13"/>
        <v>269.25190194420964</v>
      </c>
      <c r="H325" s="541">
        <f t="shared" si="14"/>
        <v>18500.274725274725</v>
      </c>
      <c r="I325" s="446"/>
    </row>
    <row r="326" spans="2:9" ht="26.1" hidden="1" customHeight="1" thickTop="1" thickBot="1" x14ac:dyDescent="0.4">
      <c r="B326" s="366"/>
      <c r="C326" s="452">
        <v>45764</v>
      </c>
      <c r="D326" s="451">
        <v>311</v>
      </c>
      <c r="E326" s="454" t="s">
        <v>907</v>
      </c>
      <c r="F326" s="539">
        <f t="shared" si="12"/>
        <v>3511.5659340659345</v>
      </c>
      <c r="G326" s="540">
        <f t="shared" si="13"/>
        <v>270.12045646661034</v>
      </c>
      <c r="H326" s="541">
        <f t="shared" si="14"/>
        <v>18511.565934065933</v>
      </c>
      <c r="I326" s="446"/>
    </row>
    <row r="327" spans="2:9" ht="26.1" hidden="1" customHeight="1" thickTop="1" thickBot="1" x14ac:dyDescent="0.4">
      <c r="B327" s="366"/>
      <c r="C327" s="452">
        <v>45765</v>
      </c>
      <c r="D327" s="451">
        <v>312</v>
      </c>
      <c r="E327" s="454" t="s">
        <v>908</v>
      </c>
      <c r="F327" s="539">
        <f t="shared" si="12"/>
        <v>3522.8571428571431</v>
      </c>
      <c r="G327" s="540">
        <f t="shared" si="13"/>
        <v>270.98901098901104</v>
      </c>
      <c r="H327" s="541">
        <f t="shared" si="14"/>
        <v>18522.857142857145</v>
      </c>
      <c r="I327" s="446"/>
    </row>
    <row r="328" spans="2:9" ht="26.1" hidden="1" customHeight="1" thickTop="1" thickBot="1" x14ac:dyDescent="0.4">
      <c r="B328" s="366"/>
      <c r="C328" s="452">
        <v>45766</v>
      </c>
      <c r="D328" s="451">
        <v>313</v>
      </c>
      <c r="E328" s="454" t="s">
        <v>909</v>
      </c>
      <c r="F328" s="539">
        <f t="shared" si="12"/>
        <v>3534.1483516483518</v>
      </c>
      <c r="G328" s="540">
        <f t="shared" si="13"/>
        <v>271.85756551141168</v>
      </c>
      <c r="H328" s="541">
        <f t="shared" si="14"/>
        <v>18534.148351648353</v>
      </c>
      <c r="I328" s="446"/>
    </row>
    <row r="329" spans="2:9" ht="26.1" hidden="1" customHeight="1" thickTop="1" thickBot="1" x14ac:dyDescent="0.4">
      <c r="B329" s="366"/>
      <c r="C329" s="452">
        <v>45767</v>
      </c>
      <c r="D329" s="451">
        <v>314</v>
      </c>
      <c r="E329" s="454" t="s">
        <v>910</v>
      </c>
      <c r="F329" s="539">
        <f t="shared" si="12"/>
        <v>3545.4395604395609</v>
      </c>
      <c r="G329" s="540">
        <f t="shared" si="13"/>
        <v>272.72612003381238</v>
      </c>
      <c r="H329" s="541">
        <f t="shared" si="14"/>
        <v>18545.439560439561</v>
      </c>
      <c r="I329" s="446"/>
    </row>
    <row r="330" spans="2:9" ht="26.1" hidden="1" customHeight="1" thickTop="1" thickBot="1" x14ac:dyDescent="0.4">
      <c r="B330" s="366"/>
      <c r="C330" s="452">
        <v>45768</v>
      </c>
      <c r="D330" s="451">
        <v>315</v>
      </c>
      <c r="E330" s="454" t="s">
        <v>904</v>
      </c>
      <c r="F330" s="539">
        <f t="shared" si="12"/>
        <v>3556.7307692307695</v>
      </c>
      <c r="G330" s="540">
        <f t="shared" si="13"/>
        <v>273.59467455621302</v>
      </c>
      <c r="H330" s="541">
        <f t="shared" si="14"/>
        <v>18556.73076923077</v>
      </c>
      <c r="I330" s="446"/>
    </row>
    <row r="331" spans="2:9" ht="26.1" hidden="1" customHeight="1" thickTop="1" thickBot="1" x14ac:dyDescent="0.4">
      <c r="B331" s="366"/>
      <c r="C331" s="452">
        <v>45769</v>
      </c>
      <c r="D331" s="451">
        <v>316</v>
      </c>
      <c r="E331" s="454" t="s">
        <v>905</v>
      </c>
      <c r="F331" s="539">
        <f t="shared" si="12"/>
        <v>3568.0219780219782</v>
      </c>
      <c r="G331" s="540">
        <f t="shared" si="13"/>
        <v>274.46322907861372</v>
      </c>
      <c r="H331" s="541">
        <f t="shared" si="14"/>
        <v>18568.021978021978</v>
      </c>
      <c r="I331" s="446"/>
    </row>
    <row r="332" spans="2:9" ht="26.1" hidden="1" customHeight="1" thickTop="1" thickBot="1" x14ac:dyDescent="0.4">
      <c r="B332" s="366"/>
      <c r="C332" s="452">
        <v>45770</v>
      </c>
      <c r="D332" s="451">
        <v>317</v>
      </c>
      <c r="E332" s="454" t="s">
        <v>906</v>
      </c>
      <c r="F332" s="539">
        <f t="shared" si="12"/>
        <v>3579.3131868131873</v>
      </c>
      <c r="G332" s="540">
        <f t="shared" si="13"/>
        <v>275.33178360101442</v>
      </c>
      <c r="H332" s="541">
        <f t="shared" si="14"/>
        <v>18579.313186813186</v>
      </c>
      <c r="I332" s="446"/>
    </row>
    <row r="333" spans="2:9" ht="26.1" hidden="1" customHeight="1" thickTop="1" thickBot="1" x14ac:dyDescent="0.4">
      <c r="B333" s="366"/>
      <c r="C333" s="452">
        <v>45771</v>
      </c>
      <c r="D333" s="451">
        <v>318</v>
      </c>
      <c r="E333" s="454" t="s">
        <v>907</v>
      </c>
      <c r="F333" s="539">
        <f t="shared" si="12"/>
        <v>3590.6043956043959</v>
      </c>
      <c r="G333" s="540">
        <f t="shared" si="13"/>
        <v>276.20033812341507</v>
      </c>
      <c r="H333" s="541">
        <f t="shared" si="14"/>
        <v>18590.604395604394</v>
      </c>
      <c r="I333" s="446"/>
    </row>
    <row r="334" spans="2:9" ht="26.1" hidden="1" customHeight="1" thickTop="1" thickBot="1" x14ac:dyDescent="0.4">
      <c r="B334" s="366"/>
      <c r="C334" s="452">
        <v>45772</v>
      </c>
      <c r="D334" s="451">
        <v>319</v>
      </c>
      <c r="E334" s="454" t="s">
        <v>908</v>
      </c>
      <c r="F334" s="539">
        <f t="shared" si="12"/>
        <v>3601.8956043956046</v>
      </c>
      <c r="G334" s="540">
        <f t="shared" si="13"/>
        <v>277.06889264581571</v>
      </c>
      <c r="H334" s="541">
        <f t="shared" si="14"/>
        <v>18601.895604395606</v>
      </c>
      <c r="I334" s="446"/>
    </row>
    <row r="335" spans="2:9" ht="26.1" hidden="1" customHeight="1" thickTop="1" thickBot="1" x14ac:dyDescent="0.4">
      <c r="B335" s="366"/>
      <c r="C335" s="452">
        <v>45773</v>
      </c>
      <c r="D335" s="451">
        <v>320</v>
      </c>
      <c r="E335" s="454" t="s">
        <v>909</v>
      </c>
      <c r="F335" s="539">
        <f t="shared" si="12"/>
        <v>3613.1868131868132</v>
      </c>
      <c r="G335" s="540">
        <f t="shared" si="13"/>
        <v>277.93744716821641</v>
      </c>
      <c r="H335" s="541">
        <f t="shared" si="14"/>
        <v>18613.186813186814</v>
      </c>
      <c r="I335" s="446"/>
    </row>
    <row r="336" spans="2:9" ht="26.1" hidden="1" customHeight="1" thickTop="1" thickBot="1" x14ac:dyDescent="0.4">
      <c r="B336" s="366"/>
      <c r="C336" s="452">
        <v>45774</v>
      </c>
      <c r="D336" s="451">
        <v>321</v>
      </c>
      <c r="E336" s="454" t="s">
        <v>910</v>
      </c>
      <c r="F336" s="539">
        <f t="shared" ref="F336:F379" si="15">$E$8/$F$10*D336</f>
        <v>3624.4780219780223</v>
      </c>
      <c r="G336" s="540">
        <f t="shared" ref="G336:G379" si="16">F336/$C$12</f>
        <v>278.80600169061711</v>
      </c>
      <c r="H336" s="541">
        <f t="shared" si="14"/>
        <v>18624.478021978022</v>
      </c>
      <c r="I336" s="446"/>
    </row>
    <row r="337" spans="2:9" ht="26.1" hidden="1" customHeight="1" thickTop="1" thickBot="1" x14ac:dyDescent="0.4">
      <c r="B337" s="366"/>
      <c r="C337" s="452">
        <v>45775</v>
      </c>
      <c r="D337" s="451">
        <v>322</v>
      </c>
      <c r="E337" s="454" t="s">
        <v>904</v>
      </c>
      <c r="F337" s="539">
        <f t="shared" si="15"/>
        <v>3635.7692307692309</v>
      </c>
      <c r="G337" s="540">
        <f t="shared" si="16"/>
        <v>279.67455621301775</v>
      </c>
      <c r="H337" s="541">
        <f t="shared" ref="H337:H379" si="17">$C$8+F337</f>
        <v>18635.76923076923</v>
      </c>
      <c r="I337" s="446"/>
    </row>
    <row r="338" spans="2:9" ht="26.1" hidden="1" customHeight="1" thickTop="1" thickBot="1" x14ac:dyDescent="0.4">
      <c r="B338" s="366"/>
      <c r="C338" s="452">
        <v>45776</v>
      </c>
      <c r="D338" s="451">
        <v>323</v>
      </c>
      <c r="E338" s="454" t="s">
        <v>905</v>
      </c>
      <c r="F338" s="539">
        <f t="shared" si="15"/>
        <v>3647.0604395604396</v>
      </c>
      <c r="G338" s="540">
        <f t="shared" si="16"/>
        <v>280.54311073541845</v>
      </c>
      <c r="H338" s="541">
        <f t="shared" si="17"/>
        <v>18647.060439560439</v>
      </c>
      <c r="I338" s="446"/>
    </row>
    <row r="339" spans="2:9" ht="26.1" hidden="1" customHeight="1" thickTop="1" thickBot="1" x14ac:dyDescent="0.4">
      <c r="B339" s="366"/>
      <c r="C339" s="452">
        <v>45777</v>
      </c>
      <c r="D339" s="451">
        <v>324</v>
      </c>
      <c r="E339" s="454" t="s">
        <v>906</v>
      </c>
      <c r="F339" s="539">
        <f t="shared" si="15"/>
        <v>3658.3516483516487</v>
      </c>
      <c r="G339" s="540">
        <f t="shared" si="16"/>
        <v>281.41166525781915</v>
      </c>
      <c r="H339" s="541">
        <f t="shared" si="17"/>
        <v>18658.351648351651</v>
      </c>
      <c r="I339" s="446"/>
    </row>
    <row r="340" spans="2:9" ht="26.1" hidden="1" customHeight="1" thickTop="1" thickBot="1" x14ac:dyDescent="0.4">
      <c r="B340" s="366"/>
      <c r="C340" s="452">
        <v>45778</v>
      </c>
      <c r="D340" s="451">
        <v>325</v>
      </c>
      <c r="E340" s="454" t="s">
        <v>907</v>
      </c>
      <c r="F340" s="539">
        <f t="shared" si="15"/>
        <v>3669.6428571428573</v>
      </c>
      <c r="G340" s="540">
        <f t="shared" si="16"/>
        <v>282.2802197802198</v>
      </c>
      <c r="H340" s="541">
        <f t="shared" si="17"/>
        <v>18669.642857142859</v>
      </c>
      <c r="I340" s="446"/>
    </row>
    <row r="341" spans="2:9" ht="26.1" hidden="1" customHeight="1" thickTop="1" thickBot="1" x14ac:dyDescent="0.4">
      <c r="B341" s="366"/>
      <c r="C341" s="452">
        <v>45779</v>
      </c>
      <c r="D341" s="451">
        <v>326</v>
      </c>
      <c r="E341" s="454" t="s">
        <v>908</v>
      </c>
      <c r="F341" s="539">
        <f t="shared" si="15"/>
        <v>3680.934065934066</v>
      </c>
      <c r="G341" s="540">
        <f t="shared" si="16"/>
        <v>283.14877430262044</v>
      </c>
      <c r="H341" s="541">
        <f t="shared" si="17"/>
        <v>18680.934065934067</v>
      </c>
      <c r="I341" s="446"/>
    </row>
    <row r="342" spans="2:9" ht="26.1" hidden="1" customHeight="1" thickTop="1" thickBot="1" x14ac:dyDescent="0.4">
      <c r="B342" s="366"/>
      <c r="C342" s="452">
        <v>45780</v>
      </c>
      <c r="D342" s="451">
        <v>327</v>
      </c>
      <c r="E342" s="454" t="s">
        <v>909</v>
      </c>
      <c r="F342" s="539">
        <f t="shared" si="15"/>
        <v>3692.2252747252751</v>
      </c>
      <c r="G342" s="540">
        <f t="shared" si="16"/>
        <v>284.01732882502114</v>
      </c>
      <c r="H342" s="541">
        <f t="shared" si="17"/>
        <v>18692.225274725275</v>
      </c>
      <c r="I342" s="446"/>
    </row>
    <row r="343" spans="2:9" ht="26.1" hidden="1" customHeight="1" thickTop="1" thickBot="1" x14ac:dyDescent="0.4">
      <c r="B343" s="366"/>
      <c r="C343" s="452">
        <v>45781</v>
      </c>
      <c r="D343" s="451">
        <v>328</v>
      </c>
      <c r="E343" s="454" t="s">
        <v>910</v>
      </c>
      <c r="F343" s="539">
        <f t="shared" si="15"/>
        <v>3703.5164835164837</v>
      </c>
      <c r="G343" s="540">
        <f t="shared" si="16"/>
        <v>284.88588334742184</v>
      </c>
      <c r="H343" s="541">
        <f t="shared" si="17"/>
        <v>18703.516483516483</v>
      </c>
      <c r="I343" s="446"/>
    </row>
    <row r="344" spans="2:9" ht="26.1" hidden="1" customHeight="1" thickTop="1" thickBot="1" x14ac:dyDescent="0.4">
      <c r="B344" s="366"/>
      <c r="C344" s="452">
        <v>45782</v>
      </c>
      <c r="D344" s="451">
        <v>329</v>
      </c>
      <c r="E344" s="454" t="s">
        <v>904</v>
      </c>
      <c r="F344" s="539">
        <f t="shared" si="15"/>
        <v>3714.8076923076924</v>
      </c>
      <c r="G344" s="540">
        <f t="shared" si="16"/>
        <v>285.75443786982248</v>
      </c>
      <c r="H344" s="541">
        <f t="shared" si="17"/>
        <v>18714.807692307691</v>
      </c>
      <c r="I344" s="446"/>
    </row>
    <row r="345" spans="2:9" ht="26.1" hidden="1" customHeight="1" thickTop="1" thickBot="1" x14ac:dyDescent="0.4">
      <c r="B345" s="366"/>
      <c r="C345" s="452">
        <v>45783</v>
      </c>
      <c r="D345" s="451">
        <v>330</v>
      </c>
      <c r="E345" s="454" t="s">
        <v>905</v>
      </c>
      <c r="F345" s="539">
        <f t="shared" si="15"/>
        <v>3726.0989010989015</v>
      </c>
      <c r="G345" s="540">
        <f t="shared" si="16"/>
        <v>286.62299239222318</v>
      </c>
      <c r="H345" s="541">
        <f t="shared" si="17"/>
        <v>18726.0989010989</v>
      </c>
      <c r="I345" s="446"/>
    </row>
    <row r="346" spans="2:9" ht="26.1" hidden="1" customHeight="1" thickTop="1" thickBot="1" x14ac:dyDescent="0.4">
      <c r="B346" s="366"/>
      <c r="C346" s="452">
        <v>45784</v>
      </c>
      <c r="D346" s="451">
        <v>331</v>
      </c>
      <c r="E346" s="454" t="s">
        <v>906</v>
      </c>
      <c r="F346" s="539">
        <f t="shared" si="15"/>
        <v>3737.3901098901101</v>
      </c>
      <c r="G346" s="540">
        <f t="shared" si="16"/>
        <v>287.49154691462388</v>
      </c>
      <c r="H346" s="541">
        <f t="shared" si="17"/>
        <v>18737.390109890111</v>
      </c>
      <c r="I346" s="446"/>
    </row>
    <row r="347" spans="2:9" ht="26.1" hidden="1" customHeight="1" thickTop="1" thickBot="1" x14ac:dyDescent="0.4">
      <c r="B347" s="366"/>
      <c r="C347" s="452">
        <v>45785</v>
      </c>
      <c r="D347" s="451">
        <v>332</v>
      </c>
      <c r="E347" s="454" t="s">
        <v>907</v>
      </c>
      <c r="F347" s="539">
        <f t="shared" si="15"/>
        <v>3748.6813186813188</v>
      </c>
      <c r="G347" s="540">
        <f t="shared" si="16"/>
        <v>288.36010143702453</v>
      </c>
      <c r="H347" s="541">
        <f t="shared" si="17"/>
        <v>18748.68131868132</v>
      </c>
      <c r="I347" s="446"/>
    </row>
    <row r="348" spans="2:9" ht="26.1" hidden="1" customHeight="1" thickTop="1" thickBot="1" x14ac:dyDescent="0.4">
      <c r="B348" s="366"/>
      <c r="C348" s="452">
        <v>45786</v>
      </c>
      <c r="D348" s="451">
        <v>333</v>
      </c>
      <c r="E348" s="454" t="s">
        <v>908</v>
      </c>
      <c r="F348" s="539">
        <f t="shared" si="15"/>
        <v>3759.9725274725279</v>
      </c>
      <c r="G348" s="540">
        <f t="shared" si="16"/>
        <v>289.22865595942523</v>
      </c>
      <c r="H348" s="541">
        <f t="shared" si="17"/>
        <v>18759.972527472528</v>
      </c>
      <c r="I348" s="446"/>
    </row>
    <row r="349" spans="2:9" ht="26.1" hidden="1" customHeight="1" thickTop="1" thickBot="1" x14ac:dyDescent="0.4">
      <c r="B349" s="366"/>
      <c r="C349" s="452">
        <v>45787</v>
      </c>
      <c r="D349" s="451">
        <v>334</v>
      </c>
      <c r="E349" s="454" t="s">
        <v>909</v>
      </c>
      <c r="F349" s="539">
        <f t="shared" si="15"/>
        <v>3771.2637362637365</v>
      </c>
      <c r="G349" s="540">
        <f t="shared" si="16"/>
        <v>290.09721048182587</v>
      </c>
      <c r="H349" s="541">
        <f t="shared" si="17"/>
        <v>18771.263736263736</v>
      </c>
      <c r="I349" s="446"/>
    </row>
    <row r="350" spans="2:9" ht="26.1" hidden="1" customHeight="1" thickTop="1" thickBot="1" x14ac:dyDescent="0.4">
      <c r="B350" s="366"/>
      <c r="C350" s="452">
        <v>45788</v>
      </c>
      <c r="D350" s="451">
        <v>335</v>
      </c>
      <c r="E350" s="454" t="s">
        <v>910</v>
      </c>
      <c r="F350" s="539">
        <f t="shared" si="15"/>
        <v>3782.5549450549452</v>
      </c>
      <c r="G350" s="540">
        <f t="shared" si="16"/>
        <v>290.96576500422657</v>
      </c>
      <c r="H350" s="541">
        <f t="shared" si="17"/>
        <v>18782.554945054944</v>
      </c>
      <c r="I350" s="446"/>
    </row>
    <row r="351" spans="2:9" ht="26.1" hidden="1" customHeight="1" thickTop="1" thickBot="1" x14ac:dyDescent="0.4">
      <c r="B351" s="366"/>
      <c r="C351" s="452">
        <v>45789</v>
      </c>
      <c r="D351" s="451">
        <v>336</v>
      </c>
      <c r="E351" s="454" t="s">
        <v>904</v>
      </c>
      <c r="F351" s="539">
        <f t="shared" si="15"/>
        <v>3793.8461538461543</v>
      </c>
      <c r="G351" s="540">
        <f t="shared" si="16"/>
        <v>291.83431952662727</v>
      </c>
      <c r="H351" s="541">
        <f t="shared" si="17"/>
        <v>18793.846153846156</v>
      </c>
      <c r="I351" s="446"/>
    </row>
    <row r="352" spans="2:9" ht="26.1" hidden="1" customHeight="1" thickTop="1" thickBot="1" x14ac:dyDescent="0.4">
      <c r="B352" s="366"/>
      <c r="C352" s="452">
        <v>45790</v>
      </c>
      <c r="D352" s="451">
        <v>337</v>
      </c>
      <c r="E352" s="454" t="s">
        <v>905</v>
      </c>
      <c r="F352" s="539">
        <f t="shared" si="15"/>
        <v>3805.1373626373629</v>
      </c>
      <c r="G352" s="540">
        <f t="shared" si="16"/>
        <v>292.70287404902791</v>
      </c>
      <c r="H352" s="541">
        <f t="shared" si="17"/>
        <v>18805.137362637364</v>
      </c>
      <c r="I352" s="446"/>
    </row>
    <row r="353" spans="2:9" ht="26.1" hidden="1" customHeight="1" thickTop="1" thickBot="1" x14ac:dyDescent="0.4">
      <c r="B353" s="366"/>
      <c r="C353" s="452">
        <v>45791</v>
      </c>
      <c r="D353" s="451">
        <v>338</v>
      </c>
      <c r="E353" s="454" t="s">
        <v>906</v>
      </c>
      <c r="F353" s="539">
        <f t="shared" si="15"/>
        <v>3816.4285714285716</v>
      </c>
      <c r="G353" s="540">
        <f t="shared" si="16"/>
        <v>293.57142857142856</v>
      </c>
      <c r="H353" s="541">
        <f t="shared" si="17"/>
        <v>18816.428571428572</v>
      </c>
      <c r="I353" s="446"/>
    </row>
    <row r="354" spans="2:9" ht="26.1" hidden="1" customHeight="1" thickTop="1" thickBot="1" x14ac:dyDescent="0.4">
      <c r="B354" s="366"/>
      <c r="C354" s="452">
        <v>45792</v>
      </c>
      <c r="D354" s="451">
        <v>339</v>
      </c>
      <c r="E354" s="454" t="s">
        <v>907</v>
      </c>
      <c r="F354" s="539">
        <f t="shared" si="15"/>
        <v>3827.7197802197807</v>
      </c>
      <c r="G354" s="540">
        <f t="shared" si="16"/>
        <v>294.43998309382926</v>
      </c>
      <c r="H354" s="541">
        <f t="shared" si="17"/>
        <v>18827.719780219781</v>
      </c>
      <c r="I354" s="446"/>
    </row>
    <row r="355" spans="2:9" ht="26.1" hidden="1" customHeight="1" thickTop="1" thickBot="1" x14ac:dyDescent="0.4">
      <c r="B355" s="366"/>
      <c r="C355" s="452">
        <v>45793</v>
      </c>
      <c r="D355" s="451">
        <v>340</v>
      </c>
      <c r="E355" s="454" t="s">
        <v>908</v>
      </c>
      <c r="F355" s="539">
        <f t="shared" si="15"/>
        <v>3839.0109890109893</v>
      </c>
      <c r="G355" s="540">
        <f t="shared" si="16"/>
        <v>295.30853761622996</v>
      </c>
      <c r="H355" s="541">
        <f t="shared" si="17"/>
        <v>18839.010989010989</v>
      </c>
      <c r="I355" s="446"/>
    </row>
    <row r="356" spans="2:9" ht="26.1" hidden="1" customHeight="1" thickTop="1" thickBot="1" x14ac:dyDescent="0.4">
      <c r="B356" s="366"/>
      <c r="C356" s="452">
        <v>45794</v>
      </c>
      <c r="D356" s="451">
        <v>341</v>
      </c>
      <c r="E356" s="454" t="s">
        <v>909</v>
      </c>
      <c r="F356" s="539">
        <f t="shared" si="15"/>
        <v>3850.302197802198</v>
      </c>
      <c r="G356" s="540">
        <f t="shared" si="16"/>
        <v>296.1770921386306</v>
      </c>
      <c r="H356" s="541">
        <f t="shared" si="17"/>
        <v>18850.302197802197</v>
      </c>
      <c r="I356" s="446"/>
    </row>
    <row r="357" spans="2:9" ht="26.1" hidden="1" customHeight="1" thickTop="1" thickBot="1" x14ac:dyDescent="0.4">
      <c r="B357" s="366"/>
      <c r="C357" s="452">
        <v>45795</v>
      </c>
      <c r="D357" s="451">
        <v>342</v>
      </c>
      <c r="E357" s="454" t="s">
        <v>910</v>
      </c>
      <c r="F357" s="539">
        <f t="shared" si="15"/>
        <v>3861.5934065934071</v>
      </c>
      <c r="G357" s="540">
        <f t="shared" si="16"/>
        <v>297.0456466610313</v>
      </c>
      <c r="H357" s="541">
        <f t="shared" si="17"/>
        <v>18861.593406593405</v>
      </c>
      <c r="I357" s="446"/>
    </row>
    <row r="358" spans="2:9" ht="26.1" hidden="1" customHeight="1" thickTop="1" thickBot="1" x14ac:dyDescent="0.4">
      <c r="B358" s="366"/>
      <c r="C358" s="452">
        <v>45796</v>
      </c>
      <c r="D358" s="451">
        <v>343</v>
      </c>
      <c r="E358" s="454" t="s">
        <v>904</v>
      </c>
      <c r="F358" s="539">
        <f t="shared" si="15"/>
        <v>3872.8846153846157</v>
      </c>
      <c r="G358" s="540">
        <f t="shared" si="16"/>
        <v>297.914201183432</v>
      </c>
      <c r="H358" s="541">
        <f t="shared" si="17"/>
        <v>18872.884615384617</v>
      </c>
      <c r="I358" s="446"/>
    </row>
    <row r="359" spans="2:9" ht="26.1" hidden="1" customHeight="1" thickTop="1" thickBot="1" x14ac:dyDescent="0.4">
      <c r="B359" s="366"/>
      <c r="C359" s="452">
        <v>45797</v>
      </c>
      <c r="D359" s="451">
        <v>344</v>
      </c>
      <c r="E359" s="454" t="s">
        <v>905</v>
      </c>
      <c r="F359" s="539">
        <f t="shared" si="15"/>
        <v>3884.1758241758243</v>
      </c>
      <c r="G359" s="540">
        <f t="shared" si="16"/>
        <v>298.78275570583264</v>
      </c>
      <c r="H359" s="541">
        <f t="shared" si="17"/>
        <v>18884.175824175825</v>
      </c>
      <c r="I359" s="446"/>
    </row>
    <row r="360" spans="2:9" ht="26.1" hidden="1" customHeight="1" thickTop="1" thickBot="1" x14ac:dyDescent="0.4">
      <c r="B360" s="366"/>
      <c r="C360" s="452">
        <v>45798</v>
      </c>
      <c r="D360" s="451">
        <v>345</v>
      </c>
      <c r="E360" s="454" t="s">
        <v>906</v>
      </c>
      <c r="F360" s="539">
        <f t="shared" si="15"/>
        <v>3895.4670329670334</v>
      </c>
      <c r="G360" s="540">
        <f t="shared" si="16"/>
        <v>299.65131022823334</v>
      </c>
      <c r="H360" s="541">
        <f t="shared" si="17"/>
        <v>18895.467032967033</v>
      </c>
      <c r="I360" s="446"/>
    </row>
    <row r="361" spans="2:9" ht="26.1" hidden="1" customHeight="1" thickTop="1" thickBot="1" x14ac:dyDescent="0.4">
      <c r="B361" s="366"/>
      <c r="C361" s="452">
        <v>45799</v>
      </c>
      <c r="D361" s="451">
        <v>346</v>
      </c>
      <c r="E361" s="454" t="s">
        <v>907</v>
      </c>
      <c r="F361" s="539">
        <f t="shared" si="15"/>
        <v>3906.7582417582421</v>
      </c>
      <c r="G361" s="540">
        <f t="shared" si="16"/>
        <v>300.51986475063399</v>
      </c>
      <c r="H361" s="541">
        <f t="shared" si="17"/>
        <v>18906.758241758242</v>
      </c>
      <c r="I361" s="446"/>
    </row>
    <row r="362" spans="2:9" ht="26.1" hidden="1" customHeight="1" thickTop="1" thickBot="1" x14ac:dyDescent="0.4">
      <c r="B362" s="366"/>
      <c r="C362" s="452">
        <v>45800</v>
      </c>
      <c r="D362" s="451">
        <v>347</v>
      </c>
      <c r="E362" s="454" t="s">
        <v>908</v>
      </c>
      <c r="F362" s="539">
        <f t="shared" si="15"/>
        <v>3918.0494505494507</v>
      </c>
      <c r="G362" s="540">
        <f t="shared" si="16"/>
        <v>301.38841927303469</v>
      </c>
      <c r="H362" s="541">
        <f t="shared" si="17"/>
        <v>18918.04945054945</v>
      </c>
      <c r="I362" s="446"/>
    </row>
    <row r="363" spans="2:9" ht="26.1" hidden="1" customHeight="1" thickTop="1" thickBot="1" x14ac:dyDescent="0.4">
      <c r="B363" s="366"/>
      <c r="C363" s="452">
        <v>45801</v>
      </c>
      <c r="D363" s="451">
        <v>348</v>
      </c>
      <c r="E363" s="454" t="s">
        <v>909</v>
      </c>
      <c r="F363" s="539">
        <f t="shared" si="15"/>
        <v>3929.3406593406594</v>
      </c>
      <c r="G363" s="540">
        <f t="shared" si="16"/>
        <v>302.25697379543533</v>
      </c>
      <c r="H363" s="541">
        <f t="shared" si="17"/>
        <v>18929.340659340658</v>
      </c>
      <c r="I363" s="446"/>
    </row>
    <row r="364" spans="2:9" ht="26.1" hidden="1" customHeight="1" thickTop="1" thickBot="1" x14ac:dyDescent="0.4">
      <c r="B364" s="366"/>
      <c r="C364" s="452">
        <v>45802</v>
      </c>
      <c r="D364" s="451">
        <v>349</v>
      </c>
      <c r="E364" s="454" t="s">
        <v>910</v>
      </c>
      <c r="F364" s="539">
        <f t="shared" si="15"/>
        <v>3940.6318681318685</v>
      </c>
      <c r="G364" s="540">
        <f t="shared" si="16"/>
        <v>303.12552831783603</v>
      </c>
      <c r="H364" s="541">
        <f t="shared" si="17"/>
        <v>18940.63186813187</v>
      </c>
      <c r="I364" s="446"/>
    </row>
    <row r="365" spans="2:9" ht="26.1" hidden="1" customHeight="1" thickTop="1" thickBot="1" x14ac:dyDescent="0.4">
      <c r="B365" s="366"/>
      <c r="C365" s="452">
        <v>45803</v>
      </c>
      <c r="D365" s="451">
        <v>350</v>
      </c>
      <c r="E365" s="454" t="s">
        <v>904</v>
      </c>
      <c r="F365" s="539">
        <f t="shared" si="15"/>
        <v>3951.9230769230771</v>
      </c>
      <c r="G365" s="540">
        <f t="shared" si="16"/>
        <v>303.99408284023673</v>
      </c>
      <c r="H365" s="541">
        <f t="shared" si="17"/>
        <v>18951.923076923078</v>
      </c>
      <c r="I365" s="446"/>
    </row>
    <row r="366" spans="2:9" ht="26.1" hidden="1" customHeight="1" thickTop="1" thickBot="1" x14ac:dyDescent="0.4">
      <c r="B366" s="366"/>
      <c r="C366" s="452">
        <v>45804</v>
      </c>
      <c r="D366" s="451">
        <v>351</v>
      </c>
      <c r="E366" s="454" t="s">
        <v>905</v>
      </c>
      <c r="F366" s="539">
        <f t="shared" si="15"/>
        <v>3963.2142857142858</v>
      </c>
      <c r="G366" s="540">
        <f t="shared" si="16"/>
        <v>304.86263736263737</v>
      </c>
      <c r="H366" s="541">
        <f t="shared" si="17"/>
        <v>18963.214285714286</v>
      </c>
      <c r="I366" s="446"/>
    </row>
    <row r="367" spans="2:9" ht="26.1" hidden="1" customHeight="1" thickTop="1" thickBot="1" x14ac:dyDescent="0.4">
      <c r="B367" s="366"/>
      <c r="C367" s="452">
        <v>45805</v>
      </c>
      <c r="D367" s="451">
        <v>352</v>
      </c>
      <c r="E367" s="454" t="s">
        <v>906</v>
      </c>
      <c r="F367" s="539">
        <f t="shared" si="15"/>
        <v>3974.5054945054949</v>
      </c>
      <c r="G367" s="540">
        <f t="shared" si="16"/>
        <v>305.73119188503807</v>
      </c>
      <c r="H367" s="541">
        <f t="shared" si="17"/>
        <v>18974.505494505494</v>
      </c>
      <c r="I367" s="446"/>
    </row>
    <row r="368" spans="2:9" ht="26.1" hidden="1" customHeight="1" thickTop="1" thickBot="1" x14ac:dyDescent="0.4">
      <c r="B368" s="366"/>
      <c r="C368" s="452">
        <v>45806</v>
      </c>
      <c r="D368" s="451">
        <v>353</v>
      </c>
      <c r="E368" s="454" t="s">
        <v>907</v>
      </c>
      <c r="F368" s="539">
        <f t="shared" si="15"/>
        <v>3985.7967032967035</v>
      </c>
      <c r="G368" s="540">
        <f t="shared" si="16"/>
        <v>306.59974640743872</v>
      </c>
      <c r="H368" s="541">
        <f t="shared" si="17"/>
        <v>18985.796703296703</v>
      </c>
      <c r="I368" s="446"/>
    </row>
    <row r="369" spans="2:9" ht="26.1" hidden="1" customHeight="1" thickTop="1" thickBot="1" x14ac:dyDescent="0.4">
      <c r="B369" s="366"/>
      <c r="C369" s="452">
        <v>45807</v>
      </c>
      <c r="D369" s="451">
        <v>354</v>
      </c>
      <c r="E369" s="454" t="s">
        <v>908</v>
      </c>
      <c r="F369" s="539">
        <f t="shared" si="15"/>
        <v>3997.0879120879122</v>
      </c>
      <c r="G369" s="540">
        <f t="shared" si="16"/>
        <v>307.46830092983942</v>
      </c>
      <c r="H369" s="541">
        <f t="shared" si="17"/>
        <v>18997.087912087911</v>
      </c>
      <c r="I369" s="446"/>
    </row>
    <row r="370" spans="2:9" ht="26.1" hidden="1" customHeight="1" thickTop="1" thickBot="1" x14ac:dyDescent="0.4">
      <c r="B370" s="366"/>
      <c r="C370" s="452">
        <v>45808</v>
      </c>
      <c r="D370" s="451">
        <v>355</v>
      </c>
      <c r="E370" s="454" t="s">
        <v>909</v>
      </c>
      <c r="F370" s="539">
        <f t="shared" si="15"/>
        <v>4008.3791208791213</v>
      </c>
      <c r="G370" s="540">
        <f t="shared" si="16"/>
        <v>308.33685545224012</v>
      </c>
      <c r="H370" s="541">
        <f t="shared" si="17"/>
        <v>19008.379120879123</v>
      </c>
      <c r="I370" s="446"/>
    </row>
    <row r="371" spans="2:9" ht="26.1" hidden="1" customHeight="1" thickTop="1" thickBot="1" x14ac:dyDescent="0.4">
      <c r="B371" s="366"/>
      <c r="C371" s="452">
        <v>45809</v>
      </c>
      <c r="D371" s="451">
        <v>356</v>
      </c>
      <c r="E371" s="454" t="s">
        <v>910</v>
      </c>
      <c r="F371" s="539">
        <f t="shared" si="15"/>
        <v>4019.6703296703299</v>
      </c>
      <c r="G371" s="540">
        <f t="shared" si="16"/>
        <v>309.20540997464076</v>
      </c>
      <c r="H371" s="541">
        <f t="shared" si="17"/>
        <v>19019.670329670331</v>
      </c>
      <c r="I371" s="446"/>
    </row>
    <row r="372" spans="2:9" ht="26.1" hidden="1" customHeight="1" thickTop="1" thickBot="1" x14ac:dyDescent="0.4">
      <c r="B372" s="366"/>
      <c r="C372" s="452">
        <v>45810</v>
      </c>
      <c r="D372" s="451">
        <v>357</v>
      </c>
      <c r="E372" s="454" t="s">
        <v>904</v>
      </c>
      <c r="F372" s="539">
        <f t="shared" si="15"/>
        <v>4030.9615384615386</v>
      </c>
      <c r="G372" s="540">
        <f t="shared" si="16"/>
        <v>310.0739644970414</v>
      </c>
      <c r="H372" s="541">
        <f t="shared" si="17"/>
        <v>19030.961538461539</v>
      </c>
      <c r="I372" s="446"/>
    </row>
    <row r="373" spans="2:9" ht="26.1" hidden="1" customHeight="1" thickTop="1" thickBot="1" x14ac:dyDescent="0.4">
      <c r="B373" s="366"/>
      <c r="C373" s="452">
        <v>45811</v>
      </c>
      <c r="D373" s="451">
        <v>358</v>
      </c>
      <c r="E373" s="454" t="s">
        <v>905</v>
      </c>
      <c r="F373" s="539">
        <f t="shared" si="15"/>
        <v>4042.2527472527477</v>
      </c>
      <c r="G373" s="540">
        <f t="shared" si="16"/>
        <v>310.9425190194421</v>
      </c>
      <c r="H373" s="541">
        <f t="shared" si="17"/>
        <v>19042.252747252747</v>
      </c>
      <c r="I373" s="446"/>
    </row>
    <row r="374" spans="2:9" ht="26.1" hidden="1" customHeight="1" thickTop="1" thickBot="1" x14ac:dyDescent="0.4">
      <c r="B374" s="366"/>
      <c r="C374" s="452">
        <v>45812</v>
      </c>
      <c r="D374" s="451">
        <v>359</v>
      </c>
      <c r="E374" s="454" t="s">
        <v>906</v>
      </c>
      <c r="F374" s="539">
        <f t="shared" si="15"/>
        <v>4053.5439560439563</v>
      </c>
      <c r="G374" s="540">
        <f t="shared" si="16"/>
        <v>311.8110735418428</v>
      </c>
      <c r="H374" s="541">
        <f t="shared" si="17"/>
        <v>19053.543956043955</v>
      </c>
      <c r="I374" s="446"/>
    </row>
    <row r="375" spans="2:9" ht="26.1" hidden="1" customHeight="1" thickTop="1" thickBot="1" x14ac:dyDescent="0.4">
      <c r="B375" s="366"/>
      <c r="C375" s="452">
        <v>45813</v>
      </c>
      <c r="D375" s="451">
        <v>360</v>
      </c>
      <c r="E375" s="454" t="s">
        <v>907</v>
      </c>
      <c r="F375" s="539">
        <f t="shared" si="15"/>
        <v>4064.835164835165</v>
      </c>
      <c r="G375" s="540">
        <f t="shared" si="16"/>
        <v>312.67962806424345</v>
      </c>
      <c r="H375" s="541">
        <f t="shared" si="17"/>
        <v>19064.835164835164</v>
      </c>
      <c r="I375" s="446"/>
    </row>
    <row r="376" spans="2:9" ht="26.1" hidden="1" customHeight="1" thickTop="1" thickBot="1" x14ac:dyDescent="0.4">
      <c r="B376" s="366"/>
      <c r="C376" s="452">
        <v>45814</v>
      </c>
      <c r="D376" s="451">
        <v>361</v>
      </c>
      <c r="E376" s="454" t="s">
        <v>908</v>
      </c>
      <c r="F376" s="539">
        <f t="shared" si="15"/>
        <v>4076.1263736263741</v>
      </c>
      <c r="G376" s="540">
        <f t="shared" si="16"/>
        <v>313.54818258664415</v>
      </c>
      <c r="H376" s="541">
        <f t="shared" si="17"/>
        <v>19076.126373626375</v>
      </c>
      <c r="I376" s="446"/>
    </row>
    <row r="377" spans="2:9" ht="26.1" hidden="1" customHeight="1" thickTop="1" thickBot="1" x14ac:dyDescent="0.4">
      <c r="B377" s="366"/>
      <c r="C377" s="452">
        <v>45815</v>
      </c>
      <c r="D377" s="451">
        <v>362</v>
      </c>
      <c r="E377" s="454" t="s">
        <v>909</v>
      </c>
      <c r="F377" s="539">
        <f t="shared" si="15"/>
        <v>4087.4175824175827</v>
      </c>
      <c r="G377" s="540">
        <f t="shared" si="16"/>
        <v>314.41673710904485</v>
      </c>
      <c r="H377" s="541">
        <f t="shared" si="17"/>
        <v>19087.417582417584</v>
      </c>
      <c r="I377" s="446"/>
    </row>
    <row r="378" spans="2:9" ht="26.1" hidden="1" customHeight="1" thickTop="1" thickBot="1" x14ac:dyDescent="0.4">
      <c r="B378" s="366"/>
      <c r="C378" s="452">
        <v>45816</v>
      </c>
      <c r="D378" s="451">
        <v>363</v>
      </c>
      <c r="E378" s="454" t="s">
        <v>910</v>
      </c>
      <c r="F378" s="539">
        <f t="shared" si="15"/>
        <v>4098.7087912087918</v>
      </c>
      <c r="G378" s="540">
        <f t="shared" si="16"/>
        <v>315.28529163144555</v>
      </c>
      <c r="H378" s="541">
        <f t="shared" si="17"/>
        <v>19098.708791208792</v>
      </c>
      <c r="I378" s="446"/>
    </row>
    <row r="379" spans="2:9" ht="26.1" hidden="1" customHeight="1" thickTop="1" thickBot="1" x14ac:dyDescent="0.4">
      <c r="B379" s="366"/>
      <c r="C379" s="452">
        <v>45817</v>
      </c>
      <c r="D379" s="451">
        <v>364</v>
      </c>
      <c r="E379" s="454" t="s">
        <v>904</v>
      </c>
      <c r="F379" s="539">
        <f t="shared" si="15"/>
        <v>4110</v>
      </c>
      <c r="G379" s="540">
        <f t="shared" si="16"/>
        <v>316.15384615384613</v>
      </c>
      <c r="H379" s="541">
        <f t="shared" si="17"/>
        <v>19110</v>
      </c>
      <c r="I379" s="447"/>
    </row>
    <row r="380" spans="2:9" ht="5.0999999999999996" hidden="1" customHeight="1" thickTop="1" thickBot="1" x14ac:dyDescent="0.35">
      <c r="B380" s="365"/>
      <c r="C380" s="367"/>
      <c r="D380" s="367"/>
      <c r="E380" s="368"/>
      <c r="F380" s="369"/>
      <c r="G380" s="354"/>
      <c r="H380" s="369"/>
      <c r="I380" s="354"/>
    </row>
    <row r="381" spans="2:9" hidden="1" x14ac:dyDescent="0.3">
      <c r="G381" s="12"/>
    </row>
    <row r="382" spans="2:9" x14ac:dyDescent="0.3">
      <c r="G382" s="12"/>
    </row>
    <row r="383" spans="2:9" x14ac:dyDescent="0.3">
      <c r="G383" s="12"/>
    </row>
    <row r="384" spans="2:9" ht="21" thickBot="1" x14ac:dyDescent="0.35">
      <c r="G384" s="12"/>
    </row>
    <row r="385" spans="2:12" ht="5.0999999999999996" customHeight="1" thickBot="1" x14ac:dyDescent="0.35">
      <c r="B385" s="463"/>
      <c r="C385" s="368"/>
      <c r="D385" s="368"/>
      <c r="E385" s="368"/>
      <c r="F385" s="369"/>
      <c r="G385" s="368"/>
      <c r="H385" s="369"/>
      <c r="I385" s="354"/>
    </row>
    <row r="386" spans="2:12" s="383" customFormat="1" ht="70.5" customHeight="1" thickBot="1" x14ac:dyDescent="0.3">
      <c r="B386" s="588"/>
      <c r="C386" s="1102" t="s">
        <v>513</v>
      </c>
      <c r="D386" s="1103"/>
      <c r="E386" s="1103"/>
      <c r="F386" s="1103"/>
      <c r="G386" s="1103"/>
      <c r="H386" s="1104"/>
      <c r="I386" s="588"/>
    </row>
    <row r="387" spans="2:12" s="70" customFormat="1" ht="48" thickTop="1" thickBot="1" x14ac:dyDescent="0.8">
      <c r="B387" s="592"/>
      <c r="C387" s="1106" t="s">
        <v>998</v>
      </c>
      <c r="D387" s="1106"/>
      <c r="E387" s="1106"/>
      <c r="F387" s="1106"/>
      <c r="G387" s="1106"/>
      <c r="H387" s="1106"/>
      <c r="I387" s="591"/>
    </row>
    <row r="388" spans="2:12" ht="5.0999999999999996" customHeight="1" thickBot="1" x14ac:dyDescent="0.35">
      <c r="B388" s="353"/>
      <c r="C388" s="545"/>
      <c r="D388" s="546"/>
      <c r="E388" s="546"/>
      <c r="F388" s="547"/>
      <c r="G388" s="545"/>
      <c r="H388" s="547"/>
      <c r="I388" s="369"/>
    </row>
    <row r="389" spans="2:12" s="355" customFormat="1" ht="48" customHeight="1" thickTop="1" thickBot="1" x14ac:dyDescent="0.3">
      <c r="B389" s="356"/>
      <c r="C389" s="456" t="s">
        <v>919</v>
      </c>
      <c r="D389" s="457" t="s">
        <v>920</v>
      </c>
      <c r="E389" s="538" t="s">
        <v>969</v>
      </c>
      <c r="F389" s="538" t="s">
        <v>991</v>
      </c>
      <c r="G389" s="1100">
        <v>46107</v>
      </c>
      <c r="H389" s="1100"/>
      <c r="I389" s="440"/>
    </row>
    <row r="390" spans="2:12" s="64" customFormat="1" ht="48" customHeight="1" thickTop="1" thickBot="1" x14ac:dyDescent="0.4">
      <c r="B390" s="357"/>
      <c r="C390" s="443">
        <f>F8</f>
        <v>19110</v>
      </c>
      <c r="D390" s="444">
        <v>0.155</v>
      </c>
      <c r="E390" s="544">
        <f>C390*D390</f>
        <v>2962.05</v>
      </c>
      <c r="F390" s="537">
        <f>C390+E390</f>
        <v>22072.05</v>
      </c>
      <c r="G390" s="1101" t="str">
        <f>VLOOKUP($G389,$C$398:$H$761,3,0)</f>
        <v>THURSDAY</v>
      </c>
      <c r="H390" s="1101"/>
      <c r="I390" s="441" t="e">
        <f>B390/#REF!</f>
        <v>#REF!</v>
      </c>
    </row>
    <row r="391" spans="2:12" s="64" customFormat="1" ht="62.25" thickTop="1" thickBot="1" x14ac:dyDescent="0.4">
      <c r="B391" s="357"/>
      <c r="C391" s="459" t="s">
        <v>976</v>
      </c>
      <c r="D391" s="457" t="s">
        <v>973</v>
      </c>
      <c r="E391" s="457" t="s">
        <v>974</v>
      </c>
      <c r="F391" s="538" t="s">
        <v>970</v>
      </c>
      <c r="G391" s="578" t="s">
        <v>943</v>
      </c>
      <c r="H391" s="578" t="s">
        <v>968</v>
      </c>
      <c r="I391" s="441"/>
    </row>
    <row r="392" spans="2:12" s="64" customFormat="1" ht="48" customHeight="1" thickTop="1" thickBot="1" x14ac:dyDescent="0.4">
      <c r="B392" s="357"/>
      <c r="C392" s="567" t="s">
        <v>994</v>
      </c>
      <c r="D392" s="568">
        <f>C398</f>
        <v>45818</v>
      </c>
      <c r="E392" s="568">
        <f>C761</f>
        <v>46181</v>
      </c>
      <c r="F392" s="548">
        <v>364</v>
      </c>
      <c r="G392" s="579">
        <f>VLOOKUP($G389,$C$398:$H$761,2,0)</f>
        <v>290</v>
      </c>
      <c r="H392" s="564">
        <f>F392-G392</f>
        <v>74</v>
      </c>
      <c r="I392" s="441"/>
    </row>
    <row r="393" spans="2:12" s="462" customFormat="1" ht="78" customHeight="1" thickTop="1" thickBot="1" x14ac:dyDescent="0.35">
      <c r="B393" s="460"/>
      <c r="C393" s="553" t="s">
        <v>975</v>
      </c>
      <c r="D393" s="555" t="s">
        <v>987</v>
      </c>
      <c r="E393" s="554" t="s">
        <v>988</v>
      </c>
      <c r="F393" s="580" t="s">
        <v>914</v>
      </c>
      <c r="G393" s="578" t="s">
        <v>993</v>
      </c>
      <c r="H393" s="554" t="s">
        <v>989</v>
      </c>
      <c r="I393" s="461"/>
    </row>
    <row r="394" spans="2:12" ht="51" customHeight="1" thickTop="1" thickBot="1" x14ac:dyDescent="0.35">
      <c r="B394" s="366"/>
      <c r="C394" s="564">
        <f>C12</f>
        <v>13</v>
      </c>
      <c r="D394" s="566">
        <f>VLOOKUP($G389,$C$398:$H$761,4,0)</f>
        <v>2359.8750000000005</v>
      </c>
      <c r="E394" s="566">
        <f>VLOOKUP($G389,$C$398:$H$761,5,0)</f>
        <v>181.52884615384619</v>
      </c>
      <c r="F394" s="565">
        <f>$C$390+D394</f>
        <v>21469.875</v>
      </c>
      <c r="G394" s="566">
        <f>G12+E394</f>
        <v>497.68269230769232</v>
      </c>
      <c r="H394" s="565">
        <f>D12+D394</f>
        <v>6469.875</v>
      </c>
      <c r="I394" s="542"/>
      <c r="L394" s="84"/>
    </row>
    <row r="395" spans="2:12" ht="5.0999999999999996" customHeight="1" thickTop="1" thickBot="1" x14ac:dyDescent="0.35">
      <c r="B395" s="358"/>
      <c r="C395" s="558"/>
      <c r="D395" s="559"/>
      <c r="E395" s="560"/>
      <c r="F395" s="561" t="s">
        <v>1001</v>
      </c>
      <c r="G395" s="562"/>
      <c r="H395" s="563"/>
      <c r="I395" s="364"/>
    </row>
    <row r="396" spans="2:12" s="383" customFormat="1" ht="70.5" hidden="1" customHeight="1" thickBot="1" x14ac:dyDescent="0.3">
      <c r="B396" s="384"/>
      <c r="C396" s="543" t="s">
        <v>51</v>
      </c>
      <c r="D396" s="543" t="s">
        <v>903</v>
      </c>
      <c r="E396" s="543" t="s">
        <v>921</v>
      </c>
      <c r="F396" s="543" t="s">
        <v>986</v>
      </c>
      <c r="G396" s="543" t="s">
        <v>966</v>
      </c>
      <c r="H396" s="543" t="s">
        <v>1</v>
      </c>
      <c r="I396" s="442"/>
    </row>
    <row r="397" spans="2:12" ht="5.0999999999999996" hidden="1" customHeight="1" thickTop="1" thickBot="1" x14ac:dyDescent="0.35">
      <c r="B397" s="358"/>
      <c r="C397" s="359"/>
      <c r="D397" s="360"/>
      <c r="E397" s="361"/>
      <c r="F397" s="362"/>
      <c r="G397" s="363"/>
      <c r="H397" s="362"/>
      <c r="I397" s="364"/>
    </row>
    <row r="398" spans="2:12" ht="26.1" hidden="1" customHeight="1" thickBot="1" x14ac:dyDescent="0.4">
      <c r="B398" s="366"/>
      <c r="C398" s="452">
        <v>45818</v>
      </c>
      <c r="D398" s="453">
        <v>1</v>
      </c>
      <c r="E398" s="581" t="s">
        <v>905</v>
      </c>
      <c r="F398" s="539">
        <f>$E$390/$F$392*D398</f>
        <v>8.1375000000000011</v>
      </c>
      <c r="G398" s="540">
        <f>F398/$C$394</f>
        <v>0.62596153846153857</v>
      </c>
      <c r="H398" s="541">
        <f>$C$390+F398</f>
        <v>19118.137500000001</v>
      </c>
      <c r="I398" s="446"/>
    </row>
    <row r="399" spans="2:12" ht="26.1" hidden="1" customHeight="1" thickTop="1" thickBot="1" x14ac:dyDescent="0.4">
      <c r="B399" s="366"/>
      <c r="C399" s="452">
        <v>45819</v>
      </c>
      <c r="D399" s="451">
        <v>2</v>
      </c>
      <c r="E399" s="581" t="s">
        <v>906</v>
      </c>
      <c r="F399" s="539">
        <f t="shared" ref="F399:F462" si="18">$E$390/$F$392*D399</f>
        <v>16.275000000000002</v>
      </c>
      <c r="G399" s="540">
        <f t="shared" ref="G399:G462" si="19">F399/$C$394</f>
        <v>1.2519230769230771</v>
      </c>
      <c r="H399" s="541">
        <f t="shared" ref="H399:H462" si="20">$C$390+F399</f>
        <v>19126.275000000001</v>
      </c>
      <c r="I399" s="446"/>
    </row>
    <row r="400" spans="2:12" ht="26.1" hidden="1" customHeight="1" thickTop="1" thickBot="1" x14ac:dyDescent="0.4">
      <c r="B400" s="366"/>
      <c r="C400" s="452">
        <v>45820</v>
      </c>
      <c r="D400" s="451">
        <v>3</v>
      </c>
      <c r="E400" s="581" t="s">
        <v>907</v>
      </c>
      <c r="F400" s="539">
        <f t="shared" si="18"/>
        <v>24.412500000000001</v>
      </c>
      <c r="G400" s="540">
        <f t="shared" si="19"/>
        <v>1.8778846153846156</v>
      </c>
      <c r="H400" s="541">
        <f t="shared" si="20"/>
        <v>19134.412499999999</v>
      </c>
      <c r="I400" s="446"/>
    </row>
    <row r="401" spans="2:9" ht="26.1" hidden="1" customHeight="1" thickTop="1" thickBot="1" x14ac:dyDescent="0.4">
      <c r="B401" s="366"/>
      <c r="C401" s="452">
        <v>45821</v>
      </c>
      <c r="D401" s="451">
        <v>4</v>
      </c>
      <c r="E401" s="581" t="s">
        <v>908</v>
      </c>
      <c r="F401" s="539">
        <f t="shared" si="18"/>
        <v>32.550000000000004</v>
      </c>
      <c r="G401" s="540">
        <f t="shared" si="19"/>
        <v>2.5038461538461543</v>
      </c>
      <c r="H401" s="541">
        <f t="shared" si="20"/>
        <v>19142.55</v>
      </c>
      <c r="I401" s="446"/>
    </row>
    <row r="402" spans="2:9" ht="26.1" hidden="1" customHeight="1" thickTop="1" thickBot="1" x14ac:dyDescent="0.4">
      <c r="B402" s="366"/>
      <c r="C402" s="452">
        <v>45822</v>
      </c>
      <c r="D402" s="451">
        <v>5</v>
      </c>
      <c r="E402" s="581" t="s">
        <v>909</v>
      </c>
      <c r="F402" s="539">
        <f t="shared" si="18"/>
        <v>40.687500000000007</v>
      </c>
      <c r="G402" s="540">
        <f t="shared" si="19"/>
        <v>3.129807692307693</v>
      </c>
      <c r="H402" s="541">
        <f t="shared" si="20"/>
        <v>19150.6875</v>
      </c>
      <c r="I402" s="446"/>
    </row>
    <row r="403" spans="2:9" ht="26.1" hidden="1" customHeight="1" thickTop="1" thickBot="1" x14ac:dyDescent="0.4">
      <c r="B403" s="366"/>
      <c r="C403" s="452">
        <v>45823</v>
      </c>
      <c r="D403" s="451">
        <v>6</v>
      </c>
      <c r="E403" s="581" t="s">
        <v>910</v>
      </c>
      <c r="F403" s="539">
        <f t="shared" si="18"/>
        <v>48.825000000000003</v>
      </c>
      <c r="G403" s="540">
        <f t="shared" si="19"/>
        <v>3.7557692307692312</v>
      </c>
      <c r="H403" s="541">
        <f t="shared" si="20"/>
        <v>19158.825000000001</v>
      </c>
      <c r="I403" s="446"/>
    </row>
    <row r="404" spans="2:9" ht="26.1" hidden="1" customHeight="1" thickTop="1" thickBot="1" x14ac:dyDescent="0.4">
      <c r="B404" s="366"/>
      <c r="C404" s="452">
        <v>45824</v>
      </c>
      <c r="D404" s="451">
        <v>7</v>
      </c>
      <c r="E404" s="581" t="s">
        <v>904</v>
      </c>
      <c r="F404" s="539">
        <f t="shared" si="18"/>
        <v>56.962500000000006</v>
      </c>
      <c r="G404" s="540">
        <f t="shared" si="19"/>
        <v>4.3817307692307699</v>
      </c>
      <c r="H404" s="541">
        <f t="shared" si="20"/>
        <v>19166.962500000001</v>
      </c>
      <c r="I404" s="446"/>
    </row>
    <row r="405" spans="2:9" ht="26.1" hidden="1" customHeight="1" thickTop="1" thickBot="1" x14ac:dyDescent="0.4">
      <c r="B405" s="366"/>
      <c r="C405" s="452">
        <v>45825</v>
      </c>
      <c r="D405" s="451">
        <v>8</v>
      </c>
      <c r="E405" s="581" t="s">
        <v>905</v>
      </c>
      <c r="F405" s="539">
        <f t="shared" si="18"/>
        <v>65.100000000000009</v>
      </c>
      <c r="G405" s="540">
        <f t="shared" si="19"/>
        <v>5.0076923076923086</v>
      </c>
      <c r="H405" s="541">
        <f t="shared" si="20"/>
        <v>19175.099999999999</v>
      </c>
      <c r="I405" s="446"/>
    </row>
    <row r="406" spans="2:9" ht="26.1" hidden="1" customHeight="1" thickTop="1" thickBot="1" x14ac:dyDescent="0.4">
      <c r="B406" s="366"/>
      <c r="C406" s="452">
        <v>45826</v>
      </c>
      <c r="D406" s="451">
        <v>9</v>
      </c>
      <c r="E406" s="581" t="s">
        <v>906</v>
      </c>
      <c r="F406" s="539">
        <f t="shared" si="18"/>
        <v>73.237500000000011</v>
      </c>
      <c r="G406" s="540">
        <f t="shared" si="19"/>
        <v>5.6336538461538472</v>
      </c>
      <c r="H406" s="541">
        <f t="shared" si="20"/>
        <v>19183.237499999999</v>
      </c>
      <c r="I406" s="446"/>
    </row>
    <row r="407" spans="2:9" ht="26.1" hidden="1" customHeight="1" thickTop="1" thickBot="1" x14ac:dyDescent="0.4">
      <c r="B407" s="366"/>
      <c r="C407" s="452">
        <v>45827</v>
      </c>
      <c r="D407" s="451">
        <v>10</v>
      </c>
      <c r="E407" s="581" t="s">
        <v>907</v>
      </c>
      <c r="F407" s="539">
        <f t="shared" si="18"/>
        <v>81.375000000000014</v>
      </c>
      <c r="G407" s="540">
        <f t="shared" si="19"/>
        <v>6.2596153846153859</v>
      </c>
      <c r="H407" s="541">
        <f t="shared" si="20"/>
        <v>19191.375</v>
      </c>
      <c r="I407" s="446"/>
    </row>
    <row r="408" spans="2:9" ht="26.1" hidden="1" customHeight="1" thickTop="1" thickBot="1" x14ac:dyDescent="0.4">
      <c r="B408" s="366"/>
      <c r="C408" s="452">
        <v>45828</v>
      </c>
      <c r="D408" s="451">
        <v>11</v>
      </c>
      <c r="E408" s="581" t="s">
        <v>908</v>
      </c>
      <c r="F408" s="539">
        <f t="shared" si="18"/>
        <v>89.512500000000017</v>
      </c>
      <c r="G408" s="540">
        <f t="shared" si="19"/>
        <v>6.8855769230769246</v>
      </c>
      <c r="H408" s="541">
        <f t="shared" si="20"/>
        <v>19199.512500000001</v>
      </c>
      <c r="I408" s="446"/>
    </row>
    <row r="409" spans="2:9" ht="26.1" hidden="1" customHeight="1" thickTop="1" thickBot="1" x14ac:dyDescent="0.4">
      <c r="B409" s="366"/>
      <c r="C409" s="452">
        <v>45829</v>
      </c>
      <c r="D409" s="451">
        <v>12</v>
      </c>
      <c r="E409" s="581" t="s">
        <v>909</v>
      </c>
      <c r="F409" s="539">
        <f t="shared" si="18"/>
        <v>97.65</v>
      </c>
      <c r="G409" s="540">
        <f t="shared" si="19"/>
        <v>7.5115384615384624</v>
      </c>
      <c r="H409" s="541">
        <f t="shared" si="20"/>
        <v>19207.650000000001</v>
      </c>
      <c r="I409" s="446"/>
    </row>
    <row r="410" spans="2:9" ht="26.1" hidden="1" customHeight="1" thickTop="1" thickBot="1" x14ac:dyDescent="0.4">
      <c r="B410" s="366"/>
      <c r="C410" s="452">
        <v>45830</v>
      </c>
      <c r="D410" s="451">
        <v>13</v>
      </c>
      <c r="E410" s="581" t="s">
        <v>910</v>
      </c>
      <c r="F410" s="539">
        <f t="shared" si="18"/>
        <v>105.78750000000001</v>
      </c>
      <c r="G410" s="540">
        <f t="shared" si="19"/>
        <v>8.1375000000000011</v>
      </c>
      <c r="H410" s="541">
        <f t="shared" si="20"/>
        <v>19215.787499999999</v>
      </c>
      <c r="I410" s="446"/>
    </row>
    <row r="411" spans="2:9" ht="26.1" hidden="1" customHeight="1" thickTop="1" thickBot="1" x14ac:dyDescent="0.4">
      <c r="B411" s="366"/>
      <c r="C411" s="452">
        <v>45831</v>
      </c>
      <c r="D411" s="451">
        <v>14</v>
      </c>
      <c r="E411" s="581" t="s">
        <v>904</v>
      </c>
      <c r="F411" s="539">
        <f t="shared" si="18"/>
        <v>113.92500000000001</v>
      </c>
      <c r="G411" s="540">
        <f t="shared" si="19"/>
        <v>8.7634615384615397</v>
      </c>
      <c r="H411" s="541">
        <f t="shared" si="20"/>
        <v>19223.924999999999</v>
      </c>
      <c r="I411" s="446"/>
    </row>
    <row r="412" spans="2:9" ht="26.1" hidden="1" customHeight="1" thickTop="1" thickBot="1" x14ac:dyDescent="0.4">
      <c r="B412" s="366"/>
      <c r="C412" s="452">
        <v>45832</v>
      </c>
      <c r="D412" s="451">
        <v>15</v>
      </c>
      <c r="E412" s="581" t="s">
        <v>905</v>
      </c>
      <c r="F412" s="539">
        <f t="shared" si="18"/>
        <v>122.06250000000001</v>
      </c>
      <c r="G412" s="540">
        <f t="shared" si="19"/>
        <v>9.3894230769230784</v>
      </c>
      <c r="H412" s="541">
        <f t="shared" si="20"/>
        <v>19232.0625</v>
      </c>
      <c r="I412" s="446"/>
    </row>
    <row r="413" spans="2:9" ht="26.1" hidden="1" customHeight="1" thickTop="1" thickBot="1" x14ac:dyDescent="0.4">
      <c r="B413" s="366"/>
      <c r="C413" s="452">
        <v>45833</v>
      </c>
      <c r="D413" s="451">
        <v>16</v>
      </c>
      <c r="E413" s="581" t="s">
        <v>906</v>
      </c>
      <c r="F413" s="539">
        <f t="shared" si="18"/>
        <v>130.20000000000002</v>
      </c>
      <c r="G413" s="540">
        <f t="shared" si="19"/>
        <v>10.015384615384617</v>
      </c>
      <c r="H413" s="541">
        <f t="shared" si="20"/>
        <v>19240.2</v>
      </c>
      <c r="I413" s="446"/>
    </row>
    <row r="414" spans="2:9" ht="26.1" hidden="1" customHeight="1" thickTop="1" thickBot="1" x14ac:dyDescent="0.4">
      <c r="B414" s="366"/>
      <c r="C414" s="452">
        <v>45834</v>
      </c>
      <c r="D414" s="451">
        <v>17</v>
      </c>
      <c r="E414" s="581" t="s">
        <v>907</v>
      </c>
      <c r="F414" s="539">
        <f t="shared" si="18"/>
        <v>138.33750000000001</v>
      </c>
      <c r="G414" s="540">
        <f t="shared" si="19"/>
        <v>10.641346153846154</v>
      </c>
      <c r="H414" s="541">
        <f t="shared" si="20"/>
        <v>19248.337500000001</v>
      </c>
      <c r="I414" s="446"/>
    </row>
    <row r="415" spans="2:9" ht="26.1" hidden="1" customHeight="1" thickTop="1" thickBot="1" x14ac:dyDescent="0.4">
      <c r="B415" s="366"/>
      <c r="C415" s="452">
        <v>45835</v>
      </c>
      <c r="D415" s="451">
        <v>18</v>
      </c>
      <c r="E415" s="581" t="s">
        <v>908</v>
      </c>
      <c r="F415" s="539">
        <f t="shared" si="18"/>
        <v>146.47500000000002</v>
      </c>
      <c r="G415" s="540">
        <f t="shared" si="19"/>
        <v>11.267307692307694</v>
      </c>
      <c r="H415" s="541">
        <f t="shared" si="20"/>
        <v>19256.474999999999</v>
      </c>
      <c r="I415" s="446"/>
    </row>
    <row r="416" spans="2:9" ht="26.1" hidden="1" customHeight="1" thickTop="1" thickBot="1" x14ac:dyDescent="0.4">
      <c r="B416" s="366"/>
      <c r="C416" s="452">
        <v>45836</v>
      </c>
      <c r="D416" s="451">
        <v>19</v>
      </c>
      <c r="E416" s="581" t="s">
        <v>909</v>
      </c>
      <c r="F416" s="539">
        <f t="shared" si="18"/>
        <v>154.61250000000001</v>
      </c>
      <c r="G416" s="540">
        <f t="shared" si="19"/>
        <v>11.893269230769231</v>
      </c>
      <c r="H416" s="541">
        <f t="shared" si="20"/>
        <v>19264.612499999999</v>
      </c>
      <c r="I416" s="446"/>
    </row>
    <row r="417" spans="2:9" ht="26.1" hidden="1" customHeight="1" thickTop="1" thickBot="1" x14ac:dyDescent="0.4">
      <c r="B417" s="366"/>
      <c r="C417" s="452">
        <v>45837</v>
      </c>
      <c r="D417" s="451">
        <v>20</v>
      </c>
      <c r="E417" s="581" t="s">
        <v>910</v>
      </c>
      <c r="F417" s="539">
        <f t="shared" si="18"/>
        <v>162.75000000000003</v>
      </c>
      <c r="G417" s="540">
        <f t="shared" si="19"/>
        <v>12.519230769230772</v>
      </c>
      <c r="H417" s="541">
        <f t="shared" si="20"/>
        <v>19272.75</v>
      </c>
      <c r="I417" s="446"/>
    </row>
    <row r="418" spans="2:9" ht="26.1" hidden="1" customHeight="1" thickTop="1" thickBot="1" x14ac:dyDescent="0.4">
      <c r="B418" s="366"/>
      <c r="C418" s="452">
        <v>45838</v>
      </c>
      <c r="D418" s="451">
        <v>21</v>
      </c>
      <c r="E418" s="581" t="s">
        <v>904</v>
      </c>
      <c r="F418" s="539">
        <f t="shared" si="18"/>
        <v>170.88750000000002</v>
      </c>
      <c r="G418" s="540">
        <f t="shared" si="19"/>
        <v>13.145192307692309</v>
      </c>
      <c r="H418" s="541">
        <f t="shared" si="20"/>
        <v>19280.887500000001</v>
      </c>
      <c r="I418" s="446"/>
    </row>
    <row r="419" spans="2:9" ht="26.1" hidden="1" customHeight="1" thickTop="1" thickBot="1" x14ac:dyDescent="0.4">
      <c r="B419" s="366"/>
      <c r="C419" s="452">
        <v>45839</v>
      </c>
      <c r="D419" s="451">
        <v>22</v>
      </c>
      <c r="E419" s="581" t="s">
        <v>905</v>
      </c>
      <c r="F419" s="539">
        <f t="shared" si="18"/>
        <v>179.02500000000003</v>
      </c>
      <c r="G419" s="540">
        <f t="shared" si="19"/>
        <v>13.771153846153849</v>
      </c>
      <c r="H419" s="541">
        <f t="shared" si="20"/>
        <v>19289.025000000001</v>
      </c>
      <c r="I419" s="446"/>
    </row>
    <row r="420" spans="2:9" ht="26.1" hidden="1" customHeight="1" thickTop="1" thickBot="1" x14ac:dyDescent="0.4">
      <c r="B420" s="366"/>
      <c r="C420" s="452">
        <v>45840</v>
      </c>
      <c r="D420" s="451">
        <v>23</v>
      </c>
      <c r="E420" s="581" t="s">
        <v>906</v>
      </c>
      <c r="F420" s="539">
        <f t="shared" si="18"/>
        <v>187.16250000000002</v>
      </c>
      <c r="G420" s="540">
        <f t="shared" si="19"/>
        <v>14.397115384615386</v>
      </c>
      <c r="H420" s="541">
        <f t="shared" si="20"/>
        <v>19297.162499999999</v>
      </c>
      <c r="I420" s="446"/>
    </row>
    <row r="421" spans="2:9" ht="26.1" hidden="1" customHeight="1" thickTop="1" thickBot="1" x14ac:dyDescent="0.4">
      <c r="B421" s="366"/>
      <c r="C421" s="452">
        <v>45841</v>
      </c>
      <c r="D421" s="451">
        <v>24</v>
      </c>
      <c r="E421" s="581" t="s">
        <v>907</v>
      </c>
      <c r="F421" s="539">
        <f t="shared" si="18"/>
        <v>195.3</v>
      </c>
      <c r="G421" s="540">
        <f t="shared" si="19"/>
        <v>15.023076923076925</v>
      </c>
      <c r="H421" s="541">
        <f t="shared" si="20"/>
        <v>19305.3</v>
      </c>
      <c r="I421" s="446"/>
    </row>
    <row r="422" spans="2:9" ht="26.1" hidden="1" customHeight="1" thickTop="1" thickBot="1" x14ac:dyDescent="0.4">
      <c r="B422" s="366"/>
      <c r="C422" s="452">
        <v>45842</v>
      </c>
      <c r="D422" s="451">
        <v>25</v>
      </c>
      <c r="E422" s="581" t="s">
        <v>908</v>
      </c>
      <c r="F422" s="539">
        <f t="shared" si="18"/>
        <v>203.43750000000003</v>
      </c>
      <c r="G422" s="540">
        <f t="shared" si="19"/>
        <v>15.649038461538463</v>
      </c>
      <c r="H422" s="541">
        <f t="shared" si="20"/>
        <v>19313.4375</v>
      </c>
      <c r="I422" s="446"/>
    </row>
    <row r="423" spans="2:9" ht="26.1" hidden="1" customHeight="1" thickTop="1" thickBot="1" x14ac:dyDescent="0.4">
      <c r="B423" s="366"/>
      <c r="C423" s="452">
        <v>45843</v>
      </c>
      <c r="D423" s="451">
        <v>26</v>
      </c>
      <c r="E423" s="581" t="s">
        <v>909</v>
      </c>
      <c r="F423" s="539">
        <f t="shared" si="18"/>
        <v>211.57500000000002</v>
      </c>
      <c r="G423" s="540">
        <f t="shared" si="19"/>
        <v>16.275000000000002</v>
      </c>
      <c r="H423" s="541">
        <f t="shared" si="20"/>
        <v>19321.575000000001</v>
      </c>
      <c r="I423" s="446"/>
    </row>
    <row r="424" spans="2:9" ht="26.1" hidden="1" customHeight="1" thickTop="1" thickBot="1" x14ac:dyDescent="0.4">
      <c r="B424" s="366"/>
      <c r="C424" s="452">
        <v>45844</v>
      </c>
      <c r="D424" s="451">
        <v>27</v>
      </c>
      <c r="E424" s="581" t="s">
        <v>910</v>
      </c>
      <c r="F424" s="539">
        <f t="shared" si="18"/>
        <v>219.71250000000003</v>
      </c>
      <c r="G424" s="540">
        <f t="shared" si="19"/>
        <v>16.900961538461541</v>
      </c>
      <c r="H424" s="541">
        <f t="shared" si="20"/>
        <v>19329.712500000001</v>
      </c>
      <c r="I424" s="446"/>
    </row>
    <row r="425" spans="2:9" ht="26.1" hidden="1" customHeight="1" thickTop="1" thickBot="1" x14ac:dyDescent="0.4">
      <c r="B425" s="366"/>
      <c r="C425" s="452">
        <v>45845</v>
      </c>
      <c r="D425" s="451">
        <v>28</v>
      </c>
      <c r="E425" s="581" t="s">
        <v>904</v>
      </c>
      <c r="F425" s="539">
        <f t="shared" si="18"/>
        <v>227.85000000000002</v>
      </c>
      <c r="G425" s="540">
        <f t="shared" si="19"/>
        <v>17.526923076923079</v>
      </c>
      <c r="H425" s="541">
        <f t="shared" si="20"/>
        <v>19337.849999999999</v>
      </c>
      <c r="I425" s="446"/>
    </row>
    <row r="426" spans="2:9" ht="26.1" hidden="1" customHeight="1" thickTop="1" thickBot="1" x14ac:dyDescent="0.4">
      <c r="B426" s="366"/>
      <c r="C426" s="452">
        <v>45846</v>
      </c>
      <c r="D426" s="451">
        <v>29</v>
      </c>
      <c r="E426" s="581" t="s">
        <v>905</v>
      </c>
      <c r="F426" s="539">
        <f t="shared" si="18"/>
        <v>235.98750000000004</v>
      </c>
      <c r="G426" s="540">
        <f t="shared" si="19"/>
        <v>18.152884615384618</v>
      </c>
      <c r="H426" s="541">
        <f t="shared" si="20"/>
        <v>19345.987499999999</v>
      </c>
      <c r="I426" s="446"/>
    </row>
    <row r="427" spans="2:9" ht="26.1" hidden="1" customHeight="1" thickTop="1" thickBot="1" x14ac:dyDescent="0.4">
      <c r="B427" s="366"/>
      <c r="C427" s="452">
        <v>45847</v>
      </c>
      <c r="D427" s="451">
        <v>30</v>
      </c>
      <c r="E427" s="581" t="s">
        <v>906</v>
      </c>
      <c r="F427" s="539">
        <f t="shared" si="18"/>
        <v>244.12500000000003</v>
      </c>
      <c r="G427" s="540">
        <f t="shared" si="19"/>
        <v>18.778846153846157</v>
      </c>
      <c r="H427" s="541">
        <f t="shared" si="20"/>
        <v>19354.125</v>
      </c>
      <c r="I427" s="446"/>
    </row>
    <row r="428" spans="2:9" ht="26.1" hidden="1" customHeight="1" thickTop="1" thickBot="1" x14ac:dyDescent="0.4">
      <c r="B428" s="366"/>
      <c r="C428" s="452">
        <v>45848</v>
      </c>
      <c r="D428" s="451">
        <v>31</v>
      </c>
      <c r="E428" s="581" t="s">
        <v>907</v>
      </c>
      <c r="F428" s="539">
        <f t="shared" si="18"/>
        <v>252.26250000000005</v>
      </c>
      <c r="G428" s="540">
        <f t="shared" si="19"/>
        <v>19.404807692307696</v>
      </c>
      <c r="H428" s="541">
        <f t="shared" si="20"/>
        <v>19362.262500000001</v>
      </c>
      <c r="I428" s="446"/>
    </row>
    <row r="429" spans="2:9" ht="26.1" hidden="1" customHeight="1" thickTop="1" thickBot="1" x14ac:dyDescent="0.4">
      <c r="B429" s="366"/>
      <c r="C429" s="452">
        <v>45849</v>
      </c>
      <c r="D429" s="451">
        <v>32</v>
      </c>
      <c r="E429" s="581" t="s">
        <v>908</v>
      </c>
      <c r="F429" s="539">
        <f t="shared" si="18"/>
        <v>260.40000000000003</v>
      </c>
      <c r="G429" s="540">
        <f t="shared" si="19"/>
        <v>20.030769230769234</v>
      </c>
      <c r="H429" s="541">
        <f t="shared" si="20"/>
        <v>19370.400000000001</v>
      </c>
      <c r="I429" s="446"/>
    </row>
    <row r="430" spans="2:9" ht="26.1" hidden="1" customHeight="1" thickTop="1" thickBot="1" x14ac:dyDescent="0.4">
      <c r="B430" s="366"/>
      <c r="C430" s="452">
        <v>45850</v>
      </c>
      <c r="D430" s="451">
        <v>33</v>
      </c>
      <c r="E430" s="581" t="s">
        <v>909</v>
      </c>
      <c r="F430" s="539">
        <f t="shared" si="18"/>
        <v>268.53750000000002</v>
      </c>
      <c r="G430" s="540">
        <f t="shared" si="19"/>
        <v>20.656730769230769</v>
      </c>
      <c r="H430" s="541">
        <f t="shared" si="20"/>
        <v>19378.537499999999</v>
      </c>
      <c r="I430" s="446"/>
    </row>
    <row r="431" spans="2:9" ht="26.1" hidden="1" customHeight="1" thickTop="1" thickBot="1" x14ac:dyDescent="0.4">
      <c r="B431" s="366"/>
      <c r="C431" s="452">
        <v>45851</v>
      </c>
      <c r="D431" s="451">
        <v>34</v>
      </c>
      <c r="E431" s="581" t="s">
        <v>910</v>
      </c>
      <c r="F431" s="539">
        <f t="shared" si="18"/>
        <v>276.67500000000001</v>
      </c>
      <c r="G431" s="540">
        <f t="shared" si="19"/>
        <v>21.282692307692308</v>
      </c>
      <c r="H431" s="541">
        <f t="shared" si="20"/>
        <v>19386.674999999999</v>
      </c>
      <c r="I431" s="446"/>
    </row>
    <row r="432" spans="2:9" ht="26.1" hidden="1" customHeight="1" thickTop="1" thickBot="1" x14ac:dyDescent="0.4">
      <c r="B432" s="366"/>
      <c r="C432" s="452">
        <v>45852</v>
      </c>
      <c r="D432" s="451">
        <v>35</v>
      </c>
      <c r="E432" s="581" t="s">
        <v>904</v>
      </c>
      <c r="F432" s="539">
        <f t="shared" si="18"/>
        <v>284.81250000000006</v>
      </c>
      <c r="G432" s="540">
        <f t="shared" si="19"/>
        <v>21.90865384615385</v>
      </c>
      <c r="H432" s="541">
        <f t="shared" si="20"/>
        <v>19394.8125</v>
      </c>
      <c r="I432" s="446"/>
    </row>
    <row r="433" spans="2:9" ht="26.1" hidden="1" customHeight="1" thickTop="1" thickBot="1" x14ac:dyDescent="0.4">
      <c r="B433" s="366"/>
      <c r="C433" s="452">
        <v>45853</v>
      </c>
      <c r="D433" s="451">
        <v>36</v>
      </c>
      <c r="E433" s="581" t="s">
        <v>905</v>
      </c>
      <c r="F433" s="539">
        <f t="shared" si="18"/>
        <v>292.95000000000005</v>
      </c>
      <c r="G433" s="540">
        <f t="shared" si="19"/>
        <v>22.534615384615389</v>
      </c>
      <c r="H433" s="541">
        <f t="shared" si="20"/>
        <v>19402.95</v>
      </c>
      <c r="I433" s="446"/>
    </row>
    <row r="434" spans="2:9" ht="26.1" hidden="1" customHeight="1" thickTop="1" thickBot="1" x14ac:dyDescent="0.4">
      <c r="B434" s="366"/>
      <c r="C434" s="452">
        <v>45854</v>
      </c>
      <c r="D434" s="451">
        <v>37</v>
      </c>
      <c r="E434" s="581" t="s">
        <v>906</v>
      </c>
      <c r="F434" s="539">
        <f t="shared" si="18"/>
        <v>301.08750000000003</v>
      </c>
      <c r="G434" s="540">
        <f t="shared" si="19"/>
        <v>23.160576923076924</v>
      </c>
      <c r="H434" s="541">
        <f t="shared" si="20"/>
        <v>19411.087500000001</v>
      </c>
      <c r="I434" s="446"/>
    </row>
    <row r="435" spans="2:9" ht="26.1" hidden="1" customHeight="1" thickTop="1" thickBot="1" x14ac:dyDescent="0.4">
      <c r="B435" s="366"/>
      <c r="C435" s="452">
        <v>45855</v>
      </c>
      <c r="D435" s="451">
        <v>38</v>
      </c>
      <c r="E435" s="581" t="s">
        <v>907</v>
      </c>
      <c r="F435" s="539">
        <f t="shared" si="18"/>
        <v>309.22500000000002</v>
      </c>
      <c r="G435" s="540">
        <f t="shared" si="19"/>
        <v>23.786538461538463</v>
      </c>
      <c r="H435" s="541">
        <f t="shared" si="20"/>
        <v>19419.224999999999</v>
      </c>
      <c r="I435" s="446"/>
    </row>
    <row r="436" spans="2:9" ht="26.1" hidden="1" customHeight="1" thickTop="1" thickBot="1" x14ac:dyDescent="0.4">
      <c r="B436" s="366"/>
      <c r="C436" s="452">
        <v>45856</v>
      </c>
      <c r="D436" s="451">
        <v>39</v>
      </c>
      <c r="E436" s="581" t="s">
        <v>908</v>
      </c>
      <c r="F436" s="539">
        <f t="shared" si="18"/>
        <v>317.36250000000007</v>
      </c>
      <c r="G436" s="540">
        <f t="shared" si="19"/>
        <v>24.412500000000005</v>
      </c>
      <c r="H436" s="541">
        <f t="shared" si="20"/>
        <v>19427.362499999999</v>
      </c>
      <c r="I436" s="446"/>
    </row>
    <row r="437" spans="2:9" ht="26.1" hidden="1" customHeight="1" thickTop="1" thickBot="1" x14ac:dyDescent="0.4">
      <c r="B437" s="366"/>
      <c r="C437" s="452">
        <v>45857</v>
      </c>
      <c r="D437" s="451">
        <v>40</v>
      </c>
      <c r="E437" s="581" t="s">
        <v>909</v>
      </c>
      <c r="F437" s="539">
        <f t="shared" si="18"/>
        <v>325.50000000000006</v>
      </c>
      <c r="G437" s="540">
        <f t="shared" si="19"/>
        <v>25.038461538461544</v>
      </c>
      <c r="H437" s="541">
        <f t="shared" si="20"/>
        <v>19435.5</v>
      </c>
      <c r="I437" s="446"/>
    </row>
    <row r="438" spans="2:9" ht="26.1" hidden="1" customHeight="1" thickTop="1" thickBot="1" x14ac:dyDescent="0.4">
      <c r="B438" s="366"/>
      <c r="C438" s="452">
        <v>45858</v>
      </c>
      <c r="D438" s="451">
        <v>41</v>
      </c>
      <c r="E438" s="581" t="s">
        <v>910</v>
      </c>
      <c r="F438" s="539">
        <f t="shared" si="18"/>
        <v>333.63750000000005</v>
      </c>
      <c r="G438" s="540">
        <f t="shared" si="19"/>
        <v>25.664423076923079</v>
      </c>
      <c r="H438" s="541">
        <f t="shared" si="20"/>
        <v>19443.637500000001</v>
      </c>
      <c r="I438" s="446"/>
    </row>
    <row r="439" spans="2:9" ht="26.1" hidden="1" customHeight="1" thickTop="1" thickBot="1" x14ac:dyDescent="0.4">
      <c r="B439" s="366"/>
      <c r="C439" s="452">
        <v>45859</v>
      </c>
      <c r="D439" s="451">
        <v>42</v>
      </c>
      <c r="E439" s="581" t="s">
        <v>904</v>
      </c>
      <c r="F439" s="539">
        <f t="shared" si="18"/>
        <v>341.77500000000003</v>
      </c>
      <c r="G439" s="540">
        <f t="shared" si="19"/>
        <v>26.290384615384617</v>
      </c>
      <c r="H439" s="541">
        <f t="shared" si="20"/>
        <v>19451.775000000001</v>
      </c>
      <c r="I439" s="446"/>
    </row>
    <row r="440" spans="2:9" ht="26.1" hidden="1" customHeight="1" thickTop="1" thickBot="1" x14ac:dyDescent="0.4">
      <c r="B440" s="366"/>
      <c r="C440" s="452">
        <v>45860</v>
      </c>
      <c r="D440" s="451">
        <v>43</v>
      </c>
      <c r="E440" s="581" t="s">
        <v>905</v>
      </c>
      <c r="F440" s="539">
        <f t="shared" si="18"/>
        <v>349.91250000000002</v>
      </c>
      <c r="G440" s="540">
        <f t="shared" si="19"/>
        <v>26.916346153846156</v>
      </c>
      <c r="H440" s="541">
        <f t="shared" si="20"/>
        <v>19459.912499999999</v>
      </c>
      <c r="I440" s="446"/>
    </row>
    <row r="441" spans="2:9" ht="26.1" hidden="1" customHeight="1" thickTop="1" thickBot="1" x14ac:dyDescent="0.4">
      <c r="B441" s="366"/>
      <c r="C441" s="452">
        <v>45861</v>
      </c>
      <c r="D441" s="451">
        <v>44</v>
      </c>
      <c r="E441" s="581" t="s">
        <v>906</v>
      </c>
      <c r="F441" s="539">
        <f t="shared" si="18"/>
        <v>358.05000000000007</v>
      </c>
      <c r="G441" s="540">
        <f t="shared" si="19"/>
        <v>27.542307692307698</v>
      </c>
      <c r="H441" s="541">
        <f t="shared" si="20"/>
        <v>19468.05</v>
      </c>
      <c r="I441" s="446"/>
    </row>
    <row r="442" spans="2:9" ht="26.1" hidden="1" customHeight="1" thickTop="1" thickBot="1" x14ac:dyDescent="0.4">
      <c r="B442" s="366"/>
      <c r="C442" s="452">
        <v>45862</v>
      </c>
      <c r="D442" s="451">
        <v>45</v>
      </c>
      <c r="E442" s="581" t="s">
        <v>907</v>
      </c>
      <c r="F442" s="539">
        <f t="shared" si="18"/>
        <v>366.18750000000006</v>
      </c>
      <c r="G442" s="540">
        <f t="shared" si="19"/>
        <v>28.168269230769234</v>
      </c>
      <c r="H442" s="541">
        <f t="shared" si="20"/>
        <v>19476.1875</v>
      </c>
      <c r="I442" s="446"/>
    </row>
    <row r="443" spans="2:9" ht="26.1" hidden="1" customHeight="1" thickTop="1" thickBot="1" x14ac:dyDescent="0.4">
      <c r="B443" s="366"/>
      <c r="C443" s="452">
        <v>45863</v>
      </c>
      <c r="D443" s="451">
        <v>46</v>
      </c>
      <c r="E443" s="581" t="s">
        <v>908</v>
      </c>
      <c r="F443" s="539">
        <f t="shared" si="18"/>
        <v>374.32500000000005</v>
      </c>
      <c r="G443" s="540">
        <f t="shared" si="19"/>
        <v>28.794230769230772</v>
      </c>
      <c r="H443" s="541">
        <f t="shared" si="20"/>
        <v>19484.325000000001</v>
      </c>
      <c r="I443" s="446"/>
    </row>
    <row r="444" spans="2:9" ht="26.1" hidden="1" customHeight="1" thickTop="1" thickBot="1" x14ac:dyDescent="0.4">
      <c r="B444" s="366"/>
      <c r="C444" s="452">
        <v>45864</v>
      </c>
      <c r="D444" s="451">
        <v>47</v>
      </c>
      <c r="E444" s="581" t="s">
        <v>909</v>
      </c>
      <c r="F444" s="539">
        <f t="shared" si="18"/>
        <v>382.46250000000003</v>
      </c>
      <c r="G444" s="540">
        <f t="shared" si="19"/>
        <v>29.420192307692311</v>
      </c>
      <c r="H444" s="541">
        <f t="shared" si="20"/>
        <v>19492.462500000001</v>
      </c>
      <c r="I444" s="446"/>
    </row>
    <row r="445" spans="2:9" ht="26.1" hidden="1" customHeight="1" thickTop="1" thickBot="1" x14ac:dyDescent="0.4">
      <c r="B445" s="366"/>
      <c r="C445" s="452">
        <v>45865</v>
      </c>
      <c r="D445" s="451">
        <v>48</v>
      </c>
      <c r="E445" s="581" t="s">
        <v>910</v>
      </c>
      <c r="F445" s="539">
        <f t="shared" si="18"/>
        <v>390.6</v>
      </c>
      <c r="G445" s="540">
        <f t="shared" si="19"/>
        <v>30.04615384615385</v>
      </c>
      <c r="H445" s="541">
        <f t="shared" si="20"/>
        <v>19500.599999999999</v>
      </c>
      <c r="I445" s="446"/>
    </row>
    <row r="446" spans="2:9" ht="26.1" hidden="1" customHeight="1" thickTop="1" thickBot="1" x14ac:dyDescent="0.4">
      <c r="B446" s="366"/>
      <c r="C446" s="452">
        <v>45866</v>
      </c>
      <c r="D446" s="451">
        <v>49</v>
      </c>
      <c r="E446" s="581" t="s">
        <v>904</v>
      </c>
      <c r="F446" s="539">
        <f t="shared" si="18"/>
        <v>398.73750000000007</v>
      </c>
      <c r="G446" s="540">
        <f t="shared" si="19"/>
        <v>30.672115384615388</v>
      </c>
      <c r="H446" s="541">
        <f t="shared" si="20"/>
        <v>19508.737499999999</v>
      </c>
      <c r="I446" s="446"/>
    </row>
    <row r="447" spans="2:9" ht="26.1" hidden="1" customHeight="1" thickTop="1" thickBot="1" x14ac:dyDescent="0.4">
      <c r="B447" s="366"/>
      <c r="C447" s="452">
        <v>45867</v>
      </c>
      <c r="D447" s="451">
        <v>50</v>
      </c>
      <c r="E447" s="581" t="s">
        <v>905</v>
      </c>
      <c r="F447" s="539">
        <f t="shared" si="18"/>
        <v>406.87500000000006</v>
      </c>
      <c r="G447" s="540">
        <f t="shared" si="19"/>
        <v>31.298076923076927</v>
      </c>
      <c r="H447" s="541">
        <f t="shared" si="20"/>
        <v>19516.875</v>
      </c>
      <c r="I447" s="446"/>
    </row>
    <row r="448" spans="2:9" ht="26.1" hidden="1" customHeight="1" thickTop="1" thickBot="1" x14ac:dyDescent="0.4">
      <c r="B448" s="366"/>
      <c r="C448" s="452">
        <v>45868</v>
      </c>
      <c r="D448" s="451">
        <v>51</v>
      </c>
      <c r="E448" s="581" t="s">
        <v>906</v>
      </c>
      <c r="F448" s="539">
        <f t="shared" si="18"/>
        <v>415.01250000000005</v>
      </c>
      <c r="G448" s="540">
        <f t="shared" si="19"/>
        <v>31.924038461538466</v>
      </c>
      <c r="H448" s="541">
        <f t="shared" si="20"/>
        <v>19525.012500000001</v>
      </c>
      <c r="I448" s="446"/>
    </row>
    <row r="449" spans="2:9" ht="26.1" hidden="1" customHeight="1" thickTop="1" thickBot="1" x14ac:dyDescent="0.4">
      <c r="B449" s="366"/>
      <c r="C449" s="452">
        <v>45869</v>
      </c>
      <c r="D449" s="451">
        <v>52</v>
      </c>
      <c r="E449" s="581" t="s">
        <v>907</v>
      </c>
      <c r="F449" s="539">
        <f t="shared" si="18"/>
        <v>423.15000000000003</v>
      </c>
      <c r="G449" s="540">
        <f t="shared" si="19"/>
        <v>32.550000000000004</v>
      </c>
      <c r="H449" s="541">
        <f t="shared" si="20"/>
        <v>19533.150000000001</v>
      </c>
      <c r="I449" s="446"/>
    </row>
    <row r="450" spans="2:9" ht="26.1" hidden="1" customHeight="1" thickTop="1" thickBot="1" x14ac:dyDescent="0.4">
      <c r="B450" s="366"/>
      <c r="C450" s="452">
        <v>45870</v>
      </c>
      <c r="D450" s="451">
        <v>53</v>
      </c>
      <c r="E450" s="581" t="s">
        <v>908</v>
      </c>
      <c r="F450" s="539">
        <f t="shared" si="18"/>
        <v>431.28750000000008</v>
      </c>
      <c r="G450" s="540">
        <f t="shared" si="19"/>
        <v>33.175961538461543</v>
      </c>
      <c r="H450" s="541">
        <f t="shared" si="20"/>
        <v>19541.287499999999</v>
      </c>
      <c r="I450" s="446"/>
    </row>
    <row r="451" spans="2:9" ht="26.1" hidden="1" customHeight="1" thickTop="1" thickBot="1" x14ac:dyDescent="0.4">
      <c r="B451" s="366"/>
      <c r="C451" s="452">
        <v>45871</v>
      </c>
      <c r="D451" s="451">
        <v>54</v>
      </c>
      <c r="E451" s="581" t="s">
        <v>909</v>
      </c>
      <c r="F451" s="539">
        <f t="shared" si="18"/>
        <v>439.42500000000007</v>
      </c>
      <c r="G451" s="540">
        <f t="shared" si="19"/>
        <v>33.801923076923082</v>
      </c>
      <c r="H451" s="541">
        <f t="shared" si="20"/>
        <v>19549.424999999999</v>
      </c>
      <c r="I451" s="446"/>
    </row>
    <row r="452" spans="2:9" ht="26.1" hidden="1" customHeight="1" thickTop="1" thickBot="1" x14ac:dyDescent="0.4">
      <c r="B452" s="366"/>
      <c r="C452" s="452">
        <v>45872</v>
      </c>
      <c r="D452" s="451">
        <v>55</v>
      </c>
      <c r="E452" s="581" t="s">
        <v>910</v>
      </c>
      <c r="F452" s="539">
        <f t="shared" si="18"/>
        <v>447.56250000000006</v>
      </c>
      <c r="G452" s="540">
        <f t="shared" si="19"/>
        <v>34.42788461538462</v>
      </c>
      <c r="H452" s="541">
        <f t="shared" si="20"/>
        <v>19557.5625</v>
      </c>
      <c r="I452" s="446"/>
    </row>
    <row r="453" spans="2:9" ht="26.1" hidden="1" customHeight="1" thickTop="1" thickBot="1" x14ac:dyDescent="0.4">
      <c r="B453" s="366"/>
      <c r="C453" s="452">
        <v>45873</v>
      </c>
      <c r="D453" s="451">
        <v>56</v>
      </c>
      <c r="E453" s="581" t="s">
        <v>904</v>
      </c>
      <c r="F453" s="539">
        <f t="shared" si="18"/>
        <v>455.70000000000005</v>
      </c>
      <c r="G453" s="540">
        <f t="shared" si="19"/>
        <v>35.053846153846159</v>
      </c>
      <c r="H453" s="541">
        <f t="shared" si="20"/>
        <v>19565.7</v>
      </c>
      <c r="I453" s="446"/>
    </row>
    <row r="454" spans="2:9" ht="26.1" hidden="1" customHeight="1" thickTop="1" thickBot="1" x14ac:dyDescent="0.4">
      <c r="B454" s="366"/>
      <c r="C454" s="452">
        <v>45874</v>
      </c>
      <c r="D454" s="451">
        <v>57</v>
      </c>
      <c r="E454" s="581" t="s">
        <v>905</v>
      </c>
      <c r="F454" s="539">
        <f t="shared" si="18"/>
        <v>463.83750000000003</v>
      </c>
      <c r="G454" s="540">
        <f t="shared" si="19"/>
        <v>35.679807692307698</v>
      </c>
      <c r="H454" s="541">
        <f t="shared" si="20"/>
        <v>19573.837500000001</v>
      </c>
      <c r="I454" s="446"/>
    </row>
    <row r="455" spans="2:9" ht="26.1" hidden="1" customHeight="1" thickTop="1" thickBot="1" x14ac:dyDescent="0.4">
      <c r="B455" s="366"/>
      <c r="C455" s="452">
        <v>45875</v>
      </c>
      <c r="D455" s="451">
        <v>58</v>
      </c>
      <c r="E455" s="581" t="s">
        <v>906</v>
      </c>
      <c r="F455" s="539">
        <f t="shared" si="18"/>
        <v>471.97500000000008</v>
      </c>
      <c r="G455" s="540">
        <f t="shared" si="19"/>
        <v>36.305769230769236</v>
      </c>
      <c r="H455" s="541">
        <f t="shared" si="20"/>
        <v>19581.974999999999</v>
      </c>
      <c r="I455" s="446"/>
    </row>
    <row r="456" spans="2:9" ht="26.1" hidden="1" customHeight="1" thickTop="1" thickBot="1" x14ac:dyDescent="0.4">
      <c r="B456" s="366"/>
      <c r="C456" s="452">
        <v>45876</v>
      </c>
      <c r="D456" s="451">
        <v>59</v>
      </c>
      <c r="E456" s="581" t="s">
        <v>907</v>
      </c>
      <c r="F456" s="539">
        <f t="shared" si="18"/>
        <v>480.11250000000007</v>
      </c>
      <c r="G456" s="540">
        <f t="shared" si="19"/>
        <v>36.931730769230775</v>
      </c>
      <c r="H456" s="541">
        <f t="shared" si="20"/>
        <v>19590.112499999999</v>
      </c>
      <c r="I456" s="446"/>
    </row>
    <row r="457" spans="2:9" ht="26.1" hidden="1" customHeight="1" thickTop="1" thickBot="1" x14ac:dyDescent="0.4">
      <c r="B457" s="366"/>
      <c r="C457" s="452">
        <v>45877</v>
      </c>
      <c r="D457" s="451">
        <v>60</v>
      </c>
      <c r="E457" s="581" t="s">
        <v>908</v>
      </c>
      <c r="F457" s="539">
        <f t="shared" si="18"/>
        <v>488.25000000000006</v>
      </c>
      <c r="G457" s="540">
        <f t="shared" si="19"/>
        <v>37.557692307692314</v>
      </c>
      <c r="H457" s="541">
        <f t="shared" si="20"/>
        <v>19598.25</v>
      </c>
      <c r="I457" s="446"/>
    </row>
    <row r="458" spans="2:9" ht="26.1" hidden="1" customHeight="1" thickTop="1" thickBot="1" x14ac:dyDescent="0.4">
      <c r="B458" s="366"/>
      <c r="C458" s="452">
        <v>45878</v>
      </c>
      <c r="D458" s="451">
        <v>61</v>
      </c>
      <c r="E458" s="581" t="s">
        <v>909</v>
      </c>
      <c r="F458" s="539">
        <f t="shared" si="18"/>
        <v>496.38750000000005</v>
      </c>
      <c r="G458" s="540">
        <f t="shared" si="19"/>
        <v>38.183653846153852</v>
      </c>
      <c r="H458" s="541">
        <f t="shared" si="20"/>
        <v>19606.387500000001</v>
      </c>
      <c r="I458" s="446"/>
    </row>
    <row r="459" spans="2:9" ht="26.1" hidden="1" customHeight="1" thickTop="1" thickBot="1" x14ac:dyDescent="0.4">
      <c r="B459" s="366"/>
      <c r="C459" s="452">
        <v>45879</v>
      </c>
      <c r="D459" s="451">
        <v>62</v>
      </c>
      <c r="E459" s="581" t="s">
        <v>910</v>
      </c>
      <c r="F459" s="539">
        <f t="shared" si="18"/>
        <v>504.52500000000009</v>
      </c>
      <c r="G459" s="540">
        <f t="shared" si="19"/>
        <v>38.809615384615391</v>
      </c>
      <c r="H459" s="541">
        <f t="shared" si="20"/>
        <v>19614.525000000001</v>
      </c>
      <c r="I459" s="446"/>
    </row>
    <row r="460" spans="2:9" ht="26.1" hidden="1" customHeight="1" thickTop="1" thickBot="1" x14ac:dyDescent="0.4">
      <c r="B460" s="366"/>
      <c r="C460" s="452">
        <v>45880</v>
      </c>
      <c r="D460" s="451">
        <v>63</v>
      </c>
      <c r="E460" s="581" t="s">
        <v>904</v>
      </c>
      <c r="F460" s="539">
        <f t="shared" si="18"/>
        <v>512.66250000000002</v>
      </c>
      <c r="G460" s="540">
        <f t="shared" si="19"/>
        <v>39.435576923076923</v>
      </c>
      <c r="H460" s="541">
        <f t="shared" si="20"/>
        <v>19622.662499999999</v>
      </c>
      <c r="I460" s="446"/>
    </row>
    <row r="461" spans="2:9" ht="26.1" hidden="1" customHeight="1" thickTop="1" thickBot="1" x14ac:dyDescent="0.4">
      <c r="B461" s="366"/>
      <c r="C461" s="452">
        <v>45881</v>
      </c>
      <c r="D461" s="451">
        <v>64</v>
      </c>
      <c r="E461" s="581" t="s">
        <v>905</v>
      </c>
      <c r="F461" s="539">
        <f t="shared" si="18"/>
        <v>520.80000000000007</v>
      </c>
      <c r="G461" s="540">
        <f t="shared" si="19"/>
        <v>40.061538461538468</v>
      </c>
      <c r="H461" s="541">
        <f t="shared" si="20"/>
        <v>19630.8</v>
      </c>
      <c r="I461" s="446"/>
    </row>
    <row r="462" spans="2:9" ht="26.1" hidden="1" customHeight="1" thickTop="1" thickBot="1" x14ac:dyDescent="0.4">
      <c r="B462" s="366"/>
      <c r="C462" s="452">
        <v>45882</v>
      </c>
      <c r="D462" s="451">
        <v>65</v>
      </c>
      <c r="E462" s="581" t="s">
        <v>906</v>
      </c>
      <c r="F462" s="539">
        <f t="shared" si="18"/>
        <v>528.93750000000011</v>
      </c>
      <c r="G462" s="540">
        <f t="shared" si="19"/>
        <v>40.687500000000007</v>
      </c>
      <c r="H462" s="541">
        <f t="shared" si="20"/>
        <v>19638.9375</v>
      </c>
      <c r="I462" s="446"/>
    </row>
    <row r="463" spans="2:9" ht="26.1" hidden="1" customHeight="1" thickTop="1" thickBot="1" x14ac:dyDescent="0.4">
      <c r="B463" s="366"/>
      <c r="C463" s="452">
        <v>45883</v>
      </c>
      <c r="D463" s="451">
        <v>66</v>
      </c>
      <c r="E463" s="581" t="s">
        <v>907</v>
      </c>
      <c r="F463" s="539">
        <f t="shared" ref="F463:F526" si="21">$E$390/$F$392*D463</f>
        <v>537.07500000000005</v>
      </c>
      <c r="G463" s="540">
        <f t="shared" ref="G463:G526" si="22">F463/$C$394</f>
        <v>41.313461538461539</v>
      </c>
      <c r="H463" s="541">
        <f t="shared" ref="H463:H526" si="23">$C$390+F463</f>
        <v>19647.075000000001</v>
      </c>
      <c r="I463" s="446"/>
    </row>
    <row r="464" spans="2:9" ht="26.1" hidden="1" customHeight="1" thickTop="1" thickBot="1" x14ac:dyDescent="0.4">
      <c r="B464" s="366"/>
      <c r="C464" s="452">
        <v>45884</v>
      </c>
      <c r="D464" s="451">
        <v>67</v>
      </c>
      <c r="E464" s="581" t="s">
        <v>908</v>
      </c>
      <c r="F464" s="539">
        <f t="shared" si="21"/>
        <v>545.21250000000009</v>
      </c>
      <c r="G464" s="540">
        <f t="shared" si="22"/>
        <v>41.939423076923084</v>
      </c>
      <c r="H464" s="541">
        <f t="shared" si="23"/>
        <v>19655.212500000001</v>
      </c>
      <c r="I464" s="446"/>
    </row>
    <row r="465" spans="2:9" ht="26.1" hidden="1" customHeight="1" thickTop="1" thickBot="1" x14ac:dyDescent="0.4">
      <c r="B465" s="366"/>
      <c r="C465" s="452">
        <v>45885</v>
      </c>
      <c r="D465" s="451">
        <v>68</v>
      </c>
      <c r="E465" s="581" t="s">
        <v>909</v>
      </c>
      <c r="F465" s="539">
        <f t="shared" si="21"/>
        <v>553.35</v>
      </c>
      <c r="G465" s="540">
        <f t="shared" si="22"/>
        <v>42.565384615384616</v>
      </c>
      <c r="H465" s="541">
        <f t="shared" si="23"/>
        <v>19663.349999999999</v>
      </c>
      <c r="I465" s="446"/>
    </row>
    <row r="466" spans="2:9" ht="26.1" hidden="1" customHeight="1" thickTop="1" thickBot="1" x14ac:dyDescent="0.4">
      <c r="B466" s="366"/>
      <c r="C466" s="452">
        <v>45886</v>
      </c>
      <c r="D466" s="451">
        <v>69</v>
      </c>
      <c r="E466" s="581" t="s">
        <v>910</v>
      </c>
      <c r="F466" s="539">
        <f t="shared" si="21"/>
        <v>561.48750000000007</v>
      </c>
      <c r="G466" s="540">
        <f t="shared" si="22"/>
        <v>43.191346153846162</v>
      </c>
      <c r="H466" s="541">
        <f t="shared" si="23"/>
        <v>19671.487499999999</v>
      </c>
      <c r="I466" s="446"/>
    </row>
    <row r="467" spans="2:9" ht="26.1" hidden="1" customHeight="1" thickTop="1" thickBot="1" x14ac:dyDescent="0.4">
      <c r="B467" s="366"/>
      <c r="C467" s="452">
        <v>45887</v>
      </c>
      <c r="D467" s="451">
        <v>70</v>
      </c>
      <c r="E467" s="581" t="s">
        <v>904</v>
      </c>
      <c r="F467" s="539">
        <f t="shared" si="21"/>
        <v>569.62500000000011</v>
      </c>
      <c r="G467" s="540">
        <f t="shared" si="22"/>
        <v>43.817307692307701</v>
      </c>
      <c r="H467" s="541">
        <f t="shared" si="23"/>
        <v>19679.625</v>
      </c>
      <c r="I467" s="446"/>
    </row>
    <row r="468" spans="2:9" ht="26.1" hidden="1" customHeight="1" thickTop="1" thickBot="1" x14ac:dyDescent="0.4">
      <c r="B468" s="366"/>
      <c r="C468" s="452">
        <v>45888</v>
      </c>
      <c r="D468" s="451">
        <v>71</v>
      </c>
      <c r="E468" s="581" t="s">
        <v>905</v>
      </c>
      <c r="F468" s="539">
        <f t="shared" si="21"/>
        <v>577.76250000000005</v>
      </c>
      <c r="G468" s="540">
        <f t="shared" si="22"/>
        <v>44.443269230769232</v>
      </c>
      <c r="H468" s="541">
        <f t="shared" si="23"/>
        <v>19687.762500000001</v>
      </c>
      <c r="I468" s="446"/>
    </row>
    <row r="469" spans="2:9" ht="26.1" hidden="1" customHeight="1" thickTop="1" thickBot="1" x14ac:dyDescent="0.4">
      <c r="B469" s="366"/>
      <c r="C469" s="452">
        <v>45889</v>
      </c>
      <c r="D469" s="451">
        <v>72</v>
      </c>
      <c r="E469" s="581" t="s">
        <v>906</v>
      </c>
      <c r="F469" s="539">
        <f t="shared" si="21"/>
        <v>585.90000000000009</v>
      </c>
      <c r="G469" s="540">
        <f t="shared" si="22"/>
        <v>45.069230769230778</v>
      </c>
      <c r="H469" s="541">
        <f t="shared" si="23"/>
        <v>19695.900000000001</v>
      </c>
      <c r="I469" s="446"/>
    </row>
    <row r="470" spans="2:9" ht="26.1" hidden="1" customHeight="1" thickTop="1" thickBot="1" x14ac:dyDescent="0.4">
      <c r="B470" s="366"/>
      <c r="C470" s="452">
        <v>45890</v>
      </c>
      <c r="D470" s="451">
        <v>73</v>
      </c>
      <c r="E470" s="581" t="s">
        <v>907</v>
      </c>
      <c r="F470" s="539">
        <f t="shared" si="21"/>
        <v>594.03750000000002</v>
      </c>
      <c r="G470" s="540">
        <f t="shared" si="22"/>
        <v>45.695192307692309</v>
      </c>
      <c r="H470" s="541">
        <f t="shared" si="23"/>
        <v>19704.037499999999</v>
      </c>
      <c r="I470" s="446"/>
    </row>
    <row r="471" spans="2:9" ht="26.1" hidden="1" customHeight="1" thickTop="1" thickBot="1" x14ac:dyDescent="0.4">
      <c r="B471" s="366"/>
      <c r="C471" s="452">
        <v>45891</v>
      </c>
      <c r="D471" s="451">
        <v>74</v>
      </c>
      <c r="E471" s="581" t="s">
        <v>908</v>
      </c>
      <c r="F471" s="539">
        <f t="shared" si="21"/>
        <v>602.17500000000007</v>
      </c>
      <c r="G471" s="540">
        <f t="shared" si="22"/>
        <v>46.321153846153848</v>
      </c>
      <c r="H471" s="541">
        <f t="shared" si="23"/>
        <v>19712.174999999999</v>
      </c>
      <c r="I471" s="446"/>
    </row>
    <row r="472" spans="2:9" ht="26.1" hidden="1" customHeight="1" thickTop="1" thickBot="1" x14ac:dyDescent="0.4">
      <c r="B472" s="366"/>
      <c r="C472" s="452">
        <v>45892</v>
      </c>
      <c r="D472" s="451">
        <v>75</v>
      </c>
      <c r="E472" s="581" t="s">
        <v>909</v>
      </c>
      <c r="F472" s="539">
        <f t="shared" si="21"/>
        <v>610.31250000000011</v>
      </c>
      <c r="G472" s="540">
        <f t="shared" si="22"/>
        <v>46.947115384615394</v>
      </c>
      <c r="H472" s="541">
        <f t="shared" si="23"/>
        <v>19720.3125</v>
      </c>
      <c r="I472" s="446"/>
    </row>
    <row r="473" spans="2:9" ht="26.1" hidden="1" customHeight="1" thickTop="1" thickBot="1" x14ac:dyDescent="0.4">
      <c r="B473" s="366"/>
      <c r="C473" s="452">
        <v>45893</v>
      </c>
      <c r="D473" s="451">
        <v>76</v>
      </c>
      <c r="E473" s="581" t="s">
        <v>910</v>
      </c>
      <c r="F473" s="539">
        <f t="shared" si="21"/>
        <v>618.45000000000005</v>
      </c>
      <c r="G473" s="540">
        <f t="shared" si="22"/>
        <v>47.573076923076925</v>
      </c>
      <c r="H473" s="541">
        <f t="shared" si="23"/>
        <v>19728.45</v>
      </c>
      <c r="I473" s="446"/>
    </row>
    <row r="474" spans="2:9" ht="26.1" hidden="1" customHeight="1" thickTop="1" thickBot="1" x14ac:dyDescent="0.4">
      <c r="B474" s="366"/>
      <c r="C474" s="452">
        <v>45894</v>
      </c>
      <c r="D474" s="451">
        <v>77</v>
      </c>
      <c r="E474" s="581" t="s">
        <v>904</v>
      </c>
      <c r="F474" s="539">
        <f t="shared" si="21"/>
        <v>626.58750000000009</v>
      </c>
      <c r="G474" s="540">
        <f t="shared" si="22"/>
        <v>48.199038461538471</v>
      </c>
      <c r="H474" s="541">
        <f t="shared" si="23"/>
        <v>19736.587500000001</v>
      </c>
      <c r="I474" s="446"/>
    </row>
    <row r="475" spans="2:9" ht="26.1" hidden="1" customHeight="1" thickTop="1" thickBot="1" x14ac:dyDescent="0.4">
      <c r="B475" s="366"/>
      <c r="C475" s="452">
        <v>45895</v>
      </c>
      <c r="D475" s="451">
        <v>78</v>
      </c>
      <c r="E475" s="581" t="s">
        <v>905</v>
      </c>
      <c r="F475" s="539">
        <f t="shared" si="21"/>
        <v>634.72500000000014</v>
      </c>
      <c r="G475" s="540">
        <f t="shared" si="22"/>
        <v>48.82500000000001</v>
      </c>
      <c r="H475" s="541">
        <f t="shared" si="23"/>
        <v>19744.724999999999</v>
      </c>
      <c r="I475" s="446"/>
    </row>
    <row r="476" spans="2:9" ht="26.1" hidden="1" customHeight="1" thickTop="1" thickBot="1" x14ac:dyDescent="0.4">
      <c r="B476" s="366"/>
      <c r="C476" s="452">
        <v>45896</v>
      </c>
      <c r="D476" s="451">
        <v>79</v>
      </c>
      <c r="E476" s="581" t="s">
        <v>906</v>
      </c>
      <c r="F476" s="539">
        <f t="shared" si="21"/>
        <v>642.86250000000007</v>
      </c>
      <c r="G476" s="540">
        <f t="shared" si="22"/>
        <v>49.450961538461542</v>
      </c>
      <c r="H476" s="541">
        <f t="shared" si="23"/>
        <v>19752.862499999999</v>
      </c>
      <c r="I476" s="446"/>
    </row>
    <row r="477" spans="2:9" ht="26.1" hidden="1" customHeight="1" thickTop="1" thickBot="1" x14ac:dyDescent="0.4">
      <c r="B477" s="366"/>
      <c r="C477" s="452">
        <v>45897</v>
      </c>
      <c r="D477" s="451">
        <v>80</v>
      </c>
      <c r="E477" s="581" t="s">
        <v>907</v>
      </c>
      <c r="F477" s="539">
        <f t="shared" si="21"/>
        <v>651.00000000000011</v>
      </c>
      <c r="G477" s="540">
        <f t="shared" si="22"/>
        <v>50.076923076923087</v>
      </c>
      <c r="H477" s="541">
        <f t="shared" si="23"/>
        <v>19761</v>
      </c>
      <c r="I477" s="446"/>
    </row>
    <row r="478" spans="2:9" ht="26.1" hidden="1" customHeight="1" thickTop="1" thickBot="1" x14ac:dyDescent="0.4">
      <c r="B478" s="366"/>
      <c r="C478" s="452">
        <v>45898</v>
      </c>
      <c r="D478" s="451">
        <v>81</v>
      </c>
      <c r="E478" s="581" t="s">
        <v>908</v>
      </c>
      <c r="F478" s="539">
        <f t="shared" si="21"/>
        <v>659.13750000000005</v>
      </c>
      <c r="G478" s="540">
        <f t="shared" si="22"/>
        <v>50.702884615384619</v>
      </c>
      <c r="H478" s="541">
        <f t="shared" si="23"/>
        <v>19769.137500000001</v>
      </c>
      <c r="I478" s="446"/>
    </row>
    <row r="479" spans="2:9" ht="26.1" hidden="1" customHeight="1" thickTop="1" thickBot="1" x14ac:dyDescent="0.4">
      <c r="B479" s="366"/>
      <c r="C479" s="452">
        <v>45899</v>
      </c>
      <c r="D479" s="451">
        <v>82</v>
      </c>
      <c r="E479" s="581" t="s">
        <v>909</v>
      </c>
      <c r="F479" s="539">
        <f t="shared" si="21"/>
        <v>667.27500000000009</v>
      </c>
      <c r="G479" s="540">
        <f t="shared" si="22"/>
        <v>51.328846153846158</v>
      </c>
      <c r="H479" s="541">
        <f t="shared" si="23"/>
        <v>19777.275000000001</v>
      </c>
      <c r="I479" s="446"/>
    </row>
    <row r="480" spans="2:9" ht="26.1" hidden="1" customHeight="1" thickTop="1" thickBot="1" x14ac:dyDescent="0.4">
      <c r="B480" s="366"/>
      <c r="C480" s="452">
        <v>45900</v>
      </c>
      <c r="D480" s="451">
        <v>83</v>
      </c>
      <c r="E480" s="581" t="s">
        <v>910</v>
      </c>
      <c r="F480" s="539">
        <f t="shared" si="21"/>
        <v>675.41250000000014</v>
      </c>
      <c r="G480" s="540">
        <f t="shared" si="22"/>
        <v>51.954807692307703</v>
      </c>
      <c r="H480" s="541">
        <f t="shared" si="23"/>
        <v>19785.412499999999</v>
      </c>
      <c r="I480" s="446"/>
    </row>
    <row r="481" spans="2:9" ht="26.1" hidden="1" customHeight="1" thickTop="1" thickBot="1" x14ac:dyDescent="0.4">
      <c r="B481" s="366"/>
      <c r="C481" s="452">
        <v>45901</v>
      </c>
      <c r="D481" s="451">
        <v>84</v>
      </c>
      <c r="E481" s="581" t="s">
        <v>904</v>
      </c>
      <c r="F481" s="539">
        <f t="shared" si="21"/>
        <v>683.55000000000007</v>
      </c>
      <c r="G481" s="540">
        <f t="shared" si="22"/>
        <v>52.580769230769235</v>
      </c>
      <c r="H481" s="541">
        <f t="shared" si="23"/>
        <v>19793.55</v>
      </c>
      <c r="I481" s="446"/>
    </row>
    <row r="482" spans="2:9" ht="26.1" hidden="1" customHeight="1" thickTop="1" thickBot="1" x14ac:dyDescent="0.4">
      <c r="B482" s="366"/>
      <c r="C482" s="452">
        <v>45902</v>
      </c>
      <c r="D482" s="451">
        <v>85</v>
      </c>
      <c r="E482" s="581" t="s">
        <v>905</v>
      </c>
      <c r="F482" s="539">
        <f t="shared" si="21"/>
        <v>691.68750000000011</v>
      </c>
      <c r="G482" s="540">
        <f t="shared" si="22"/>
        <v>53.206730769230781</v>
      </c>
      <c r="H482" s="541">
        <f t="shared" si="23"/>
        <v>19801.6875</v>
      </c>
      <c r="I482" s="446"/>
    </row>
    <row r="483" spans="2:9" ht="26.1" hidden="1" customHeight="1" thickTop="1" thickBot="1" x14ac:dyDescent="0.4">
      <c r="B483" s="366"/>
      <c r="C483" s="452">
        <v>45903</v>
      </c>
      <c r="D483" s="451">
        <v>86</v>
      </c>
      <c r="E483" s="581" t="s">
        <v>906</v>
      </c>
      <c r="F483" s="539">
        <f t="shared" si="21"/>
        <v>699.82500000000005</v>
      </c>
      <c r="G483" s="540">
        <f t="shared" si="22"/>
        <v>53.832692307692312</v>
      </c>
      <c r="H483" s="541">
        <f t="shared" si="23"/>
        <v>19809.825000000001</v>
      </c>
      <c r="I483" s="446"/>
    </row>
    <row r="484" spans="2:9" ht="26.1" hidden="1" customHeight="1" thickTop="1" thickBot="1" x14ac:dyDescent="0.4">
      <c r="B484" s="366"/>
      <c r="C484" s="452">
        <v>45904</v>
      </c>
      <c r="D484" s="451">
        <v>87</v>
      </c>
      <c r="E484" s="581" t="s">
        <v>907</v>
      </c>
      <c r="F484" s="539">
        <f t="shared" si="21"/>
        <v>707.96250000000009</v>
      </c>
      <c r="G484" s="540">
        <f t="shared" si="22"/>
        <v>54.458653846153851</v>
      </c>
      <c r="H484" s="541">
        <f t="shared" si="23"/>
        <v>19817.962500000001</v>
      </c>
      <c r="I484" s="446"/>
    </row>
    <row r="485" spans="2:9" ht="26.1" hidden="1" customHeight="1" thickTop="1" thickBot="1" x14ac:dyDescent="0.4">
      <c r="B485" s="366"/>
      <c r="C485" s="452">
        <v>45905</v>
      </c>
      <c r="D485" s="451">
        <v>88</v>
      </c>
      <c r="E485" s="581" t="s">
        <v>908</v>
      </c>
      <c r="F485" s="539">
        <f t="shared" si="21"/>
        <v>716.10000000000014</v>
      </c>
      <c r="G485" s="540">
        <f t="shared" si="22"/>
        <v>55.084615384615397</v>
      </c>
      <c r="H485" s="541">
        <f t="shared" si="23"/>
        <v>19826.099999999999</v>
      </c>
      <c r="I485" s="446"/>
    </row>
    <row r="486" spans="2:9" ht="26.1" hidden="1" customHeight="1" thickTop="1" thickBot="1" x14ac:dyDescent="0.4">
      <c r="B486" s="366"/>
      <c r="C486" s="452">
        <v>45906</v>
      </c>
      <c r="D486" s="451">
        <v>89</v>
      </c>
      <c r="E486" s="581" t="s">
        <v>909</v>
      </c>
      <c r="F486" s="539">
        <f t="shared" si="21"/>
        <v>724.23750000000007</v>
      </c>
      <c r="G486" s="540">
        <f t="shared" si="22"/>
        <v>55.710576923076928</v>
      </c>
      <c r="H486" s="541">
        <f t="shared" si="23"/>
        <v>19834.237499999999</v>
      </c>
      <c r="I486" s="446"/>
    </row>
    <row r="487" spans="2:9" ht="26.1" hidden="1" customHeight="1" thickTop="1" thickBot="1" x14ac:dyDescent="0.4">
      <c r="B487" s="366"/>
      <c r="C487" s="452">
        <v>45907</v>
      </c>
      <c r="D487" s="451">
        <v>90</v>
      </c>
      <c r="E487" s="581" t="s">
        <v>910</v>
      </c>
      <c r="F487" s="539">
        <f t="shared" si="21"/>
        <v>732.37500000000011</v>
      </c>
      <c r="G487" s="540">
        <f t="shared" si="22"/>
        <v>56.336538461538467</v>
      </c>
      <c r="H487" s="541">
        <f t="shared" si="23"/>
        <v>19842.375</v>
      </c>
      <c r="I487" s="446"/>
    </row>
    <row r="488" spans="2:9" ht="26.1" hidden="1" customHeight="1" thickTop="1" thickBot="1" x14ac:dyDescent="0.4">
      <c r="B488" s="366"/>
      <c r="C488" s="452">
        <v>45908</v>
      </c>
      <c r="D488" s="451">
        <v>91</v>
      </c>
      <c r="E488" s="581" t="s">
        <v>904</v>
      </c>
      <c r="F488" s="539">
        <f t="shared" si="21"/>
        <v>740.51250000000005</v>
      </c>
      <c r="G488" s="540">
        <f t="shared" si="22"/>
        <v>56.962500000000006</v>
      </c>
      <c r="H488" s="541">
        <f t="shared" si="23"/>
        <v>19850.512500000001</v>
      </c>
      <c r="I488" s="446"/>
    </row>
    <row r="489" spans="2:9" ht="26.1" hidden="1" customHeight="1" thickTop="1" thickBot="1" x14ac:dyDescent="0.4">
      <c r="B489" s="366"/>
      <c r="C489" s="452">
        <v>45909</v>
      </c>
      <c r="D489" s="451">
        <v>92</v>
      </c>
      <c r="E489" s="581" t="s">
        <v>905</v>
      </c>
      <c r="F489" s="539">
        <f t="shared" si="21"/>
        <v>748.65000000000009</v>
      </c>
      <c r="G489" s="540">
        <f t="shared" si="22"/>
        <v>57.588461538461544</v>
      </c>
      <c r="H489" s="541">
        <f t="shared" si="23"/>
        <v>19858.650000000001</v>
      </c>
      <c r="I489" s="446"/>
    </row>
    <row r="490" spans="2:9" ht="26.1" hidden="1" customHeight="1" thickTop="1" thickBot="1" x14ac:dyDescent="0.4">
      <c r="B490" s="366"/>
      <c r="C490" s="452">
        <v>45910</v>
      </c>
      <c r="D490" s="451">
        <v>93</v>
      </c>
      <c r="E490" s="581" t="s">
        <v>906</v>
      </c>
      <c r="F490" s="539">
        <f t="shared" si="21"/>
        <v>756.78750000000014</v>
      </c>
      <c r="G490" s="540">
        <f t="shared" si="22"/>
        <v>58.21442307692309</v>
      </c>
      <c r="H490" s="541">
        <f t="shared" si="23"/>
        <v>19866.787499999999</v>
      </c>
      <c r="I490" s="446"/>
    </row>
    <row r="491" spans="2:9" ht="26.1" hidden="1" customHeight="1" thickTop="1" thickBot="1" x14ac:dyDescent="0.4">
      <c r="B491" s="366"/>
      <c r="C491" s="452">
        <v>45911</v>
      </c>
      <c r="D491" s="451">
        <v>94</v>
      </c>
      <c r="E491" s="581" t="s">
        <v>907</v>
      </c>
      <c r="F491" s="539">
        <f t="shared" si="21"/>
        <v>764.92500000000007</v>
      </c>
      <c r="G491" s="540">
        <f t="shared" si="22"/>
        <v>58.840384615384622</v>
      </c>
      <c r="H491" s="541">
        <f t="shared" si="23"/>
        <v>19874.924999999999</v>
      </c>
      <c r="I491" s="446"/>
    </row>
    <row r="492" spans="2:9" ht="26.1" hidden="1" customHeight="1" thickTop="1" thickBot="1" x14ac:dyDescent="0.4">
      <c r="B492" s="366"/>
      <c r="C492" s="452">
        <v>45912</v>
      </c>
      <c r="D492" s="451">
        <v>95</v>
      </c>
      <c r="E492" s="581" t="s">
        <v>908</v>
      </c>
      <c r="F492" s="539">
        <f t="shared" si="21"/>
        <v>773.06250000000011</v>
      </c>
      <c r="G492" s="540">
        <f t="shared" si="22"/>
        <v>59.46634615384616</v>
      </c>
      <c r="H492" s="541">
        <f t="shared" si="23"/>
        <v>19883.0625</v>
      </c>
      <c r="I492" s="446"/>
    </row>
    <row r="493" spans="2:9" ht="26.1" hidden="1" customHeight="1" thickTop="1" thickBot="1" x14ac:dyDescent="0.4">
      <c r="B493" s="366"/>
      <c r="C493" s="452">
        <v>45913</v>
      </c>
      <c r="D493" s="451">
        <v>96</v>
      </c>
      <c r="E493" s="581" t="s">
        <v>909</v>
      </c>
      <c r="F493" s="539">
        <f t="shared" si="21"/>
        <v>781.2</v>
      </c>
      <c r="G493" s="540">
        <f t="shared" si="22"/>
        <v>60.092307692307699</v>
      </c>
      <c r="H493" s="541">
        <f t="shared" si="23"/>
        <v>19891.2</v>
      </c>
      <c r="I493" s="446"/>
    </row>
    <row r="494" spans="2:9" ht="26.1" hidden="1" customHeight="1" thickTop="1" thickBot="1" x14ac:dyDescent="0.4">
      <c r="B494" s="366"/>
      <c r="C494" s="452">
        <v>45914</v>
      </c>
      <c r="D494" s="451">
        <v>97</v>
      </c>
      <c r="E494" s="581" t="s">
        <v>910</v>
      </c>
      <c r="F494" s="539">
        <f t="shared" si="21"/>
        <v>789.33750000000009</v>
      </c>
      <c r="G494" s="540">
        <f t="shared" si="22"/>
        <v>60.718269230769238</v>
      </c>
      <c r="H494" s="541">
        <f t="shared" si="23"/>
        <v>19899.337500000001</v>
      </c>
      <c r="I494" s="446"/>
    </row>
    <row r="495" spans="2:9" ht="26.1" hidden="1" customHeight="1" thickTop="1" thickBot="1" x14ac:dyDescent="0.4">
      <c r="B495" s="366"/>
      <c r="C495" s="452">
        <v>45915</v>
      </c>
      <c r="D495" s="451">
        <v>98</v>
      </c>
      <c r="E495" s="581" t="s">
        <v>904</v>
      </c>
      <c r="F495" s="539">
        <f t="shared" si="21"/>
        <v>797.47500000000014</v>
      </c>
      <c r="G495" s="540">
        <f t="shared" si="22"/>
        <v>61.344230769230776</v>
      </c>
      <c r="H495" s="541">
        <f t="shared" si="23"/>
        <v>19907.474999999999</v>
      </c>
      <c r="I495" s="446"/>
    </row>
    <row r="496" spans="2:9" ht="26.1" hidden="1" customHeight="1" thickTop="1" thickBot="1" x14ac:dyDescent="0.4">
      <c r="B496" s="366"/>
      <c r="C496" s="452">
        <v>45916</v>
      </c>
      <c r="D496" s="451">
        <v>99</v>
      </c>
      <c r="E496" s="581" t="s">
        <v>905</v>
      </c>
      <c r="F496" s="539">
        <f t="shared" si="21"/>
        <v>805.61250000000007</v>
      </c>
      <c r="G496" s="540">
        <f t="shared" si="22"/>
        <v>61.970192307692315</v>
      </c>
      <c r="H496" s="541">
        <f t="shared" si="23"/>
        <v>19915.612499999999</v>
      </c>
      <c r="I496" s="446"/>
    </row>
    <row r="497" spans="2:9" ht="26.1" hidden="1" customHeight="1" thickTop="1" thickBot="1" x14ac:dyDescent="0.4">
      <c r="B497" s="366"/>
      <c r="C497" s="452">
        <v>45917</v>
      </c>
      <c r="D497" s="451">
        <v>100</v>
      </c>
      <c r="E497" s="581" t="s">
        <v>906</v>
      </c>
      <c r="F497" s="539">
        <f t="shared" si="21"/>
        <v>813.75000000000011</v>
      </c>
      <c r="G497" s="540">
        <f t="shared" si="22"/>
        <v>62.596153846153854</v>
      </c>
      <c r="H497" s="541">
        <f t="shared" si="23"/>
        <v>19923.75</v>
      </c>
      <c r="I497" s="446"/>
    </row>
    <row r="498" spans="2:9" ht="26.1" hidden="1" customHeight="1" thickTop="1" thickBot="1" x14ac:dyDescent="0.4">
      <c r="B498" s="366"/>
      <c r="C498" s="452">
        <v>45918</v>
      </c>
      <c r="D498" s="451">
        <v>101</v>
      </c>
      <c r="E498" s="581" t="s">
        <v>907</v>
      </c>
      <c r="F498" s="539">
        <f t="shared" si="21"/>
        <v>821.88750000000016</v>
      </c>
      <c r="G498" s="540">
        <f t="shared" si="22"/>
        <v>63.2221153846154</v>
      </c>
      <c r="H498" s="541">
        <f t="shared" si="23"/>
        <v>19931.887500000001</v>
      </c>
      <c r="I498" s="446"/>
    </row>
    <row r="499" spans="2:9" ht="26.1" hidden="1" customHeight="1" thickTop="1" thickBot="1" x14ac:dyDescent="0.4">
      <c r="B499" s="366"/>
      <c r="C499" s="452">
        <v>45919</v>
      </c>
      <c r="D499" s="451">
        <v>102</v>
      </c>
      <c r="E499" s="581" t="s">
        <v>908</v>
      </c>
      <c r="F499" s="539">
        <f t="shared" si="21"/>
        <v>830.02500000000009</v>
      </c>
      <c r="G499" s="540">
        <f t="shared" si="22"/>
        <v>63.848076923076931</v>
      </c>
      <c r="H499" s="541">
        <f t="shared" si="23"/>
        <v>19940.025000000001</v>
      </c>
      <c r="I499" s="446"/>
    </row>
    <row r="500" spans="2:9" ht="26.1" hidden="1" customHeight="1" thickTop="1" thickBot="1" x14ac:dyDescent="0.4">
      <c r="B500" s="366"/>
      <c r="C500" s="452">
        <v>45920</v>
      </c>
      <c r="D500" s="451">
        <v>103</v>
      </c>
      <c r="E500" s="581" t="s">
        <v>909</v>
      </c>
      <c r="F500" s="539">
        <f t="shared" si="21"/>
        <v>838.16250000000014</v>
      </c>
      <c r="G500" s="540">
        <f t="shared" si="22"/>
        <v>64.47403846153847</v>
      </c>
      <c r="H500" s="541">
        <f t="shared" si="23"/>
        <v>19948.162499999999</v>
      </c>
      <c r="I500" s="446"/>
    </row>
    <row r="501" spans="2:9" ht="26.1" hidden="1" customHeight="1" thickTop="1" thickBot="1" x14ac:dyDescent="0.4">
      <c r="B501" s="366"/>
      <c r="C501" s="452">
        <v>45921</v>
      </c>
      <c r="D501" s="451">
        <v>104</v>
      </c>
      <c r="E501" s="581" t="s">
        <v>910</v>
      </c>
      <c r="F501" s="539">
        <f t="shared" si="21"/>
        <v>846.30000000000007</v>
      </c>
      <c r="G501" s="540">
        <f t="shared" si="22"/>
        <v>65.100000000000009</v>
      </c>
      <c r="H501" s="541">
        <f t="shared" si="23"/>
        <v>19956.3</v>
      </c>
      <c r="I501" s="446"/>
    </row>
    <row r="502" spans="2:9" ht="26.1" hidden="1" customHeight="1" thickTop="1" thickBot="1" x14ac:dyDescent="0.4">
      <c r="B502" s="366"/>
      <c r="C502" s="452">
        <v>45922</v>
      </c>
      <c r="D502" s="451">
        <v>105</v>
      </c>
      <c r="E502" s="581" t="s">
        <v>904</v>
      </c>
      <c r="F502" s="539">
        <f t="shared" si="21"/>
        <v>854.43750000000011</v>
      </c>
      <c r="G502" s="540">
        <f t="shared" si="22"/>
        <v>65.725961538461547</v>
      </c>
      <c r="H502" s="541">
        <f t="shared" si="23"/>
        <v>19964.4375</v>
      </c>
      <c r="I502" s="446"/>
    </row>
    <row r="503" spans="2:9" ht="26.1" hidden="1" customHeight="1" thickTop="1" thickBot="1" x14ac:dyDescent="0.4">
      <c r="B503" s="366"/>
      <c r="C503" s="452">
        <v>45923</v>
      </c>
      <c r="D503" s="451">
        <v>106</v>
      </c>
      <c r="E503" s="581" t="s">
        <v>905</v>
      </c>
      <c r="F503" s="539">
        <f t="shared" si="21"/>
        <v>862.57500000000016</v>
      </c>
      <c r="G503" s="540">
        <f t="shared" si="22"/>
        <v>66.351923076923086</v>
      </c>
      <c r="H503" s="541">
        <f t="shared" si="23"/>
        <v>19972.575000000001</v>
      </c>
      <c r="I503" s="446"/>
    </row>
    <row r="504" spans="2:9" ht="26.1" hidden="1" customHeight="1" thickTop="1" thickBot="1" x14ac:dyDescent="0.4">
      <c r="B504" s="366"/>
      <c r="C504" s="452">
        <v>45924</v>
      </c>
      <c r="D504" s="451">
        <v>107</v>
      </c>
      <c r="E504" s="581" t="s">
        <v>906</v>
      </c>
      <c r="F504" s="539">
        <f t="shared" si="21"/>
        <v>870.71250000000009</v>
      </c>
      <c r="G504" s="540">
        <f t="shared" si="22"/>
        <v>66.977884615384625</v>
      </c>
      <c r="H504" s="541">
        <f t="shared" si="23"/>
        <v>19980.712500000001</v>
      </c>
      <c r="I504" s="446"/>
    </row>
    <row r="505" spans="2:9" ht="26.1" hidden="1" customHeight="1" thickTop="1" thickBot="1" x14ac:dyDescent="0.4">
      <c r="B505" s="366"/>
      <c r="C505" s="452">
        <v>45925</v>
      </c>
      <c r="D505" s="451">
        <v>108</v>
      </c>
      <c r="E505" s="581" t="s">
        <v>907</v>
      </c>
      <c r="F505" s="539">
        <f t="shared" si="21"/>
        <v>878.85000000000014</v>
      </c>
      <c r="G505" s="540">
        <f t="shared" si="22"/>
        <v>67.603846153846163</v>
      </c>
      <c r="H505" s="541">
        <f t="shared" si="23"/>
        <v>19988.849999999999</v>
      </c>
      <c r="I505" s="446"/>
    </row>
    <row r="506" spans="2:9" ht="26.1" hidden="1" customHeight="1" thickTop="1" thickBot="1" x14ac:dyDescent="0.4">
      <c r="B506" s="366"/>
      <c r="C506" s="452">
        <v>45926</v>
      </c>
      <c r="D506" s="451">
        <v>109</v>
      </c>
      <c r="E506" s="581" t="s">
        <v>908</v>
      </c>
      <c r="F506" s="539">
        <f t="shared" si="21"/>
        <v>886.98750000000007</v>
      </c>
      <c r="G506" s="540">
        <f t="shared" si="22"/>
        <v>68.229807692307702</v>
      </c>
      <c r="H506" s="541">
        <f t="shared" si="23"/>
        <v>19996.987499999999</v>
      </c>
      <c r="I506" s="446"/>
    </row>
    <row r="507" spans="2:9" ht="26.1" hidden="1" customHeight="1" thickTop="1" thickBot="1" x14ac:dyDescent="0.4">
      <c r="B507" s="366"/>
      <c r="C507" s="452">
        <v>45927</v>
      </c>
      <c r="D507" s="451">
        <v>110</v>
      </c>
      <c r="E507" s="581" t="s">
        <v>909</v>
      </c>
      <c r="F507" s="539">
        <f t="shared" si="21"/>
        <v>895.12500000000011</v>
      </c>
      <c r="G507" s="540">
        <f t="shared" si="22"/>
        <v>68.855769230769241</v>
      </c>
      <c r="H507" s="541">
        <f t="shared" si="23"/>
        <v>20005.125</v>
      </c>
      <c r="I507" s="446"/>
    </row>
    <row r="508" spans="2:9" ht="26.1" hidden="1" customHeight="1" thickTop="1" thickBot="1" x14ac:dyDescent="0.4">
      <c r="B508" s="366"/>
      <c r="C508" s="452">
        <v>45928</v>
      </c>
      <c r="D508" s="451">
        <v>111</v>
      </c>
      <c r="E508" s="581" t="s">
        <v>910</v>
      </c>
      <c r="F508" s="539">
        <f t="shared" si="21"/>
        <v>903.26250000000016</v>
      </c>
      <c r="G508" s="540">
        <f t="shared" si="22"/>
        <v>69.481730769230779</v>
      </c>
      <c r="H508" s="541">
        <f t="shared" si="23"/>
        <v>20013.262500000001</v>
      </c>
      <c r="I508" s="446"/>
    </row>
    <row r="509" spans="2:9" ht="26.1" hidden="1" customHeight="1" thickTop="1" thickBot="1" x14ac:dyDescent="0.4">
      <c r="B509" s="366"/>
      <c r="C509" s="452">
        <v>45929</v>
      </c>
      <c r="D509" s="451">
        <v>112</v>
      </c>
      <c r="E509" s="581" t="s">
        <v>904</v>
      </c>
      <c r="F509" s="539">
        <f t="shared" si="21"/>
        <v>911.40000000000009</v>
      </c>
      <c r="G509" s="540">
        <f t="shared" si="22"/>
        <v>70.107692307692318</v>
      </c>
      <c r="H509" s="541">
        <f t="shared" si="23"/>
        <v>20021.400000000001</v>
      </c>
      <c r="I509" s="446"/>
    </row>
    <row r="510" spans="2:9" ht="26.1" hidden="1" customHeight="1" thickTop="1" thickBot="1" x14ac:dyDescent="0.4">
      <c r="B510" s="366"/>
      <c r="C510" s="452">
        <v>45930</v>
      </c>
      <c r="D510" s="451">
        <v>113</v>
      </c>
      <c r="E510" s="581" t="s">
        <v>905</v>
      </c>
      <c r="F510" s="539">
        <f t="shared" si="21"/>
        <v>919.53750000000014</v>
      </c>
      <c r="G510" s="540">
        <f t="shared" si="22"/>
        <v>70.733653846153857</v>
      </c>
      <c r="H510" s="541">
        <f t="shared" si="23"/>
        <v>20029.537499999999</v>
      </c>
      <c r="I510" s="446"/>
    </row>
    <row r="511" spans="2:9" ht="26.1" hidden="1" customHeight="1" thickTop="1" thickBot="1" x14ac:dyDescent="0.4">
      <c r="B511" s="366"/>
      <c r="C511" s="452">
        <v>45931</v>
      </c>
      <c r="D511" s="451">
        <v>114</v>
      </c>
      <c r="E511" s="581" t="s">
        <v>906</v>
      </c>
      <c r="F511" s="539">
        <f t="shared" si="21"/>
        <v>927.67500000000007</v>
      </c>
      <c r="G511" s="540">
        <f t="shared" si="22"/>
        <v>71.359615384615395</v>
      </c>
      <c r="H511" s="541">
        <f t="shared" si="23"/>
        <v>20037.674999999999</v>
      </c>
      <c r="I511" s="446"/>
    </row>
    <row r="512" spans="2:9" ht="26.1" hidden="1" customHeight="1" thickTop="1" thickBot="1" x14ac:dyDescent="0.4">
      <c r="B512" s="366"/>
      <c r="C512" s="452">
        <v>45932</v>
      </c>
      <c r="D512" s="451">
        <v>115</v>
      </c>
      <c r="E512" s="581" t="s">
        <v>907</v>
      </c>
      <c r="F512" s="539">
        <f t="shared" si="21"/>
        <v>935.81250000000011</v>
      </c>
      <c r="G512" s="540">
        <f t="shared" si="22"/>
        <v>71.985576923076934</v>
      </c>
      <c r="H512" s="541">
        <f t="shared" si="23"/>
        <v>20045.8125</v>
      </c>
      <c r="I512" s="446"/>
    </row>
    <row r="513" spans="2:9" ht="26.1" hidden="1" customHeight="1" thickTop="1" thickBot="1" x14ac:dyDescent="0.4">
      <c r="B513" s="366"/>
      <c r="C513" s="452">
        <v>45933</v>
      </c>
      <c r="D513" s="451">
        <v>116</v>
      </c>
      <c r="E513" s="581" t="s">
        <v>908</v>
      </c>
      <c r="F513" s="539">
        <f t="shared" si="21"/>
        <v>943.95000000000016</v>
      </c>
      <c r="G513" s="540">
        <f t="shared" si="22"/>
        <v>72.611538461538473</v>
      </c>
      <c r="H513" s="541">
        <f t="shared" si="23"/>
        <v>20053.95</v>
      </c>
      <c r="I513" s="446"/>
    </row>
    <row r="514" spans="2:9" ht="26.1" hidden="1" customHeight="1" thickTop="1" thickBot="1" x14ac:dyDescent="0.4">
      <c r="B514" s="366"/>
      <c r="C514" s="452">
        <v>45934</v>
      </c>
      <c r="D514" s="451">
        <v>117</v>
      </c>
      <c r="E514" s="581" t="s">
        <v>909</v>
      </c>
      <c r="F514" s="539">
        <f t="shared" si="21"/>
        <v>952.08750000000009</v>
      </c>
      <c r="G514" s="540">
        <f t="shared" si="22"/>
        <v>73.237500000000011</v>
      </c>
      <c r="H514" s="541">
        <f t="shared" si="23"/>
        <v>20062.087500000001</v>
      </c>
      <c r="I514" s="446"/>
    </row>
    <row r="515" spans="2:9" ht="26.1" hidden="1" customHeight="1" thickTop="1" thickBot="1" x14ac:dyDescent="0.4">
      <c r="B515" s="366"/>
      <c r="C515" s="452">
        <v>45935</v>
      </c>
      <c r="D515" s="451">
        <v>118</v>
      </c>
      <c r="E515" s="581" t="s">
        <v>910</v>
      </c>
      <c r="F515" s="539">
        <f t="shared" si="21"/>
        <v>960.22500000000014</v>
      </c>
      <c r="G515" s="540">
        <f t="shared" si="22"/>
        <v>73.86346153846155</v>
      </c>
      <c r="H515" s="541">
        <f t="shared" si="23"/>
        <v>20070.224999999999</v>
      </c>
      <c r="I515" s="446"/>
    </row>
    <row r="516" spans="2:9" ht="26.1" hidden="1" customHeight="1" thickTop="1" thickBot="1" x14ac:dyDescent="0.4">
      <c r="B516" s="366"/>
      <c r="C516" s="452">
        <v>45936</v>
      </c>
      <c r="D516" s="451">
        <v>119</v>
      </c>
      <c r="E516" s="581" t="s">
        <v>904</v>
      </c>
      <c r="F516" s="539">
        <f t="shared" si="21"/>
        <v>968.36250000000018</v>
      </c>
      <c r="G516" s="540">
        <f t="shared" si="22"/>
        <v>74.489423076923089</v>
      </c>
      <c r="H516" s="541">
        <f t="shared" si="23"/>
        <v>20078.362499999999</v>
      </c>
      <c r="I516" s="446"/>
    </row>
    <row r="517" spans="2:9" ht="26.1" hidden="1" customHeight="1" thickTop="1" thickBot="1" x14ac:dyDescent="0.4">
      <c r="B517" s="366"/>
      <c r="C517" s="452">
        <v>45937</v>
      </c>
      <c r="D517" s="451">
        <v>120</v>
      </c>
      <c r="E517" s="581" t="s">
        <v>905</v>
      </c>
      <c r="F517" s="539">
        <f t="shared" si="21"/>
        <v>976.50000000000011</v>
      </c>
      <c r="G517" s="540">
        <f t="shared" si="22"/>
        <v>75.115384615384627</v>
      </c>
      <c r="H517" s="541">
        <f t="shared" si="23"/>
        <v>20086.5</v>
      </c>
      <c r="I517" s="446"/>
    </row>
    <row r="518" spans="2:9" ht="26.1" hidden="1" customHeight="1" thickTop="1" thickBot="1" x14ac:dyDescent="0.4">
      <c r="B518" s="366"/>
      <c r="C518" s="452">
        <v>45938</v>
      </c>
      <c r="D518" s="451">
        <v>121</v>
      </c>
      <c r="E518" s="581" t="s">
        <v>906</v>
      </c>
      <c r="F518" s="539">
        <f t="shared" si="21"/>
        <v>984.63750000000016</v>
      </c>
      <c r="G518" s="540">
        <f t="shared" si="22"/>
        <v>75.741346153846166</v>
      </c>
      <c r="H518" s="541">
        <f t="shared" si="23"/>
        <v>20094.637500000001</v>
      </c>
      <c r="I518" s="446"/>
    </row>
    <row r="519" spans="2:9" ht="26.1" hidden="1" customHeight="1" thickTop="1" thickBot="1" x14ac:dyDescent="0.4">
      <c r="B519" s="366"/>
      <c r="C519" s="452">
        <v>45939</v>
      </c>
      <c r="D519" s="451">
        <v>122</v>
      </c>
      <c r="E519" s="581" t="s">
        <v>907</v>
      </c>
      <c r="F519" s="539">
        <f t="shared" si="21"/>
        <v>992.77500000000009</v>
      </c>
      <c r="G519" s="540">
        <f t="shared" si="22"/>
        <v>76.367307692307705</v>
      </c>
      <c r="H519" s="541">
        <f t="shared" si="23"/>
        <v>20102.775000000001</v>
      </c>
      <c r="I519" s="446"/>
    </row>
    <row r="520" spans="2:9" ht="26.1" hidden="1" customHeight="1" thickTop="1" thickBot="1" x14ac:dyDescent="0.4">
      <c r="B520" s="366"/>
      <c r="C520" s="452">
        <v>45940</v>
      </c>
      <c r="D520" s="451">
        <v>123</v>
      </c>
      <c r="E520" s="581" t="s">
        <v>908</v>
      </c>
      <c r="F520" s="539">
        <f t="shared" si="21"/>
        <v>1000.9125000000001</v>
      </c>
      <c r="G520" s="540">
        <f t="shared" si="22"/>
        <v>76.993269230769243</v>
      </c>
      <c r="H520" s="541">
        <f t="shared" si="23"/>
        <v>20110.912499999999</v>
      </c>
      <c r="I520" s="446"/>
    </row>
    <row r="521" spans="2:9" ht="26.1" hidden="1" customHeight="1" thickTop="1" thickBot="1" x14ac:dyDescent="0.4">
      <c r="B521" s="366"/>
      <c r="C521" s="452">
        <v>45941</v>
      </c>
      <c r="D521" s="451">
        <v>124</v>
      </c>
      <c r="E521" s="581" t="s">
        <v>909</v>
      </c>
      <c r="F521" s="539">
        <f t="shared" si="21"/>
        <v>1009.0500000000002</v>
      </c>
      <c r="G521" s="540">
        <f t="shared" si="22"/>
        <v>77.619230769230782</v>
      </c>
      <c r="H521" s="541">
        <f t="shared" si="23"/>
        <v>20119.05</v>
      </c>
      <c r="I521" s="446"/>
    </row>
    <row r="522" spans="2:9" ht="26.1" hidden="1" customHeight="1" thickTop="1" thickBot="1" x14ac:dyDescent="0.4">
      <c r="B522" s="366"/>
      <c r="C522" s="452">
        <v>45942</v>
      </c>
      <c r="D522" s="451">
        <v>125</v>
      </c>
      <c r="E522" s="581" t="s">
        <v>910</v>
      </c>
      <c r="F522" s="539">
        <f t="shared" si="21"/>
        <v>1017.1875000000001</v>
      </c>
      <c r="G522" s="540">
        <f t="shared" si="22"/>
        <v>78.245192307692321</v>
      </c>
      <c r="H522" s="541">
        <f t="shared" si="23"/>
        <v>20127.1875</v>
      </c>
      <c r="I522" s="446"/>
    </row>
    <row r="523" spans="2:9" ht="26.1" hidden="1" customHeight="1" thickTop="1" thickBot="1" x14ac:dyDescent="0.4">
      <c r="B523" s="366"/>
      <c r="C523" s="452">
        <v>45943</v>
      </c>
      <c r="D523" s="451">
        <v>126</v>
      </c>
      <c r="E523" s="581" t="s">
        <v>904</v>
      </c>
      <c r="F523" s="539">
        <f t="shared" si="21"/>
        <v>1025.325</v>
      </c>
      <c r="G523" s="540">
        <f t="shared" si="22"/>
        <v>78.871153846153845</v>
      </c>
      <c r="H523" s="541">
        <f t="shared" si="23"/>
        <v>20135.325000000001</v>
      </c>
      <c r="I523" s="446"/>
    </row>
    <row r="524" spans="2:9" ht="26.1" hidden="1" customHeight="1" thickTop="1" thickBot="1" x14ac:dyDescent="0.4">
      <c r="B524" s="366"/>
      <c r="C524" s="452">
        <v>45944</v>
      </c>
      <c r="D524" s="451">
        <v>127</v>
      </c>
      <c r="E524" s="581" t="s">
        <v>905</v>
      </c>
      <c r="F524" s="539">
        <f t="shared" si="21"/>
        <v>1033.4625000000001</v>
      </c>
      <c r="G524" s="540">
        <f t="shared" si="22"/>
        <v>79.497115384615398</v>
      </c>
      <c r="H524" s="541">
        <f t="shared" si="23"/>
        <v>20143.462500000001</v>
      </c>
      <c r="I524" s="446"/>
    </row>
    <row r="525" spans="2:9" ht="26.1" hidden="1" customHeight="1" thickTop="1" thickBot="1" x14ac:dyDescent="0.4">
      <c r="B525" s="366"/>
      <c r="C525" s="452">
        <v>45945</v>
      </c>
      <c r="D525" s="451">
        <v>128</v>
      </c>
      <c r="E525" s="581" t="s">
        <v>906</v>
      </c>
      <c r="F525" s="539">
        <f t="shared" si="21"/>
        <v>1041.6000000000001</v>
      </c>
      <c r="G525" s="540">
        <f t="shared" si="22"/>
        <v>80.123076923076937</v>
      </c>
      <c r="H525" s="541">
        <f t="shared" si="23"/>
        <v>20151.599999999999</v>
      </c>
      <c r="I525" s="446"/>
    </row>
    <row r="526" spans="2:9" ht="26.1" hidden="1" customHeight="1" thickTop="1" thickBot="1" x14ac:dyDescent="0.4">
      <c r="B526" s="366"/>
      <c r="C526" s="452">
        <v>45946</v>
      </c>
      <c r="D526" s="451">
        <v>129</v>
      </c>
      <c r="E526" s="581" t="s">
        <v>907</v>
      </c>
      <c r="F526" s="539">
        <f t="shared" si="21"/>
        <v>1049.7375000000002</v>
      </c>
      <c r="G526" s="540">
        <f t="shared" si="22"/>
        <v>80.749038461538476</v>
      </c>
      <c r="H526" s="541">
        <f t="shared" si="23"/>
        <v>20159.737499999999</v>
      </c>
      <c r="I526" s="446"/>
    </row>
    <row r="527" spans="2:9" ht="26.1" hidden="1" customHeight="1" thickTop="1" thickBot="1" x14ac:dyDescent="0.4">
      <c r="B527" s="366"/>
      <c r="C527" s="452">
        <v>45947</v>
      </c>
      <c r="D527" s="451">
        <v>130</v>
      </c>
      <c r="E527" s="581" t="s">
        <v>908</v>
      </c>
      <c r="F527" s="539">
        <f t="shared" ref="F527:F590" si="24">$E$390/$F$392*D527</f>
        <v>1057.8750000000002</v>
      </c>
      <c r="G527" s="540">
        <f t="shared" ref="G527:G590" si="25">F527/$C$394</f>
        <v>81.375000000000014</v>
      </c>
      <c r="H527" s="541">
        <f t="shared" ref="H527:H590" si="26">$C$390+F527</f>
        <v>20167.875</v>
      </c>
      <c r="I527" s="446"/>
    </row>
    <row r="528" spans="2:9" ht="26.1" hidden="1" customHeight="1" thickTop="1" thickBot="1" x14ac:dyDescent="0.4">
      <c r="B528" s="366"/>
      <c r="C528" s="452">
        <v>45948</v>
      </c>
      <c r="D528" s="451">
        <v>131</v>
      </c>
      <c r="E528" s="581" t="s">
        <v>909</v>
      </c>
      <c r="F528" s="539">
        <f t="shared" si="24"/>
        <v>1066.0125</v>
      </c>
      <c r="G528" s="540">
        <f t="shared" si="25"/>
        <v>82.000961538461539</v>
      </c>
      <c r="H528" s="541">
        <f t="shared" si="26"/>
        <v>20176.012500000001</v>
      </c>
      <c r="I528" s="446"/>
    </row>
    <row r="529" spans="2:9" ht="26.1" hidden="1" customHeight="1" thickTop="1" thickBot="1" x14ac:dyDescent="0.4">
      <c r="B529" s="366"/>
      <c r="C529" s="452">
        <v>45949</v>
      </c>
      <c r="D529" s="451">
        <v>132</v>
      </c>
      <c r="E529" s="581" t="s">
        <v>910</v>
      </c>
      <c r="F529" s="539">
        <f t="shared" si="24"/>
        <v>1074.1500000000001</v>
      </c>
      <c r="G529" s="540">
        <f t="shared" si="25"/>
        <v>82.626923076923077</v>
      </c>
      <c r="H529" s="541">
        <f t="shared" si="26"/>
        <v>20184.150000000001</v>
      </c>
      <c r="I529" s="446"/>
    </row>
    <row r="530" spans="2:9" ht="26.1" hidden="1" customHeight="1" thickTop="1" thickBot="1" x14ac:dyDescent="0.4">
      <c r="B530" s="366"/>
      <c r="C530" s="452">
        <v>45950</v>
      </c>
      <c r="D530" s="451">
        <v>133</v>
      </c>
      <c r="E530" s="581" t="s">
        <v>904</v>
      </c>
      <c r="F530" s="539">
        <f t="shared" si="24"/>
        <v>1082.2875000000001</v>
      </c>
      <c r="G530" s="540">
        <f t="shared" si="25"/>
        <v>83.25288461538463</v>
      </c>
      <c r="H530" s="541">
        <f t="shared" si="26"/>
        <v>20192.287499999999</v>
      </c>
      <c r="I530" s="446"/>
    </row>
    <row r="531" spans="2:9" ht="26.1" hidden="1" customHeight="1" thickTop="1" thickBot="1" x14ac:dyDescent="0.4">
      <c r="B531" s="366"/>
      <c r="C531" s="452">
        <v>45951</v>
      </c>
      <c r="D531" s="451">
        <v>134</v>
      </c>
      <c r="E531" s="581" t="s">
        <v>905</v>
      </c>
      <c r="F531" s="539">
        <f t="shared" si="24"/>
        <v>1090.4250000000002</v>
      </c>
      <c r="G531" s="540">
        <f t="shared" si="25"/>
        <v>83.878846153846169</v>
      </c>
      <c r="H531" s="541">
        <f t="shared" si="26"/>
        <v>20200.424999999999</v>
      </c>
      <c r="I531" s="446"/>
    </row>
    <row r="532" spans="2:9" ht="26.1" hidden="1" customHeight="1" thickTop="1" thickBot="1" x14ac:dyDescent="0.4">
      <c r="B532" s="366"/>
      <c r="C532" s="452">
        <v>45952</v>
      </c>
      <c r="D532" s="451">
        <v>135</v>
      </c>
      <c r="E532" s="581" t="s">
        <v>906</v>
      </c>
      <c r="F532" s="539">
        <f t="shared" si="24"/>
        <v>1098.5625000000002</v>
      </c>
      <c r="G532" s="540">
        <f t="shared" si="25"/>
        <v>84.504807692307708</v>
      </c>
      <c r="H532" s="541">
        <f t="shared" si="26"/>
        <v>20208.5625</v>
      </c>
      <c r="I532" s="446"/>
    </row>
    <row r="533" spans="2:9" ht="26.1" hidden="1" customHeight="1" thickTop="1" thickBot="1" x14ac:dyDescent="0.4">
      <c r="B533" s="366"/>
      <c r="C533" s="452">
        <v>45953</v>
      </c>
      <c r="D533" s="451">
        <v>136</v>
      </c>
      <c r="E533" s="581" t="s">
        <v>907</v>
      </c>
      <c r="F533" s="539">
        <f t="shared" si="24"/>
        <v>1106.7</v>
      </c>
      <c r="G533" s="540">
        <f t="shared" si="25"/>
        <v>85.130769230769232</v>
      </c>
      <c r="H533" s="541">
        <f t="shared" si="26"/>
        <v>20216.7</v>
      </c>
      <c r="I533" s="446"/>
    </row>
    <row r="534" spans="2:9" ht="26.1" hidden="1" customHeight="1" thickTop="1" thickBot="1" x14ac:dyDescent="0.4">
      <c r="B534" s="366"/>
      <c r="C534" s="452">
        <v>45954</v>
      </c>
      <c r="D534" s="451">
        <v>137</v>
      </c>
      <c r="E534" s="581" t="s">
        <v>908</v>
      </c>
      <c r="F534" s="539">
        <f t="shared" si="24"/>
        <v>1114.8375000000001</v>
      </c>
      <c r="G534" s="540">
        <f t="shared" si="25"/>
        <v>85.756730769230771</v>
      </c>
      <c r="H534" s="541">
        <f t="shared" si="26"/>
        <v>20224.837500000001</v>
      </c>
      <c r="I534" s="446"/>
    </row>
    <row r="535" spans="2:9" ht="26.1" hidden="1" customHeight="1" thickTop="1" thickBot="1" x14ac:dyDescent="0.4">
      <c r="B535" s="366"/>
      <c r="C535" s="452">
        <v>45955</v>
      </c>
      <c r="D535" s="451">
        <v>138</v>
      </c>
      <c r="E535" s="581" t="s">
        <v>909</v>
      </c>
      <c r="F535" s="539">
        <f t="shared" si="24"/>
        <v>1122.9750000000001</v>
      </c>
      <c r="G535" s="540">
        <f t="shared" si="25"/>
        <v>86.382692307692324</v>
      </c>
      <c r="H535" s="541">
        <f t="shared" si="26"/>
        <v>20232.974999999999</v>
      </c>
      <c r="I535" s="446"/>
    </row>
    <row r="536" spans="2:9" ht="26.1" hidden="1" customHeight="1" thickTop="1" thickBot="1" x14ac:dyDescent="0.4">
      <c r="B536" s="366"/>
      <c r="C536" s="452">
        <v>45956</v>
      </c>
      <c r="D536" s="451">
        <v>139</v>
      </c>
      <c r="E536" s="581" t="s">
        <v>910</v>
      </c>
      <c r="F536" s="539">
        <f t="shared" si="24"/>
        <v>1131.1125000000002</v>
      </c>
      <c r="G536" s="540">
        <f t="shared" si="25"/>
        <v>87.008653846153862</v>
      </c>
      <c r="H536" s="541">
        <f t="shared" si="26"/>
        <v>20241.112499999999</v>
      </c>
      <c r="I536" s="446"/>
    </row>
    <row r="537" spans="2:9" ht="26.1" hidden="1" customHeight="1" thickTop="1" thickBot="1" x14ac:dyDescent="0.4">
      <c r="B537" s="366"/>
      <c r="C537" s="452">
        <v>45957</v>
      </c>
      <c r="D537" s="451">
        <v>140</v>
      </c>
      <c r="E537" s="581" t="s">
        <v>904</v>
      </c>
      <c r="F537" s="539">
        <f t="shared" si="24"/>
        <v>1139.2500000000002</v>
      </c>
      <c r="G537" s="540">
        <f t="shared" si="25"/>
        <v>87.634615384615401</v>
      </c>
      <c r="H537" s="541">
        <f t="shared" si="26"/>
        <v>20249.25</v>
      </c>
      <c r="I537" s="446"/>
    </row>
    <row r="538" spans="2:9" ht="26.1" hidden="1" customHeight="1" thickTop="1" thickBot="1" x14ac:dyDescent="0.4">
      <c r="B538" s="366"/>
      <c r="C538" s="452">
        <v>45958</v>
      </c>
      <c r="D538" s="451">
        <v>141</v>
      </c>
      <c r="E538" s="581" t="s">
        <v>905</v>
      </c>
      <c r="F538" s="539">
        <f t="shared" si="24"/>
        <v>1147.3875</v>
      </c>
      <c r="G538" s="540">
        <f t="shared" si="25"/>
        <v>88.260576923076925</v>
      </c>
      <c r="H538" s="541">
        <f t="shared" si="26"/>
        <v>20257.387500000001</v>
      </c>
      <c r="I538" s="446"/>
    </row>
    <row r="539" spans="2:9" ht="26.1" hidden="1" customHeight="1" thickTop="1" thickBot="1" x14ac:dyDescent="0.4">
      <c r="B539" s="366"/>
      <c r="C539" s="452">
        <v>45959</v>
      </c>
      <c r="D539" s="451">
        <v>142</v>
      </c>
      <c r="E539" s="581" t="s">
        <v>906</v>
      </c>
      <c r="F539" s="539">
        <f t="shared" si="24"/>
        <v>1155.5250000000001</v>
      </c>
      <c r="G539" s="540">
        <f t="shared" si="25"/>
        <v>88.886538461538464</v>
      </c>
      <c r="H539" s="541">
        <f t="shared" si="26"/>
        <v>20265.525000000001</v>
      </c>
      <c r="I539" s="446"/>
    </row>
    <row r="540" spans="2:9" ht="26.1" hidden="1" customHeight="1" thickTop="1" thickBot="1" x14ac:dyDescent="0.4">
      <c r="B540" s="366"/>
      <c r="C540" s="452">
        <v>45960</v>
      </c>
      <c r="D540" s="451">
        <v>143</v>
      </c>
      <c r="E540" s="581" t="s">
        <v>907</v>
      </c>
      <c r="F540" s="539">
        <f t="shared" si="24"/>
        <v>1163.6625000000001</v>
      </c>
      <c r="G540" s="540">
        <f t="shared" si="25"/>
        <v>89.512500000000017</v>
      </c>
      <c r="H540" s="541">
        <f t="shared" si="26"/>
        <v>20273.662499999999</v>
      </c>
      <c r="I540" s="446"/>
    </row>
    <row r="541" spans="2:9" ht="26.1" hidden="1" customHeight="1" thickTop="1" thickBot="1" x14ac:dyDescent="0.4">
      <c r="B541" s="366"/>
      <c r="C541" s="452">
        <v>45961</v>
      </c>
      <c r="D541" s="451">
        <v>144</v>
      </c>
      <c r="E541" s="581" t="s">
        <v>908</v>
      </c>
      <c r="F541" s="539">
        <f t="shared" si="24"/>
        <v>1171.8000000000002</v>
      </c>
      <c r="G541" s="540">
        <f t="shared" si="25"/>
        <v>90.138461538461556</v>
      </c>
      <c r="H541" s="541">
        <f t="shared" si="26"/>
        <v>20281.8</v>
      </c>
      <c r="I541" s="446"/>
    </row>
    <row r="542" spans="2:9" ht="26.1" hidden="1" customHeight="1" thickTop="1" thickBot="1" x14ac:dyDescent="0.4">
      <c r="B542" s="366"/>
      <c r="C542" s="452">
        <v>45962</v>
      </c>
      <c r="D542" s="451">
        <v>145</v>
      </c>
      <c r="E542" s="581" t="s">
        <v>909</v>
      </c>
      <c r="F542" s="539">
        <f t="shared" si="24"/>
        <v>1179.9375000000002</v>
      </c>
      <c r="G542" s="540">
        <f t="shared" si="25"/>
        <v>90.764423076923094</v>
      </c>
      <c r="H542" s="541">
        <f t="shared" si="26"/>
        <v>20289.9375</v>
      </c>
      <c r="I542" s="446"/>
    </row>
    <row r="543" spans="2:9" ht="26.1" hidden="1" customHeight="1" thickTop="1" thickBot="1" x14ac:dyDescent="0.4">
      <c r="B543" s="366"/>
      <c r="C543" s="452">
        <v>45963</v>
      </c>
      <c r="D543" s="451">
        <v>146</v>
      </c>
      <c r="E543" s="581" t="s">
        <v>910</v>
      </c>
      <c r="F543" s="539">
        <f t="shared" si="24"/>
        <v>1188.075</v>
      </c>
      <c r="G543" s="540">
        <f t="shared" si="25"/>
        <v>91.390384615384619</v>
      </c>
      <c r="H543" s="541">
        <f t="shared" si="26"/>
        <v>20298.075000000001</v>
      </c>
      <c r="I543" s="446"/>
    </row>
    <row r="544" spans="2:9" ht="26.1" hidden="1" customHeight="1" thickTop="1" thickBot="1" x14ac:dyDescent="0.4">
      <c r="B544" s="366"/>
      <c r="C544" s="452">
        <v>45964</v>
      </c>
      <c r="D544" s="451">
        <v>147</v>
      </c>
      <c r="E544" s="581" t="s">
        <v>904</v>
      </c>
      <c r="F544" s="539">
        <f t="shared" si="24"/>
        <v>1196.2125000000001</v>
      </c>
      <c r="G544" s="540">
        <f t="shared" si="25"/>
        <v>92.016346153846158</v>
      </c>
      <c r="H544" s="541">
        <f t="shared" si="26"/>
        <v>20306.212500000001</v>
      </c>
      <c r="I544" s="446"/>
    </row>
    <row r="545" spans="2:9" ht="26.1" hidden="1" customHeight="1" thickTop="1" thickBot="1" x14ac:dyDescent="0.4">
      <c r="B545" s="366"/>
      <c r="C545" s="452">
        <v>45965</v>
      </c>
      <c r="D545" s="451">
        <v>148</v>
      </c>
      <c r="E545" s="581" t="s">
        <v>905</v>
      </c>
      <c r="F545" s="539">
        <f t="shared" si="24"/>
        <v>1204.3500000000001</v>
      </c>
      <c r="G545" s="540">
        <f t="shared" si="25"/>
        <v>92.642307692307696</v>
      </c>
      <c r="H545" s="541">
        <f t="shared" si="26"/>
        <v>20314.349999999999</v>
      </c>
      <c r="I545" s="446"/>
    </row>
    <row r="546" spans="2:9" ht="26.1" hidden="1" customHeight="1" thickTop="1" thickBot="1" x14ac:dyDescent="0.4">
      <c r="B546" s="366"/>
      <c r="C546" s="452">
        <v>45966</v>
      </c>
      <c r="D546" s="451">
        <v>149</v>
      </c>
      <c r="E546" s="581" t="s">
        <v>906</v>
      </c>
      <c r="F546" s="539">
        <f t="shared" si="24"/>
        <v>1212.4875000000002</v>
      </c>
      <c r="G546" s="540">
        <f t="shared" si="25"/>
        <v>93.268269230769249</v>
      </c>
      <c r="H546" s="541">
        <f t="shared" si="26"/>
        <v>20322.487499999999</v>
      </c>
      <c r="I546" s="446"/>
    </row>
    <row r="547" spans="2:9" ht="26.1" hidden="1" customHeight="1" thickTop="1" thickBot="1" x14ac:dyDescent="0.4">
      <c r="B547" s="366"/>
      <c r="C547" s="452">
        <v>45967</v>
      </c>
      <c r="D547" s="451">
        <v>150</v>
      </c>
      <c r="E547" s="581" t="s">
        <v>907</v>
      </c>
      <c r="F547" s="539">
        <f t="shared" si="24"/>
        <v>1220.6250000000002</v>
      </c>
      <c r="G547" s="540">
        <f t="shared" si="25"/>
        <v>93.894230769230788</v>
      </c>
      <c r="H547" s="541">
        <f t="shared" si="26"/>
        <v>20330.625</v>
      </c>
      <c r="I547" s="446"/>
    </row>
    <row r="548" spans="2:9" ht="26.1" hidden="1" customHeight="1" thickTop="1" thickBot="1" x14ac:dyDescent="0.4">
      <c r="B548" s="366"/>
      <c r="C548" s="452">
        <v>45968</v>
      </c>
      <c r="D548" s="451">
        <v>151</v>
      </c>
      <c r="E548" s="581" t="s">
        <v>908</v>
      </c>
      <c r="F548" s="539">
        <f t="shared" si="24"/>
        <v>1228.7625000000003</v>
      </c>
      <c r="G548" s="540">
        <f t="shared" si="25"/>
        <v>94.520192307692326</v>
      </c>
      <c r="H548" s="541">
        <f t="shared" si="26"/>
        <v>20338.762500000001</v>
      </c>
      <c r="I548" s="446"/>
    </row>
    <row r="549" spans="2:9" ht="26.1" hidden="1" customHeight="1" thickTop="1" thickBot="1" x14ac:dyDescent="0.4">
      <c r="B549" s="366"/>
      <c r="C549" s="452">
        <v>45969</v>
      </c>
      <c r="D549" s="451">
        <v>152</v>
      </c>
      <c r="E549" s="581" t="s">
        <v>909</v>
      </c>
      <c r="F549" s="539">
        <f t="shared" si="24"/>
        <v>1236.9000000000001</v>
      </c>
      <c r="G549" s="540">
        <f t="shared" si="25"/>
        <v>95.146153846153851</v>
      </c>
      <c r="H549" s="541">
        <f t="shared" si="26"/>
        <v>20346.900000000001</v>
      </c>
      <c r="I549" s="446"/>
    </row>
    <row r="550" spans="2:9" ht="26.1" hidden="1" customHeight="1" thickTop="1" thickBot="1" x14ac:dyDescent="0.4">
      <c r="B550" s="366"/>
      <c r="C550" s="452">
        <v>45970</v>
      </c>
      <c r="D550" s="451">
        <v>153</v>
      </c>
      <c r="E550" s="581" t="s">
        <v>910</v>
      </c>
      <c r="F550" s="539">
        <f t="shared" si="24"/>
        <v>1245.0375000000001</v>
      </c>
      <c r="G550" s="540">
        <f t="shared" si="25"/>
        <v>95.77211538461539</v>
      </c>
      <c r="H550" s="541">
        <f t="shared" si="26"/>
        <v>20355.037499999999</v>
      </c>
      <c r="I550" s="446"/>
    </row>
    <row r="551" spans="2:9" ht="26.1" hidden="1" customHeight="1" thickTop="1" thickBot="1" x14ac:dyDescent="0.4">
      <c r="B551" s="366"/>
      <c r="C551" s="452">
        <v>45971</v>
      </c>
      <c r="D551" s="451">
        <v>154</v>
      </c>
      <c r="E551" s="581" t="s">
        <v>904</v>
      </c>
      <c r="F551" s="539">
        <f t="shared" si="24"/>
        <v>1253.1750000000002</v>
      </c>
      <c r="G551" s="540">
        <f t="shared" si="25"/>
        <v>96.398076923076943</v>
      </c>
      <c r="H551" s="541">
        <f t="shared" si="26"/>
        <v>20363.174999999999</v>
      </c>
      <c r="I551" s="446"/>
    </row>
    <row r="552" spans="2:9" ht="26.1" hidden="1" customHeight="1" thickTop="1" thickBot="1" x14ac:dyDescent="0.4">
      <c r="B552" s="366"/>
      <c r="C552" s="452">
        <v>45972</v>
      </c>
      <c r="D552" s="451">
        <v>155</v>
      </c>
      <c r="E552" s="581" t="s">
        <v>905</v>
      </c>
      <c r="F552" s="539">
        <f t="shared" si="24"/>
        <v>1261.3125000000002</v>
      </c>
      <c r="G552" s="540">
        <f t="shared" si="25"/>
        <v>97.024038461538481</v>
      </c>
      <c r="H552" s="541">
        <f t="shared" si="26"/>
        <v>20371.3125</v>
      </c>
      <c r="I552" s="446"/>
    </row>
    <row r="553" spans="2:9" ht="26.1" hidden="1" customHeight="1" thickTop="1" thickBot="1" x14ac:dyDescent="0.4">
      <c r="B553" s="366"/>
      <c r="C553" s="452">
        <v>45973</v>
      </c>
      <c r="D553" s="451">
        <v>156</v>
      </c>
      <c r="E553" s="581" t="s">
        <v>906</v>
      </c>
      <c r="F553" s="539">
        <f t="shared" si="24"/>
        <v>1269.4500000000003</v>
      </c>
      <c r="G553" s="540">
        <f t="shared" si="25"/>
        <v>97.65000000000002</v>
      </c>
      <c r="H553" s="541">
        <f t="shared" si="26"/>
        <v>20379.45</v>
      </c>
      <c r="I553" s="446"/>
    </row>
    <row r="554" spans="2:9" ht="26.1" hidden="1" customHeight="1" thickTop="1" thickBot="1" x14ac:dyDescent="0.4">
      <c r="B554" s="366"/>
      <c r="C554" s="452">
        <v>45974</v>
      </c>
      <c r="D554" s="451">
        <v>157</v>
      </c>
      <c r="E554" s="581" t="s">
        <v>907</v>
      </c>
      <c r="F554" s="539">
        <f t="shared" si="24"/>
        <v>1277.5875000000001</v>
      </c>
      <c r="G554" s="540">
        <f t="shared" si="25"/>
        <v>98.275961538461544</v>
      </c>
      <c r="H554" s="541">
        <f t="shared" si="26"/>
        <v>20387.587500000001</v>
      </c>
      <c r="I554" s="446"/>
    </row>
    <row r="555" spans="2:9" ht="26.1" hidden="1" customHeight="1" thickTop="1" thickBot="1" x14ac:dyDescent="0.4">
      <c r="B555" s="366"/>
      <c r="C555" s="452">
        <v>45975</v>
      </c>
      <c r="D555" s="451">
        <v>158</v>
      </c>
      <c r="E555" s="581" t="s">
        <v>908</v>
      </c>
      <c r="F555" s="539">
        <f t="shared" si="24"/>
        <v>1285.7250000000001</v>
      </c>
      <c r="G555" s="540">
        <f t="shared" si="25"/>
        <v>98.901923076923083</v>
      </c>
      <c r="H555" s="541">
        <f t="shared" si="26"/>
        <v>20395.724999999999</v>
      </c>
      <c r="I555" s="446"/>
    </row>
    <row r="556" spans="2:9" ht="26.1" hidden="1" customHeight="1" thickTop="1" thickBot="1" x14ac:dyDescent="0.4">
      <c r="B556" s="366"/>
      <c r="C556" s="452">
        <v>45976</v>
      </c>
      <c r="D556" s="451">
        <v>159</v>
      </c>
      <c r="E556" s="581" t="s">
        <v>909</v>
      </c>
      <c r="F556" s="539">
        <f t="shared" si="24"/>
        <v>1293.8625000000002</v>
      </c>
      <c r="G556" s="540">
        <f t="shared" si="25"/>
        <v>99.527884615384636</v>
      </c>
      <c r="H556" s="541">
        <f t="shared" si="26"/>
        <v>20403.862499999999</v>
      </c>
      <c r="I556" s="446"/>
    </row>
    <row r="557" spans="2:9" ht="26.1" hidden="1" customHeight="1" thickTop="1" thickBot="1" x14ac:dyDescent="0.4">
      <c r="B557" s="366"/>
      <c r="C557" s="452">
        <v>45977</v>
      </c>
      <c r="D557" s="451">
        <v>160</v>
      </c>
      <c r="E557" s="581" t="s">
        <v>910</v>
      </c>
      <c r="F557" s="539">
        <f t="shared" si="24"/>
        <v>1302.0000000000002</v>
      </c>
      <c r="G557" s="540">
        <f t="shared" si="25"/>
        <v>100.15384615384617</v>
      </c>
      <c r="H557" s="541">
        <f t="shared" si="26"/>
        <v>20412</v>
      </c>
      <c r="I557" s="446"/>
    </row>
    <row r="558" spans="2:9" ht="26.1" hidden="1" customHeight="1" thickTop="1" thickBot="1" x14ac:dyDescent="0.4">
      <c r="B558" s="366"/>
      <c r="C558" s="452">
        <v>45978</v>
      </c>
      <c r="D558" s="451">
        <v>161</v>
      </c>
      <c r="E558" s="581" t="s">
        <v>904</v>
      </c>
      <c r="F558" s="539">
        <f t="shared" si="24"/>
        <v>1310.1375000000003</v>
      </c>
      <c r="G558" s="540">
        <f t="shared" si="25"/>
        <v>100.77980769230771</v>
      </c>
      <c r="H558" s="541">
        <f t="shared" si="26"/>
        <v>20420.137500000001</v>
      </c>
      <c r="I558" s="446"/>
    </row>
    <row r="559" spans="2:9" ht="26.1" hidden="1" customHeight="1" thickTop="1" thickBot="1" x14ac:dyDescent="0.4">
      <c r="B559" s="366"/>
      <c r="C559" s="452">
        <v>45979</v>
      </c>
      <c r="D559" s="451">
        <v>162</v>
      </c>
      <c r="E559" s="581" t="s">
        <v>905</v>
      </c>
      <c r="F559" s="539">
        <f t="shared" si="24"/>
        <v>1318.2750000000001</v>
      </c>
      <c r="G559" s="540">
        <f t="shared" si="25"/>
        <v>101.40576923076924</v>
      </c>
      <c r="H559" s="541">
        <f t="shared" si="26"/>
        <v>20428.275000000001</v>
      </c>
      <c r="I559" s="446"/>
    </row>
    <row r="560" spans="2:9" ht="26.1" hidden="1" customHeight="1" thickTop="1" thickBot="1" x14ac:dyDescent="0.4">
      <c r="B560" s="366"/>
      <c r="C560" s="452">
        <v>45980</v>
      </c>
      <c r="D560" s="451">
        <v>163</v>
      </c>
      <c r="E560" s="581" t="s">
        <v>906</v>
      </c>
      <c r="F560" s="539">
        <f t="shared" si="24"/>
        <v>1326.4125000000001</v>
      </c>
      <c r="G560" s="540">
        <f t="shared" si="25"/>
        <v>102.03173076923078</v>
      </c>
      <c r="H560" s="541">
        <f t="shared" si="26"/>
        <v>20436.412499999999</v>
      </c>
      <c r="I560" s="446"/>
    </row>
    <row r="561" spans="2:9" ht="26.1" hidden="1" customHeight="1" thickTop="1" thickBot="1" x14ac:dyDescent="0.4">
      <c r="B561" s="366"/>
      <c r="C561" s="452">
        <v>45981</v>
      </c>
      <c r="D561" s="451">
        <v>164</v>
      </c>
      <c r="E561" s="581" t="s">
        <v>907</v>
      </c>
      <c r="F561" s="539">
        <f t="shared" si="24"/>
        <v>1334.5500000000002</v>
      </c>
      <c r="G561" s="540">
        <f t="shared" si="25"/>
        <v>102.65769230769232</v>
      </c>
      <c r="H561" s="541">
        <f t="shared" si="26"/>
        <v>20444.55</v>
      </c>
      <c r="I561" s="446"/>
    </row>
    <row r="562" spans="2:9" ht="26.1" hidden="1" customHeight="1" thickTop="1" thickBot="1" x14ac:dyDescent="0.4">
      <c r="B562" s="366"/>
      <c r="C562" s="452">
        <v>45982</v>
      </c>
      <c r="D562" s="451">
        <v>165</v>
      </c>
      <c r="E562" s="581" t="s">
        <v>908</v>
      </c>
      <c r="F562" s="539">
        <f t="shared" si="24"/>
        <v>1342.6875000000002</v>
      </c>
      <c r="G562" s="540">
        <f t="shared" si="25"/>
        <v>103.28365384615387</v>
      </c>
      <c r="H562" s="541">
        <f t="shared" si="26"/>
        <v>20452.6875</v>
      </c>
      <c r="I562" s="446"/>
    </row>
    <row r="563" spans="2:9" ht="26.1" hidden="1" customHeight="1" thickTop="1" thickBot="1" x14ac:dyDescent="0.4">
      <c r="B563" s="366"/>
      <c r="C563" s="452">
        <v>45983</v>
      </c>
      <c r="D563" s="451">
        <v>166</v>
      </c>
      <c r="E563" s="581" t="s">
        <v>909</v>
      </c>
      <c r="F563" s="539">
        <f t="shared" si="24"/>
        <v>1350.8250000000003</v>
      </c>
      <c r="G563" s="540">
        <f t="shared" si="25"/>
        <v>103.90961538461541</v>
      </c>
      <c r="H563" s="541">
        <f t="shared" si="26"/>
        <v>20460.825000000001</v>
      </c>
      <c r="I563" s="446"/>
    </row>
    <row r="564" spans="2:9" ht="26.1" hidden="1" customHeight="1" thickTop="1" thickBot="1" x14ac:dyDescent="0.4">
      <c r="B564" s="366"/>
      <c r="C564" s="452">
        <v>45984</v>
      </c>
      <c r="D564" s="451">
        <v>167</v>
      </c>
      <c r="E564" s="581" t="s">
        <v>910</v>
      </c>
      <c r="F564" s="539">
        <f t="shared" si="24"/>
        <v>1358.9625000000001</v>
      </c>
      <c r="G564" s="540">
        <f t="shared" si="25"/>
        <v>104.53557692307693</v>
      </c>
      <c r="H564" s="541">
        <f t="shared" si="26"/>
        <v>20468.962500000001</v>
      </c>
      <c r="I564" s="446"/>
    </row>
    <row r="565" spans="2:9" ht="26.1" hidden="1" customHeight="1" thickTop="1" thickBot="1" x14ac:dyDescent="0.4">
      <c r="B565" s="366"/>
      <c r="C565" s="452">
        <v>45985</v>
      </c>
      <c r="D565" s="451">
        <v>168</v>
      </c>
      <c r="E565" s="581" t="s">
        <v>904</v>
      </c>
      <c r="F565" s="539">
        <f t="shared" si="24"/>
        <v>1367.1000000000001</v>
      </c>
      <c r="G565" s="540">
        <f t="shared" si="25"/>
        <v>105.16153846153847</v>
      </c>
      <c r="H565" s="541">
        <f t="shared" si="26"/>
        <v>20477.099999999999</v>
      </c>
      <c r="I565" s="446"/>
    </row>
    <row r="566" spans="2:9" ht="26.1" hidden="1" customHeight="1" thickTop="1" thickBot="1" x14ac:dyDescent="0.4">
      <c r="B566" s="366"/>
      <c r="C566" s="452">
        <v>45986</v>
      </c>
      <c r="D566" s="451">
        <v>169</v>
      </c>
      <c r="E566" s="581" t="s">
        <v>905</v>
      </c>
      <c r="F566" s="539">
        <f t="shared" si="24"/>
        <v>1375.2375000000002</v>
      </c>
      <c r="G566" s="540">
        <f t="shared" si="25"/>
        <v>105.78750000000001</v>
      </c>
      <c r="H566" s="541">
        <f t="shared" si="26"/>
        <v>20485.237499999999</v>
      </c>
      <c r="I566" s="446"/>
    </row>
    <row r="567" spans="2:9" ht="26.1" hidden="1" customHeight="1" thickTop="1" thickBot="1" x14ac:dyDescent="0.4">
      <c r="B567" s="366"/>
      <c r="C567" s="452">
        <v>45987</v>
      </c>
      <c r="D567" s="451">
        <v>170</v>
      </c>
      <c r="E567" s="581" t="s">
        <v>906</v>
      </c>
      <c r="F567" s="539">
        <f t="shared" si="24"/>
        <v>1383.3750000000002</v>
      </c>
      <c r="G567" s="540">
        <f t="shared" si="25"/>
        <v>106.41346153846156</v>
      </c>
      <c r="H567" s="541">
        <f t="shared" si="26"/>
        <v>20493.375</v>
      </c>
      <c r="I567" s="446"/>
    </row>
    <row r="568" spans="2:9" ht="26.1" hidden="1" customHeight="1" thickTop="1" thickBot="1" x14ac:dyDescent="0.4">
      <c r="B568" s="366"/>
      <c r="C568" s="452">
        <v>45988</v>
      </c>
      <c r="D568" s="451">
        <v>171</v>
      </c>
      <c r="E568" s="581" t="s">
        <v>907</v>
      </c>
      <c r="F568" s="539">
        <f t="shared" si="24"/>
        <v>1391.5125000000003</v>
      </c>
      <c r="G568" s="540">
        <f t="shared" si="25"/>
        <v>107.0394230769231</v>
      </c>
      <c r="H568" s="541">
        <f t="shared" si="26"/>
        <v>20501.512500000001</v>
      </c>
      <c r="I568" s="446"/>
    </row>
    <row r="569" spans="2:9" ht="26.1" hidden="1" customHeight="1" thickTop="1" thickBot="1" x14ac:dyDescent="0.4">
      <c r="B569" s="366"/>
      <c r="C569" s="452">
        <v>45989</v>
      </c>
      <c r="D569" s="451">
        <v>172</v>
      </c>
      <c r="E569" s="581" t="s">
        <v>908</v>
      </c>
      <c r="F569" s="539">
        <f t="shared" si="24"/>
        <v>1399.65</v>
      </c>
      <c r="G569" s="540">
        <f t="shared" si="25"/>
        <v>107.66538461538462</v>
      </c>
      <c r="H569" s="541">
        <f t="shared" si="26"/>
        <v>20509.650000000001</v>
      </c>
      <c r="I569" s="446"/>
    </row>
    <row r="570" spans="2:9" ht="26.1" hidden="1" customHeight="1" thickTop="1" thickBot="1" x14ac:dyDescent="0.4">
      <c r="B570" s="366"/>
      <c r="C570" s="452">
        <v>45990</v>
      </c>
      <c r="D570" s="451">
        <v>173</v>
      </c>
      <c r="E570" s="581" t="s">
        <v>909</v>
      </c>
      <c r="F570" s="539">
        <f t="shared" si="24"/>
        <v>1407.7875000000001</v>
      </c>
      <c r="G570" s="540">
        <f t="shared" si="25"/>
        <v>108.29134615384616</v>
      </c>
      <c r="H570" s="541">
        <f t="shared" si="26"/>
        <v>20517.787499999999</v>
      </c>
      <c r="I570" s="446"/>
    </row>
    <row r="571" spans="2:9" ht="26.1" hidden="1" customHeight="1" thickTop="1" thickBot="1" x14ac:dyDescent="0.4">
      <c r="B571" s="366"/>
      <c r="C571" s="452">
        <v>45991</v>
      </c>
      <c r="D571" s="451">
        <v>174</v>
      </c>
      <c r="E571" s="581" t="s">
        <v>910</v>
      </c>
      <c r="F571" s="539">
        <f t="shared" si="24"/>
        <v>1415.9250000000002</v>
      </c>
      <c r="G571" s="540">
        <f t="shared" si="25"/>
        <v>108.9173076923077</v>
      </c>
      <c r="H571" s="541">
        <f t="shared" si="26"/>
        <v>20525.924999999999</v>
      </c>
      <c r="I571" s="446"/>
    </row>
    <row r="572" spans="2:9" ht="26.1" hidden="1" customHeight="1" thickTop="1" thickBot="1" x14ac:dyDescent="0.4">
      <c r="B572" s="366"/>
      <c r="C572" s="452">
        <v>45992</v>
      </c>
      <c r="D572" s="451">
        <v>175</v>
      </c>
      <c r="E572" s="581" t="s">
        <v>904</v>
      </c>
      <c r="F572" s="539">
        <f t="shared" si="24"/>
        <v>1424.0625000000002</v>
      </c>
      <c r="G572" s="540">
        <f t="shared" si="25"/>
        <v>109.54326923076925</v>
      </c>
      <c r="H572" s="541">
        <f t="shared" si="26"/>
        <v>20534.0625</v>
      </c>
      <c r="I572" s="446"/>
    </row>
    <row r="573" spans="2:9" ht="26.1" hidden="1" customHeight="1" thickTop="1" thickBot="1" x14ac:dyDescent="0.4">
      <c r="B573" s="366"/>
      <c r="C573" s="452">
        <v>45993</v>
      </c>
      <c r="D573" s="451">
        <v>176</v>
      </c>
      <c r="E573" s="581" t="s">
        <v>905</v>
      </c>
      <c r="F573" s="539">
        <f t="shared" si="24"/>
        <v>1432.2000000000003</v>
      </c>
      <c r="G573" s="540">
        <f t="shared" si="25"/>
        <v>110.16923076923079</v>
      </c>
      <c r="H573" s="541">
        <f t="shared" si="26"/>
        <v>20542.2</v>
      </c>
      <c r="I573" s="446"/>
    </row>
    <row r="574" spans="2:9" ht="26.1" hidden="1" customHeight="1" thickTop="1" thickBot="1" x14ac:dyDescent="0.4">
      <c r="B574" s="366"/>
      <c r="C574" s="452">
        <v>45994</v>
      </c>
      <c r="D574" s="451">
        <v>177</v>
      </c>
      <c r="E574" s="581" t="s">
        <v>906</v>
      </c>
      <c r="F574" s="539">
        <f t="shared" si="24"/>
        <v>1440.3375000000001</v>
      </c>
      <c r="G574" s="540">
        <f t="shared" si="25"/>
        <v>110.79519230769232</v>
      </c>
      <c r="H574" s="541">
        <f t="shared" si="26"/>
        <v>20550.337500000001</v>
      </c>
      <c r="I574" s="446"/>
    </row>
    <row r="575" spans="2:9" ht="26.1" hidden="1" customHeight="1" thickTop="1" thickBot="1" x14ac:dyDescent="0.4">
      <c r="B575" s="366"/>
      <c r="C575" s="452">
        <v>45995</v>
      </c>
      <c r="D575" s="451">
        <v>178</v>
      </c>
      <c r="E575" s="581" t="s">
        <v>907</v>
      </c>
      <c r="F575" s="539">
        <f t="shared" si="24"/>
        <v>1448.4750000000001</v>
      </c>
      <c r="G575" s="540">
        <f t="shared" si="25"/>
        <v>111.42115384615386</v>
      </c>
      <c r="H575" s="541">
        <f t="shared" si="26"/>
        <v>20558.474999999999</v>
      </c>
      <c r="I575" s="446"/>
    </row>
    <row r="576" spans="2:9" ht="26.1" hidden="1" customHeight="1" thickTop="1" thickBot="1" x14ac:dyDescent="0.4">
      <c r="B576" s="366"/>
      <c r="C576" s="452">
        <v>45996</v>
      </c>
      <c r="D576" s="451">
        <v>179</v>
      </c>
      <c r="E576" s="581" t="s">
        <v>908</v>
      </c>
      <c r="F576" s="539">
        <f t="shared" si="24"/>
        <v>1456.6125000000002</v>
      </c>
      <c r="G576" s="540">
        <f t="shared" si="25"/>
        <v>112.0471153846154</v>
      </c>
      <c r="H576" s="541">
        <f t="shared" si="26"/>
        <v>20566.612499999999</v>
      </c>
      <c r="I576" s="446"/>
    </row>
    <row r="577" spans="2:9" ht="26.1" hidden="1" customHeight="1" thickTop="1" thickBot="1" x14ac:dyDescent="0.4">
      <c r="B577" s="366"/>
      <c r="C577" s="452">
        <v>45997</v>
      </c>
      <c r="D577" s="451">
        <v>180</v>
      </c>
      <c r="E577" s="581" t="s">
        <v>909</v>
      </c>
      <c r="F577" s="539">
        <f t="shared" si="24"/>
        <v>1464.7500000000002</v>
      </c>
      <c r="G577" s="540">
        <f t="shared" si="25"/>
        <v>112.67307692307693</v>
      </c>
      <c r="H577" s="541">
        <f t="shared" si="26"/>
        <v>20574.75</v>
      </c>
      <c r="I577" s="446"/>
    </row>
    <row r="578" spans="2:9" ht="26.1" hidden="1" customHeight="1" thickTop="1" thickBot="1" x14ac:dyDescent="0.4">
      <c r="B578" s="366"/>
      <c r="C578" s="452">
        <v>45998</v>
      </c>
      <c r="D578" s="451">
        <v>181</v>
      </c>
      <c r="E578" s="581" t="s">
        <v>910</v>
      </c>
      <c r="F578" s="539">
        <f t="shared" si="24"/>
        <v>1472.8875000000003</v>
      </c>
      <c r="G578" s="540">
        <f t="shared" si="25"/>
        <v>113.29903846153849</v>
      </c>
      <c r="H578" s="541">
        <f t="shared" si="26"/>
        <v>20582.887500000001</v>
      </c>
      <c r="I578" s="446"/>
    </row>
    <row r="579" spans="2:9" ht="26.1" hidden="1" customHeight="1" thickTop="1" thickBot="1" x14ac:dyDescent="0.4">
      <c r="B579" s="366"/>
      <c r="C579" s="452">
        <v>45999</v>
      </c>
      <c r="D579" s="451">
        <v>182</v>
      </c>
      <c r="E579" s="581" t="s">
        <v>904</v>
      </c>
      <c r="F579" s="539">
        <f t="shared" si="24"/>
        <v>1481.0250000000001</v>
      </c>
      <c r="G579" s="540">
        <f t="shared" si="25"/>
        <v>113.92500000000001</v>
      </c>
      <c r="H579" s="541">
        <f t="shared" si="26"/>
        <v>20591.025000000001</v>
      </c>
      <c r="I579" s="446"/>
    </row>
    <row r="580" spans="2:9" ht="26.1" hidden="1" customHeight="1" thickTop="1" thickBot="1" x14ac:dyDescent="0.4">
      <c r="B580" s="366"/>
      <c r="C580" s="452">
        <v>46000</v>
      </c>
      <c r="D580" s="451">
        <v>183</v>
      </c>
      <c r="E580" s="581" t="s">
        <v>905</v>
      </c>
      <c r="F580" s="539">
        <f t="shared" si="24"/>
        <v>1489.1625000000001</v>
      </c>
      <c r="G580" s="540">
        <f t="shared" si="25"/>
        <v>114.55096153846155</v>
      </c>
      <c r="H580" s="541">
        <f t="shared" si="26"/>
        <v>20599.162499999999</v>
      </c>
      <c r="I580" s="446"/>
    </row>
    <row r="581" spans="2:9" ht="26.1" hidden="1" customHeight="1" thickTop="1" thickBot="1" x14ac:dyDescent="0.4">
      <c r="B581" s="366"/>
      <c r="C581" s="452">
        <v>46001</v>
      </c>
      <c r="D581" s="451">
        <v>184</v>
      </c>
      <c r="E581" s="581" t="s">
        <v>906</v>
      </c>
      <c r="F581" s="539">
        <f t="shared" si="24"/>
        <v>1497.3000000000002</v>
      </c>
      <c r="G581" s="540">
        <f t="shared" si="25"/>
        <v>115.17692307692309</v>
      </c>
      <c r="H581" s="541">
        <f t="shared" si="26"/>
        <v>20607.3</v>
      </c>
      <c r="I581" s="446"/>
    </row>
    <row r="582" spans="2:9" ht="26.1" hidden="1" customHeight="1" thickTop="1" thickBot="1" x14ac:dyDescent="0.4">
      <c r="B582" s="366"/>
      <c r="C582" s="452">
        <v>46002</v>
      </c>
      <c r="D582" s="451">
        <v>185</v>
      </c>
      <c r="E582" s="581" t="s">
        <v>907</v>
      </c>
      <c r="F582" s="539">
        <f t="shared" si="24"/>
        <v>1505.4375000000002</v>
      </c>
      <c r="G582" s="540">
        <f t="shared" si="25"/>
        <v>115.80288461538463</v>
      </c>
      <c r="H582" s="541">
        <f t="shared" si="26"/>
        <v>20615.4375</v>
      </c>
      <c r="I582" s="446"/>
    </row>
    <row r="583" spans="2:9" ht="26.1" hidden="1" customHeight="1" thickTop="1" thickBot="1" x14ac:dyDescent="0.4">
      <c r="B583" s="366"/>
      <c r="C583" s="452">
        <v>46003</v>
      </c>
      <c r="D583" s="451">
        <v>186</v>
      </c>
      <c r="E583" s="581" t="s">
        <v>908</v>
      </c>
      <c r="F583" s="539">
        <f t="shared" si="24"/>
        <v>1513.5750000000003</v>
      </c>
      <c r="G583" s="540">
        <f t="shared" si="25"/>
        <v>116.42884615384618</v>
      </c>
      <c r="H583" s="541">
        <f t="shared" si="26"/>
        <v>20623.575000000001</v>
      </c>
      <c r="I583" s="446"/>
    </row>
    <row r="584" spans="2:9" ht="26.1" hidden="1" customHeight="1" thickTop="1" thickBot="1" x14ac:dyDescent="0.4">
      <c r="B584" s="366"/>
      <c r="C584" s="452">
        <v>46004</v>
      </c>
      <c r="D584" s="451">
        <v>187</v>
      </c>
      <c r="E584" s="581" t="s">
        <v>909</v>
      </c>
      <c r="F584" s="539">
        <f t="shared" si="24"/>
        <v>1521.7125000000001</v>
      </c>
      <c r="G584" s="540">
        <f t="shared" si="25"/>
        <v>117.0548076923077</v>
      </c>
      <c r="H584" s="541">
        <f t="shared" si="26"/>
        <v>20631.712500000001</v>
      </c>
      <c r="I584" s="446"/>
    </row>
    <row r="585" spans="2:9" ht="26.1" hidden="1" customHeight="1" thickTop="1" thickBot="1" x14ac:dyDescent="0.4">
      <c r="B585" s="366"/>
      <c r="C585" s="452">
        <v>46005</v>
      </c>
      <c r="D585" s="451">
        <v>188</v>
      </c>
      <c r="E585" s="581" t="s">
        <v>910</v>
      </c>
      <c r="F585" s="539">
        <f t="shared" si="24"/>
        <v>1529.8500000000001</v>
      </c>
      <c r="G585" s="540">
        <f t="shared" si="25"/>
        <v>117.68076923076924</v>
      </c>
      <c r="H585" s="541">
        <f t="shared" si="26"/>
        <v>20639.849999999999</v>
      </c>
      <c r="I585" s="446"/>
    </row>
    <row r="586" spans="2:9" ht="26.1" hidden="1" customHeight="1" thickTop="1" thickBot="1" x14ac:dyDescent="0.4">
      <c r="B586" s="366"/>
      <c r="C586" s="452">
        <v>46006</v>
      </c>
      <c r="D586" s="451">
        <v>189</v>
      </c>
      <c r="E586" s="581" t="s">
        <v>904</v>
      </c>
      <c r="F586" s="539">
        <f t="shared" si="24"/>
        <v>1537.9875000000002</v>
      </c>
      <c r="G586" s="540">
        <f t="shared" si="25"/>
        <v>118.30673076923078</v>
      </c>
      <c r="H586" s="541">
        <f t="shared" si="26"/>
        <v>20647.987499999999</v>
      </c>
      <c r="I586" s="446"/>
    </row>
    <row r="587" spans="2:9" ht="26.1" hidden="1" customHeight="1" thickTop="1" thickBot="1" x14ac:dyDescent="0.4">
      <c r="B587" s="366"/>
      <c r="C587" s="452">
        <v>46007</v>
      </c>
      <c r="D587" s="451">
        <v>190</v>
      </c>
      <c r="E587" s="581" t="s">
        <v>905</v>
      </c>
      <c r="F587" s="539">
        <f t="shared" si="24"/>
        <v>1546.1250000000002</v>
      </c>
      <c r="G587" s="540">
        <f t="shared" si="25"/>
        <v>118.93269230769232</v>
      </c>
      <c r="H587" s="541">
        <f t="shared" si="26"/>
        <v>20656.125</v>
      </c>
      <c r="I587" s="446"/>
    </row>
    <row r="588" spans="2:9" ht="26.1" hidden="1" customHeight="1" thickTop="1" thickBot="1" x14ac:dyDescent="0.4">
      <c r="B588" s="366"/>
      <c r="C588" s="452">
        <v>46008</v>
      </c>
      <c r="D588" s="451">
        <v>191</v>
      </c>
      <c r="E588" s="581" t="s">
        <v>906</v>
      </c>
      <c r="F588" s="539">
        <f t="shared" si="24"/>
        <v>1554.2625000000003</v>
      </c>
      <c r="G588" s="540">
        <f t="shared" si="25"/>
        <v>119.55865384615387</v>
      </c>
      <c r="H588" s="541">
        <f t="shared" si="26"/>
        <v>20664.262500000001</v>
      </c>
      <c r="I588" s="446"/>
    </row>
    <row r="589" spans="2:9" ht="26.1" hidden="1" customHeight="1" thickTop="1" thickBot="1" x14ac:dyDescent="0.4">
      <c r="B589" s="366"/>
      <c r="C589" s="452">
        <v>46009</v>
      </c>
      <c r="D589" s="451">
        <v>192</v>
      </c>
      <c r="E589" s="581" t="s">
        <v>907</v>
      </c>
      <c r="F589" s="539">
        <f t="shared" si="24"/>
        <v>1562.4</v>
      </c>
      <c r="G589" s="540">
        <f t="shared" si="25"/>
        <v>120.1846153846154</v>
      </c>
      <c r="H589" s="541">
        <f t="shared" si="26"/>
        <v>20672.400000000001</v>
      </c>
      <c r="I589" s="446"/>
    </row>
    <row r="590" spans="2:9" ht="26.1" hidden="1" customHeight="1" thickTop="1" thickBot="1" x14ac:dyDescent="0.4">
      <c r="B590" s="366"/>
      <c r="C590" s="452">
        <v>46010</v>
      </c>
      <c r="D590" s="451">
        <v>193</v>
      </c>
      <c r="E590" s="581" t="s">
        <v>908</v>
      </c>
      <c r="F590" s="539">
        <f t="shared" si="24"/>
        <v>1570.5375000000001</v>
      </c>
      <c r="G590" s="540">
        <f t="shared" si="25"/>
        <v>120.81057692307694</v>
      </c>
      <c r="H590" s="541">
        <f t="shared" si="26"/>
        <v>20680.537499999999</v>
      </c>
      <c r="I590" s="446"/>
    </row>
    <row r="591" spans="2:9" ht="26.1" hidden="1" customHeight="1" thickTop="1" thickBot="1" x14ac:dyDescent="0.4">
      <c r="B591" s="366"/>
      <c r="C591" s="452">
        <v>46011</v>
      </c>
      <c r="D591" s="451">
        <v>194</v>
      </c>
      <c r="E591" s="581" t="s">
        <v>909</v>
      </c>
      <c r="F591" s="539">
        <f t="shared" ref="F591:F654" si="27">$E$390/$F$392*D591</f>
        <v>1578.6750000000002</v>
      </c>
      <c r="G591" s="540">
        <f t="shared" ref="G591:G654" si="28">F591/$C$394</f>
        <v>121.43653846153848</v>
      </c>
      <c r="H591" s="541">
        <f t="shared" ref="H591:H654" si="29">$C$390+F591</f>
        <v>20688.674999999999</v>
      </c>
      <c r="I591" s="446"/>
    </row>
    <row r="592" spans="2:9" ht="26.1" hidden="1" customHeight="1" thickTop="1" thickBot="1" x14ac:dyDescent="0.4">
      <c r="B592" s="366"/>
      <c r="C592" s="452">
        <v>46012</v>
      </c>
      <c r="D592" s="451">
        <v>195</v>
      </c>
      <c r="E592" s="581" t="s">
        <v>910</v>
      </c>
      <c r="F592" s="539">
        <f t="shared" si="27"/>
        <v>1586.8125000000002</v>
      </c>
      <c r="G592" s="540">
        <f t="shared" si="28"/>
        <v>122.06250000000001</v>
      </c>
      <c r="H592" s="541">
        <f t="shared" si="29"/>
        <v>20696.8125</v>
      </c>
      <c r="I592" s="446"/>
    </row>
    <row r="593" spans="2:9" ht="26.1" hidden="1" customHeight="1" thickTop="1" thickBot="1" x14ac:dyDescent="0.4">
      <c r="B593" s="366"/>
      <c r="C593" s="452">
        <v>46013</v>
      </c>
      <c r="D593" s="451">
        <v>196</v>
      </c>
      <c r="E593" s="581" t="s">
        <v>904</v>
      </c>
      <c r="F593" s="539">
        <f t="shared" si="27"/>
        <v>1594.9500000000003</v>
      </c>
      <c r="G593" s="540">
        <f t="shared" si="28"/>
        <v>122.68846153846155</v>
      </c>
      <c r="H593" s="541">
        <f t="shared" si="29"/>
        <v>20704.95</v>
      </c>
      <c r="I593" s="446"/>
    </row>
    <row r="594" spans="2:9" ht="26.1" hidden="1" customHeight="1" thickTop="1" thickBot="1" x14ac:dyDescent="0.4">
      <c r="B594" s="366"/>
      <c r="C594" s="452">
        <v>46014</v>
      </c>
      <c r="D594" s="451">
        <v>197</v>
      </c>
      <c r="E594" s="581" t="s">
        <v>905</v>
      </c>
      <c r="F594" s="539">
        <f t="shared" si="27"/>
        <v>1603.0875000000003</v>
      </c>
      <c r="G594" s="540">
        <f t="shared" si="28"/>
        <v>123.31442307692311</v>
      </c>
      <c r="H594" s="541">
        <f t="shared" si="29"/>
        <v>20713.087500000001</v>
      </c>
      <c r="I594" s="446"/>
    </row>
    <row r="595" spans="2:9" ht="26.1" hidden="1" customHeight="1" thickTop="1" thickBot="1" x14ac:dyDescent="0.4">
      <c r="B595" s="366"/>
      <c r="C595" s="452">
        <v>46015</v>
      </c>
      <c r="D595" s="451">
        <v>198</v>
      </c>
      <c r="E595" s="581" t="s">
        <v>906</v>
      </c>
      <c r="F595" s="539">
        <f t="shared" si="27"/>
        <v>1611.2250000000001</v>
      </c>
      <c r="G595" s="540">
        <f t="shared" si="28"/>
        <v>123.94038461538463</v>
      </c>
      <c r="H595" s="541">
        <f t="shared" si="29"/>
        <v>20721.224999999999</v>
      </c>
      <c r="I595" s="446"/>
    </row>
    <row r="596" spans="2:9" ht="26.1" hidden="1" customHeight="1" thickTop="1" thickBot="1" x14ac:dyDescent="0.4">
      <c r="B596" s="366"/>
      <c r="C596" s="452">
        <v>46016</v>
      </c>
      <c r="D596" s="451">
        <v>199</v>
      </c>
      <c r="E596" s="581" t="s">
        <v>907</v>
      </c>
      <c r="F596" s="539">
        <f t="shared" si="27"/>
        <v>1619.3625000000002</v>
      </c>
      <c r="G596" s="540">
        <f t="shared" si="28"/>
        <v>124.56634615384617</v>
      </c>
      <c r="H596" s="541">
        <f t="shared" si="29"/>
        <v>20729.362499999999</v>
      </c>
      <c r="I596" s="446"/>
    </row>
    <row r="597" spans="2:9" ht="26.1" hidden="1" customHeight="1" thickTop="1" thickBot="1" x14ac:dyDescent="0.4">
      <c r="B597" s="366"/>
      <c r="C597" s="452">
        <v>46017</v>
      </c>
      <c r="D597" s="451">
        <v>200</v>
      </c>
      <c r="E597" s="581" t="s">
        <v>908</v>
      </c>
      <c r="F597" s="539">
        <f t="shared" si="27"/>
        <v>1627.5000000000002</v>
      </c>
      <c r="G597" s="540">
        <f t="shared" si="28"/>
        <v>125.19230769230771</v>
      </c>
      <c r="H597" s="541">
        <f t="shared" si="29"/>
        <v>20737.5</v>
      </c>
      <c r="I597" s="446"/>
    </row>
    <row r="598" spans="2:9" ht="26.1" hidden="1" customHeight="1" thickTop="1" thickBot="1" x14ac:dyDescent="0.4">
      <c r="B598" s="366"/>
      <c r="C598" s="452">
        <v>46018</v>
      </c>
      <c r="D598" s="451">
        <v>201</v>
      </c>
      <c r="E598" s="581" t="s">
        <v>909</v>
      </c>
      <c r="F598" s="539">
        <f t="shared" si="27"/>
        <v>1635.6375000000003</v>
      </c>
      <c r="G598" s="540">
        <f t="shared" si="28"/>
        <v>125.81826923076925</v>
      </c>
      <c r="H598" s="541">
        <f t="shared" si="29"/>
        <v>20745.637500000001</v>
      </c>
      <c r="I598" s="446"/>
    </row>
    <row r="599" spans="2:9" ht="26.1" hidden="1" customHeight="1" thickTop="1" thickBot="1" x14ac:dyDescent="0.4">
      <c r="B599" s="366"/>
      <c r="C599" s="452">
        <v>46019</v>
      </c>
      <c r="D599" s="451">
        <v>202</v>
      </c>
      <c r="E599" s="581" t="s">
        <v>910</v>
      </c>
      <c r="F599" s="539">
        <f t="shared" si="27"/>
        <v>1643.7750000000003</v>
      </c>
      <c r="G599" s="540">
        <f t="shared" si="28"/>
        <v>126.4442307692308</v>
      </c>
      <c r="H599" s="541">
        <f t="shared" si="29"/>
        <v>20753.775000000001</v>
      </c>
      <c r="I599" s="446"/>
    </row>
    <row r="600" spans="2:9" ht="26.1" hidden="1" customHeight="1" thickTop="1" thickBot="1" x14ac:dyDescent="0.4">
      <c r="B600" s="366"/>
      <c r="C600" s="452">
        <v>46020</v>
      </c>
      <c r="D600" s="451">
        <v>203</v>
      </c>
      <c r="E600" s="581" t="s">
        <v>904</v>
      </c>
      <c r="F600" s="539">
        <f t="shared" si="27"/>
        <v>1651.9125000000001</v>
      </c>
      <c r="G600" s="540">
        <f t="shared" si="28"/>
        <v>127.07019230769232</v>
      </c>
      <c r="H600" s="541">
        <f t="shared" si="29"/>
        <v>20761.912499999999</v>
      </c>
      <c r="I600" s="446"/>
    </row>
    <row r="601" spans="2:9" ht="26.1" hidden="1" customHeight="1" thickTop="1" thickBot="1" x14ac:dyDescent="0.4">
      <c r="B601" s="366"/>
      <c r="C601" s="452">
        <v>46021</v>
      </c>
      <c r="D601" s="451">
        <v>204</v>
      </c>
      <c r="E601" s="581" t="s">
        <v>905</v>
      </c>
      <c r="F601" s="539">
        <f t="shared" si="27"/>
        <v>1660.0500000000002</v>
      </c>
      <c r="G601" s="540">
        <f t="shared" si="28"/>
        <v>127.69615384615386</v>
      </c>
      <c r="H601" s="541">
        <f t="shared" si="29"/>
        <v>20770.05</v>
      </c>
      <c r="I601" s="446"/>
    </row>
    <row r="602" spans="2:9" ht="26.1" hidden="1" customHeight="1" thickTop="1" thickBot="1" x14ac:dyDescent="0.4">
      <c r="B602" s="366"/>
      <c r="C602" s="452">
        <v>46022</v>
      </c>
      <c r="D602" s="451">
        <v>205</v>
      </c>
      <c r="E602" s="581" t="s">
        <v>906</v>
      </c>
      <c r="F602" s="539">
        <f t="shared" si="27"/>
        <v>1668.1875000000002</v>
      </c>
      <c r="G602" s="540">
        <f t="shared" si="28"/>
        <v>128.32211538461542</v>
      </c>
      <c r="H602" s="541">
        <f t="shared" si="29"/>
        <v>20778.1875</v>
      </c>
      <c r="I602" s="446"/>
    </row>
    <row r="603" spans="2:9" ht="26.1" hidden="1" customHeight="1" thickTop="1" thickBot="1" x14ac:dyDescent="0.4">
      <c r="B603" s="366"/>
      <c r="C603" s="452">
        <v>46023</v>
      </c>
      <c r="D603" s="451">
        <v>206</v>
      </c>
      <c r="E603" s="581" t="s">
        <v>907</v>
      </c>
      <c r="F603" s="539">
        <f t="shared" si="27"/>
        <v>1676.3250000000003</v>
      </c>
      <c r="G603" s="540">
        <f t="shared" si="28"/>
        <v>128.94807692307694</v>
      </c>
      <c r="H603" s="541">
        <f t="shared" si="29"/>
        <v>20786.325000000001</v>
      </c>
      <c r="I603" s="446"/>
    </row>
    <row r="604" spans="2:9" ht="26.1" hidden="1" customHeight="1" thickTop="1" thickBot="1" x14ac:dyDescent="0.4">
      <c r="B604" s="366"/>
      <c r="C604" s="452">
        <v>46024</v>
      </c>
      <c r="D604" s="451">
        <v>207</v>
      </c>
      <c r="E604" s="581" t="s">
        <v>908</v>
      </c>
      <c r="F604" s="539">
        <f t="shared" si="27"/>
        <v>1684.4625000000003</v>
      </c>
      <c r="G604" s="540">
        <f t="shared" si="28"/>
        <v>129.57403846153849</v>
      </c>
      <c r="H604" s="541">
        <f t="shared" si="29"/>
        <v>20794.462500000001</v>
      </c>
      <c r="I604" s="446"/>
    </row>
    <row r="605" spans="2:9" ht="26.1" hidden="1" customHeight="1" thickTop="1" thickBot="1" x14ac:dyDescent="0.4">
      <c r="B605" s="366"/>
      <c r="C605" s="452">
        <v>46025</v>
      </c>
      <c r="D605" s="451">
        <v>208</v>
      </c>
      <c r="E605" s="581" t="s">
        <v>909</v>
      </c>
      <c r="F605" s="539">
        <f t="shared" si="27"/>
        <v>1692.6000000000001</v>
      </c>
      <c r="G605" s="540">
        <f t="shared" si="28"/>
        <v>130.20000000000002</v>
      </c>
      <c r="H605" s="541">
        <f t="shared" si="29"/>
        <v>20802.599999999999</v>
      </c>
      <c r="I605" s="446"/>
    </row>
    <row r="606" spans="2:9" ht="26.1" hidden="1" customHeight="1" thickTop="1" thickBot="1" x14ac:dyDescent="0.4">
      <c r="B606" s="366"/>
      <c r="C606" s="452">
        <v>46026</v>
      </c>
      <c r="D606" s="451">
        <v>209</v>
      </c>
      <c r="E606" s="581" t="s">
        <v>910</v>
      </c>
      <c r="F606" s="539">
        <f t="shared" si="27"/>
        <v>1700.7375000000002</v>
      </c>
      <c r="G606" s="540">
        <f t="shared" si="28"/>
        <v>130.82596153846154</v>
      </c>
      <c r="H606" s="541">
        <f t="shared" si="29"/>
        <v>20810.737499999999</v>
      </c>
      <c r="I606" s="446"/>
    </row>
    <row r="607" spans="2:9" ht="26.1" hidden="1" customHeight="1" thickTop="1" thickBot="1" x14ac:dyDescent="0.4">
      <c r="B607" s="366"/>
      <c r="C607" s="452">
        <v>46027</v>
      </c>
      <c r="D607" s="451">
        <v>210</v>
      </c>
      <c r="E607" s="581" t="s">
        <v>904</v>
      </c>
      <c r="F607" s="539">
        <f t="shared" si="27"/>
        <v>1708.8750000000002</v>
      </c>
      <c r="G607" s="540">
        <f t="shared" si="28"/>
        <v>131.45192307692309</v>
      </c>
      <c r="H607" s="541">
        <f t="shared" si="29"/>
        <v>20818.875</v>
      </c>
      <c r="I607" s="446"/>
    </row>
    <row r="608" spans="2:9" ht="26.1" hidden="1" customHeight="1" thickTop="1" thickBot="1" x14ac:dyDescent="0.4">
      <c r="B608" s="366"/>
      <c r="C608" s="452">
        <v>46028</v>
      </c>
      <c r="D608" s="451">
        <v>211</v>
      </c>
      <c r="E608" s="581" t="s">
        <v>905</v>
      </c>
      <c r="F608" s="539">
        <f t="shared" si="27"/>
        <v>1717.0125000000003</v>
      </c>
      <c r="G608" s="540">
        <f t="shared" si="28"/>
        <v>132.07788461538465</v>
      </c>
      <c r="H608" s="541">
        <f t="shared" si="29"/>
        <v>20827.012500000001</v>
      </c>
      <c r="I608" s="446"/>
    </row>
    <row r="609" spans="2:9" ht="26.1" hidden="1" customHeight="1" thickTop="1" thickBot="1" x14ac:dyDescent="0.4">
      <c r="B609" s="366"/>
      <c r="C609" s="452">
        <v>46029</v>
      </c>
      <c r="D609" s="451">
        <v>212</v>
      </c>
      <c r="E609" s="581" t="s">
        <v>906</v>
      </c>
      <c r="F609" s="539">
        <f t="shared" si="27"/>
        <v>1725.1500000000003</v>
      </c>
      <c r="G609" s="540">
        <f t="shared" si="28"/>
        <v>132.70384615384617</v>
      </c>
      <c r="H609" s="541">
        <f t="shared" si="29"/>
        <v>20835.150000000001</v>
      </c>
      <c r="I609" s="446"/>
    </row>
    <row r="610" spans="2:9" ht="26.1" hidden="1" customHeight="1" thickTop="1" thickBot="1" x14ac:dyDescent="0.4">
      <c r="B610" s="366"/>
      <c r="C610" s="452">
        <v>46030</v>
      </c>
      <c r="D610" s="451">
        <v>213</v>
      </c>
      <c r="E610" s="581" t="s">
        <v>907</v>
      </c>
      <c r="F610" s="539">
        <f t="shared" si="27"/>
        <v>1733.2875000000001</v>
      </c>
      <c r="G610" s="540">
        <f t="shared" si="28"/>
        <v>133.3298076923077</v>
      </c>
      <c r="H610" s="541">
        <f t="shared" si="29"/>
        <v>20843.287499999999</v>
      </c>
      <c r="I610" s="446"/>
    </row>
    <row r="611" spans="2:9" ht="26.1" hidden="1" customHeight="1" thickTop="1" thickBot="1" x14ac:dyDescent="0.4">
      <c r="B611" s="366"/>
      <c r="C611" s="452">
        <v>46031</v>
      </c>
      <c r="D611" s="451">
        <v>214</v>
      </c>
      <c r="E611" s="581" t="s">
        <v>908</v>
      </c>
      <c r="F611" s="539">
        <f t="shared" si="27"/>
        <v>1741.4250000000002</v>
      </c>
      <c r="G611" s="540">
        <f t="shared" si="28"/>
        <v>133.95576923076925</v>
      </c>
      <c r="H611" s="541">
        <f t="shared" si="29"/>
        <v>20851.424999999999</v>
      </c>
      <c r="I611" s="446"/>
    </row>
    <row r="612" spans="2:9" ht="26.1" hidden="1" customHeight="1" thickTop="1" thickBot="1" x14ac:dyDescent="0.4">
      <c r="B612" s="366"/>
      <c r="C612" s="452">
        <v>46032</v>
      </c>
      <c r="D612" s="451">
        <v>215</v>
      </c>
      <c r="E612" s="581" t="s">
        <v>909</v>
      </c>
      <c r="F612" s="539">
        <f t="shared" si="27"/>
        <v>1749.5625000000002</v>
      </c>
      <c r="G612" s="540">
        <f t="shared" si="28"/>
        <v>134.58173076923077</v>
      </c>
      <c r="H612" s="541">
        <f t="shared" si="29"/>
        <v>20859.5625</v>
      </c>
      <c r="I612" s="446"/>
    </row>
    <row r="613" spans="2:9" ht="26.1" hidden="1" customHeight="1" thickTop="1" thickBot="1" x14ac:dyDescent="0.4">
      <c r="B613" s="366"/>
      <c r="C613" s="452">
        <v>46033</v>
      </c>
      <c r="D613" s="451">
        <v>216</v>
      </c>
      <c r="E613" s="581" t="s">
        <v>910</v>
      </c>
      <c r="F613" s="539">
        <f t="shared" si="27"/>
        <v>1757.7000000000003</v>
      </c>
      <c r="G613" s="540">
        <f t="shared" si="28"/>
        <v>135.20769230769233</v>
      </c>
      <c r="H613" s="541">
        <f t="shared" si="29"/>
        <v>20867.7</v>
      </c>
      <c r="I613" s="446"/>
    </row>
    <row r="614" spans="2:9" ht="26.1" hidden="1" customHeight="1" thickTop="1" thickBot="1" x14ac:dyDescent="0.4">
      <c r="B614" s="366"/>
      <c r="C614" s="452">
        <v>46034</v>
      </c>
      <c r="D614" s="451">
        <v>217</v>
      </c>
      <c r="E614" s="581" t="s">
        <v>904</v>
      </c>
      <c r="F614" s="539">
        <f t="shared" si="27"/>
        <v>1765.8375000000003</v>
      </c>
      <c r="G614" s="540">
        <f t="shared" si="28"/>
        <v>135.83365384615388</v>
      </c>
      <c r="H614" s="541">
        <f t="shared" si="29"/>
        <v>20875.837500000001</v>
      </c>
      <c r="I614" s="446"/>
    </row>
    <row r="615" spans="2:9" ht="26.1" hidden="1" customHeight="1" thickTop="1" thickBot="1" x14ac:dyDescent="0.4">
      <c r="B615" s="366"/>
      <c r="C615" s="452">
        <v>46035</v>
      </c>
      <c r="D615" s="451">
        <v>218</v>
      </c>
      <c r="E615" s="581" t="s">
        <v>905</v>
      </c>
      <c r="F615" s="539">
        <f t="shared" si="27"/>
        <v>1773.9750000000001</v>
      </c>
      <c r="G615" s="540">
        <f t="shared" si="28"/>
        <v>136.4596153846154</v>
      </c>
      <c r="H615" s="541">
        <f t="shared" si="29"/>
        <v>20883.974999999999</v>
      </c>
      <c r="I615" s="446"/>
    </row>
    <row r="616" spans="2:9" ht="26.1" hidden="1" customHeight="1" thickTop="1" thickBot="1" x14ac:dyDescent="0.4">
      <c r="B616" s="366"/>
      <c r="C616" s="452">
        <v>46036</v>
      </c>
      <c r="D616" s="451">
        <v>219</v>
      </c>
      <c r="E616" s="581" t="s">
        <v>906</v>
      </c>
      <c r="F616" s="539">
        <f t="shared" si="27"/>
        <v>1782.1125000000002</v>
      </c>
      <c r="G616" s="540">
        <f t="shared" si="28"/>
        <v>137.08557692307693</v>
      </c>
      <c r="H616" s="541">
        <f t="shared" si="29"/>
        <v>20892.112499999999</v>
      </c>
      <c r="I616" s="446"/>
    </row>
    <row r="617" spans="2:9" ht="26.1" hidden="1" customHeight="1" thickTop="1" thickBot="1" x14ac:dyDescent="0.4">
      <c r="B617" s="366"/>
      <c r="C617" s="452">
        <v>46037</v>
      </c>
      <c r="D617" s="451">
        <v>220</v>
      </c>
      <c r="E617" s="581" t="s">
        <v>907</v>
      </c>
      <c r="F617" s="539">
        <f t="shared" si="27"/>
        <v>1790.2500000000002</v>
      </c>
      <c r="G617" s="540">
        <f t="shared" si="28"/>
        <v>137.71153846153848</v>
      </c>
      <c r="H617" s="541">
        <f t="shared" si="29"/>
        <v>20900.25</v>
      </c>
      <c r="I617" s="446"/>
    </row>
    <row r="618" spans="2:9" ht="26.1" hidden="1" customHeight="1" thickTop="1" thickBot="1" x14ac:dyDescent="0.4">
      <c r="B618" s="366"/>
      <c r="C618" s="452">
        <v>46038</v>
      </c>
      <c r="D618" s="451">
        <v>221</v>
      </c>
      <c r="E618" s="581" t="s">
        <v>908</v>
      </c>
      <c r="F618" s="539">
        <f t="shared" si="27"/>
        <v>1798.3875000000003</v>
      </c>
      <c r="G618" s="540">
        <f t="shared" si="28"/>
        <v>138.33750000000003</v>
      </c>
      <c r="H618" s="541">
        <f t="shared" si="29"/>
        <v>20908.387500000001</v>
      </c>
      <c r="I618" s="446"/>
    </row>
    <row r="619" spans="2:9" ht="26.1" hidden="1" customHeight="1" thickTop="1" thickBot="1" x14ac:dyDescent="0.4">
      <c r="B619" s="366"/>
      <c r="C619" s="452">
        <v>46039</v>
      </c>
      <c r="D619" s="451">
        <v>222</v>
      </c>
      <c r="E619" s="581" t="s">
        <v>909</v>
      </c>
      <c r="F619" s="539">
        <f t="shared" si="27"/>
        <v>1806.5250000000003</v>
      </c>
      <c r="G619" s="540">
        <f t="shared" si="28"/>
        <v>138.96346153846156</v>
      </c>
      <c r="H619" s="541">
        <f t="shared" si="29"/>
        <v>20916.525000000001</v>
      </c>
      <c r="I619" s="446"/>
    </row>
    <row r="620" spans="2:9" ht="26.1" hidden="1" customHeight="1" thickTop="1" thickBot="1" x14ac:dyDescent="0.4">
      <c r="B620" s="366"/>
      <c r="C620" s="452">
        <v>46040</v>
      </c>
      <c r="D620" s="451">
        <v>223</v>
      </c>
      <c r="E620" s="581" t="s">
        <v>910</v>
      </c>
      <c r="F620" s="539">
        <f t="shared" si="27"/>
        <v>1814.6625000000001</v>
      </c>
      <c r="G620" s="540">
        <f t="shared" si="28"/>
        <v>139.58942307692308</v>
      </c>
      <c r="H620" s="541">
        <f t="shared" si="29"/>
        <v>20924.662499999999</v>
      </c>
      <c r="I620" s="446"/>
    </row>
    <row r="621" spans="2:9" ht="26.1" hidden="1" customHeight="1" thickTop="1" thickBot="1" x14ac:dyDescent="0.4">
      <c r="B621" s="366"/>
      <c r="C621" s="452">
        <v>46041</v>
      </c>
      <c r="D621" s="451">
        <v>224</v>
      </c>
      <c r="E621" s="581" t="s">
        <v>904</v>
      </c>
      <c r="F621" s="539">
        <f t="shared" si="27"/>
        <v>1822.8000000000002</v>
      </c>
      <c r="G621" s="540">
        <f t="shared" si="28"/>
        <v>140.21538461538464</v>
      </c>
      <c r="H621" s="541">
        <f t="shared" si="29"/>
        <v>20932.8</v>
      </c>
      <c r="I621" s="446"/>
    </row>
    <row r="622" spans="2:9" ht="26.1" hidden="1" customHeight="1" thickTop="1" thickBot="1" x14ac:dyDescent="0.4">
      <c r="B622" s="366"/>
      <c r="C622" s="452">
        <v>46042</v>
      </c>
      <c r="D622" s="451">
        <v>225</v>
      </c>
      <c r="E622" s="581" t="s">
        <v>905</v>
      </c>
      <c r="F622" s="539">
        <f t="shared" si="27"/>
        <v>1830.9375000000002</v>
      </c>
      <c r="G622" s="540">
        <f t="shared" si="28"/>
        <v>140.84134615384616</v>
      </c>
      <c r="H622" s="541">
        <f t="shared" si="29"/>
        <v>20940.9375</v>
      </c>
      <c r="I622" s="446"/>
    </row>
    <row r="623" spans="2:9" ht="26.1" hidden="1" customHeight="1" thickTop="1" thickBot="1" x14ac:dyDescent="0.4">
      <c r="B623" s="366"/>
      <c r="C623" s="452">
        <v>46043</v>
      </c>
      <c r="D623" s="451">
        <v>226</v>
      </c>
      <c r="E623" s="581" t="s">
        <v>906</v>
      </c>
      <c r="F623" s="539">
        <f t="shared" si="27"/>
        <v>1839.0750000000003</v>
      </c>
      <c r="G623" s="540">
        <f t="shared" si="28"/>
        <v>141.46730769230771</v>
      </c>
      <c r="H623" s="541">
        <f t="shared" si="29"/>
        <v>20949.075000000001</v>
      </c>
      <c r="I623" s="446"/>
    </row>
    <row r="624" spans="2:9" ht="26.1" hidden="1" customHeight="1" thickTop="1" thickBot="1" x14ac:dyDescent="0.4">
      <c r="B624" s="366"/>
      <c r="C624" s="452">
        <v>46044</v>
      </c>
      <c r="D624" s="451">
        <v>227</v>
      </c>
      <c r="E624" s="581" t="s">
        <v>907</v>
      </c>
      <c r="F624" s="539">
        <f t="shared" si="27"/>
        <v>1847.2125000000003</v>
      </c>
      <c r="G624" s="540">
        <f t="shared" si="28"/>
        <v>142.09326923076927</v>
      </c>
      <c r="H624" s="541">
        <f t="shared" si="29"/>
        <v>20957.212500000001</v>
      </c>
      <c r="I624" s="446"/>
    </row>
    <row r="625" spans="2:9" ht="26.1" hidden="1" customHeight="1" thickTop="1" thickBot="1" x14ac:dyDescent="0.4">
      <c r="B625" s="366"/>
      <c r="C625" s="452">
        <v>46045</v>
      </c>
      <c r="D625" s="451">
        <v>228</v>
      </c>
      <c r="E625" s="581" t="s">
        <v>908</v>
      </c>
      <c r="F625" s="539">
        <f t="shared" si="27"/>
        <v>1855.3500000000001</v>
      </c>
      <c r="G625" s="540">
        <f t="shared" si="28"/>
        <v>142.71923076923079</v>
      </c>
      <c r="H625" s="541">
        <f t="shared" si="29"/>
        <v>20965.349999999999</v>
      </c>
      <c r="I625" s="446"/>
    </row>
    <row r="626" spans="2:9" ht="26.1" hidden="1" customHeight="1" thickTop="1" thickBot="1" x14ac:dyDescent="0.4">
      <c r="B626" s="366"/>
      <c r="C626" s="452">
        <v>46046</v>
      </c>
      <c r="D626" s="451">
        <v>229</v>
      </c>
      <c r="E626" s="581" t="s">
        <v>909</v>
      </c>
      <c r="F626" s="539">
        <f t="shared" si="27"/>
        <v>1863.4875000000002</v>
      </c>
      <c r="G626" s="540">
        <f t="shared" si="28"/>
        <v>143.34519230769232</v>
      </c>
      <c r="H626" s="541">
        <f t="shared" si="29"/>
        <v>20973.487499999999</v>
      </c>
      <c r="I626" s="446"/>
    </row>
    <row r="627" spans="2:9" ht="26.1" hidden="1" customHeight="1" thickTop="1" thickBot="1" x14ac:dyDescent="0.4">
      <c r="B627" s="366"/>
      <c r="C627" s="452">
        <v>46047</v>
      </c>
      <c r="D627" s="451">
        <v>230</v>
      </c>
      <c r="E627" s="581" t="s">
        <v>910</v>
      </c>
      <c r="F627" s="539">
        <f t="shared" si="27"/>
        <v>1871.6250000000002</v>
      </c>
      <c r="G627" s="540">
        <f t="shared" si="28"/>
        <v>143.97115384615387</v>
      </c>
      <c r="H627" s="541">
        <f t="shared" si="29"/>
        <v>20981.625</v>
      </c>
      <c r="I627" s="446"/>
    </row>
    <row r="628" spans="2:9" ht="26.1" hidden="1" customHeight="1" thickTop="1" thickBot="1" x14ac:dyDescent="0.4">
      <c r="B628" s="366"/>
      <c r="C628" s="452">
        <v>46048</v>
      </c>
      <c r="D628" s="451">
        <v>231</v>
      </c>
      <c r="E628" s="581" t="s">
        <v>904</v>
      </c>
      <c r="F628" s="539">
        <f t="shared" si="27"/>
        <v>1879.7625000000003</v>
      </c>
      <c r="G628" s="540">
        <f t="shared" si="28"/>
        <v>144.59711538461539</v>
      </c>
      <c r="H628" s="541">
        <f t="shared" si="29"/>
        <v>20989.762500000001</v>
      </c>
      <c r="I628" s="446"/>
    </row>
    <row r="629" spans="2:9" ht="26.1" hidden="1" customHeight="1" thickTop="1" thickBot="1" x14ac:dyDescent="0.4">
      <c r="B629" s="366"/>
      <c r="C629" s="452">
        <v>46049</v>
      </c>
      <c r="D629" s="451">
        <v>232</v>
      </c>
      <c r="E629" s="581" t="s">
        <v>905</v>
      </c>
      <c r="F629" s="539">
        <f t="shared" si="27"/>
        <v>1887.9000000000003</v>
      </c>
      <c r="G629" s="540">
        <f t="shared" si="28"/>
        <v>145.22307692307695</v>
      </c>
      <c r="H629" s="541">
        <f t="shared" si="29"/>
        <v>20997.9</v>
      </c>
      <c r="I629" s="446"/>
    </row>
    <row r="630" spans="2:9" ht="26.1" hidden="1" customHeight="1" thickTop="1" thickBot="1" x14ac:dyDescent="0.4">
      <c r="B630" s="366"/>
      <c r="C630" s="452">
        <v>46050</v>
      </c>
      <c r="D630" s="451">
        <v>233</v>
      </c>
      <c r="E630" s="581" t="s">
        <v>906</v>
      </c>
      <c r="F630" s="539">
        <f t="shared" si="27"/>
        <v>1896.0375000000001</v>
      </c>
      <c r="G630" s="540">
        <f t="shared" si="28"/>
        <v>145.84903846153847</v>
      </c>
      <c r="H630" s="541">
        <f t="shared" si="29"/>
        <v>21006.037499999999</v>
      </c>
      <c r="I630" s="446"/>
    </row>
    <row r="631" spans="2:9" ht="26.1" hidden="1" customHeight="1" thickTop="1" thickBot="1" x14ac:dyDescent="0.4">
      <c r="B631" s="366"/>
      <c r="C631" s="452">
        <v>46051</v>
      </c>
      <c r="D631" s="451">
        <v>234</v>
      </c>
      <c r="E631" s="581" t="s">
        <v>907</v>
      </c>
      <c r="F631" s="539">
        <f t="shared" si="27"/>
        <v>1904.1750000000002</v>
      </c>
      <c r="G631" s="540">
        <f t="shared" si="28"/>
        <v>146.47500000000002</v>
      </c>
      <c r="H631" s="541">
        <f t="shared" si="29"/>
        <v>21014.174999999999</v>
      </c>
      <c r="I631" s="446"/>
    </row>
    <row r="632" spans="2:9" ht="26.1" hidden="1" customHeight="1" thickTop="1" thickBot="1" x14ac:dyDescent="0.4">
      <c r="B632" s="366"/>
      <c r="C632" s="452">
        <v>46052</v>
      </c>
      <c r="D632" s="451">
        <v>235</v>
      </c>
      <c r="E632" s="581" t="s">
        <v>908</v>
      </c>
      <c r="F632" s="539">
        <f t="shared" si="27"/>
        <v>1912.3125000000002</v>
      </c>
      <c r="G632" s="540">
        <f t="shared" si="28"/>
        <v>147.10096153846155</v>
      </c>
      <c r="H632" s="541">
        <f t="shared" si="29"/>
        <v>21022.3125</v>
      </c>
      <c r="I632" s="446"/>
    </row>
    <row r="633" spans="2:9" ht="26.1" hidden="1" customHeight="1" thickTop="1" thickBot="1" x14ac:dyDescent="0.4">
      <c r="B633" s="366"/>
      <c r="C633" s="452">
        <v>46053</v>
      </c>
      <c r="D633" s="451">
        <v>236</v>
      </c>
      <c r="E633" s="581" t="s">
        <v>909</v>
      </c>
      <c r="F633" s="539">
        <f t="shared" si="27"/>
        <v>1920.4500000000003</v>
      </c>
      <c r="G633" s="540">
        <f t="shared" si="28"/>
        <v>147.7269230769231</v>
      </c>
      <c r="H633" s="541">
        <f t="shared" si="29"/>
        <v>21030.45</v>
      </c>
      <c r="I633" s="446"/>
    </row>
    <row r="634" spans="2:9" ht="26.1" hidden="1" customHeight="1" thickTop="1" thickBot="1" x14ac:dyDescent="0.4">
      <c r="B634" s="366"/>
      <c r="C634" s="452">
        <v>46054</v>
      </c>
      <c r="D634" s="451">
        <v>237</v>
      </c>
      <c r="E634" s="581" t="s">
        <v>910</v>
      </c>
      <c r="F634" s="539">
        <f t="shared" si="27"/>
        <v>1928.5875000000003</v>
      </c>
      <c r="G634" s="540">
        <f t="shared" si="28"/>
        <v>148.35288461538465</v>
      </c>
      <c r="H634" s="541">
        <f t="shared" si="29"/>
        <v>21038.587500000001</v>
      </c>
      <c r="I634" s="446"/>
    </row>
    <row r="635" spans="2:9" ht="26.1" hidden="1" customHeight="1" thickTop="1" thickBot="1" x14ac:dyDescent="0.4">
      <c r="B635" s="366"/>
      <c r="C635" s="452">
        <v>46055</v>
      </c>
      <c r="D635" s="451">
        <v>238</v>
      </c>
      <c r="E635" s="581" t="s">
        <v>904</v>
      </c>
      <c r="F635" s="539">
        <f t="shared" si="27"/>
        <v>1936.7250000000004</v>
      </c>
      <c r="G635" s="540">
        <f t="shared" si="28"/>
        <v>148.97884615384618</v>
      </c>
      <c r="H635" s="541">
        <f t="shared" si="29"/>
        <v>21046.724999999999</v>
      </c>
      <c r="I635" s="446"/>
    </row>
    <row r="636" spans="2:9" ht="26.1" hidden="1" customHeight="1" thickTop="1" thickBot="1" x14ac:dyDescent="0.4">
      <c r="B636" s="366"/>
      <c r="C636" s="452">
        <v>46056</v>
      </c>
      <c r="D636" s="451">
        <v>239</v>
      </c>
      <c r="E636" s="581" t="s">
        <v>905</v>
      </c>
      <c r="F636" s="539">
        <f t="shared" si="27"/>
        <v>1944.8625000000002</v>
      </c>
      <c r="G636" s="540">
        <f t="shared" si="28"/>
        <v>149.6048076923077</v>
      </c>
      <c r="H636" s="541">
        <f t="shared" si="29"/>
        <v>21054.862499999999</v>
      </c>
      <c r="I636" s="446"/>
    </row>
    <row r="637" spans="2:9" ht="26.1" hidden="1" customHeight="1" thickTop="1" thickBot="1" x14ac:dyDescent="0.4">
      <c r="B637" s="366"/>
      <c r="C637" s="452">
        <v>46057</v>
      </c>
      <c r="D637" s="451">
        <v>240</v>
      </c>
      <c r="E637" s="581" t="s">
        <v>906</v>
      </c>
      <c r="F637" s="539">
        <f t="shared" si="27"/>
        <v>1953.0000000000002</v>
      </c>
      <c r="G637" s="540">
        <f t="shared" si="28"/>
        <v>150.23076923076925</v>
      </c>
      <c r="H637" s="541">
        <f t="shared" si="29"/>
        <v>21063</v>
      </c>
      <c r="I637" s="446"/>
    </row>
    <row r="638" spans="2:9" ht="26.1" hidden="1" customHeight="1" thickTop="1" thickBot="1" x14ac:dyDescent="0.4">
      <c r="B638" s="366"/>
      <c r="C638" s="452">
        <v>46058</v>
      </c>
      <c r="D638" s="451">
        <v>241</v>
      </c>
      <c r="E638" s="581" t="s">
        <v>907</v>
      </c>
      <c r="F638" s="539">
        <f t="shared" si="27"/>
        <v>1961.1375000000003</v>
      </c>
      <c r="G638" s="540">
        <f t="shared" si="28"/>
        <v>150.85673076923078</v>
      </c>
      <c r="H638" s="541">
        <f t="shared" si="29"/>
        <v>21071.137500000001</v>
      </c>
      <c r="I638" s="446"/>
    </row>
    <row r="639" spans="2:9" ht="26.1" hidden="1" customHeight="1" thickTop="1" thickBot="1" x14ac:dyDescent="0.4">
      <c r="B639" s="366"/>
      <c r="C639" s="452">
        <v>46059</v>
      </c>
      <c r="D639" s="451">
        <v>242</v>
      </c>
      <c r="E639" s="581" t="s">
        <v>908</v>
      </c>
      <c r="F639" s="539">
        <f t="shared" si="27"/>
        <v>1969.2750000000003</v>
      </c>
      <c r="G639" s="540">
        <f t="shared" si="28"/>
        <v>151.48269230769233</v>
      </c>
      <c r="H639" s="541">
        <f t="shared" si="29"/>
        <v>21079.275000000001</v>
      </c>
      <c r="I639" s="446"/>
    </row>
    <row r="640" spans="2:9" ht="26.1" hidden="1" customHeight="1" thickTop="1" thickBot="1" x14ac:dyDescent="0.4">
      <c r="B640" s="366"/>
      <c r="C640" s="452">
        <v>46060</v>
      </c>
      <c r="D640" s="451">
        <v>243</v>
      </c>
      <c r="E640" s="581" t="s">
        <v>909</v>
      </c>
      <c r="F640" s="539">
        <f t="shared" si="27"/>
        <v>1977.4125000000004</v>
      </c>
      <c r="G640" s="540">
        <f t="shared" si="28"/>
        <v>152.10865384615389</v>
      </c>
      <c r="H640" s="541">
        <f t="shared" si="29"/>
        <v>21087.412499999999</v>
      </c>
      <c r="I640" s="446"/>
    </row>
    <row r="641" spans="2:9" ht="26.1" hidden="1" customHeight="1" thickTop="1" thickBot="1" x14ac:dyDescent="0.4">
      <c r="B641" s="366"/>
      <c r="C641" s="452">
        <v>46061</v>
      </c>
      <c r="D641" s="451">
        <v>244</v>
      </c>
      <c r="E641" s="581" t="s">
        <v>910</v>
      </c>
      <c r="F641" s="539">
        <f t="shared" si="27"/>
        <v>1985.5500000000002</v>
      </c>
      <c r="G641" s="540">
        <f t="shared" si="28"/>
        <v>152.73461538461541</v>
      </c>
      <c r="H641" s="541">
        <f t="shared" si="29"/>
        <v>21095.55</v>
      </c>
      <c r="I641" s="446"/>
    </row>
    <row r="642" spans="2:9" ht="26.1" hidden="1" customHeight="1" thickTop="1" thickBot="1" x14ac:dyDescent="0.4">
      <c r="B642" s="366"/>
      <c r="C642" s="452">
        <v>46062</v>
      </c>
      <c r="D642" s="451">
        <v>245</v>
      </c>
      <c r="E642" s="581" t="s">
        <v>904</v>
      </c>
      <c r="F642" s="539">
        <f t="shared" si="27"/>
        <v>1993.6875000000002</v>
      </c>
      <c r="G642" s="540">
        <f t="shared" si="28"/>
        <v>153.36057692307693</v>
      </c>
      <c r="H642" s="541">
        <f t="shared" si="29"/>
        <v>21103.6875</v>
      </c>
      <c r="I642" s="446"/>
    </row>
    <row r="643" spans="2:9" ht="26.1" hidden="1" customHeight="1" thickTop="1" thickBot="1" x14ac:dyDescent="0.4">
      <c r="B643" s="366"/>
      <c r="C643" s="452">
        <v>46063</v>
      </c>
      <c r="D643" s="451">
        <v>246</v>
      </c>
      <c r="E643" s="581" t="s">
        <v>905</v>
      </c>
      <c r="F643" s="539">
        <f t="shared" si="27"/>
        <v>2001.8250000000003</v>
      </c>
      <c r="G643" s="540">
        <f t="shared" si="28"/>
        <v>153.98653846153849</v>
      </c>
      <c r="H643" s="541">
        <f t="shared" si="29"/>
        <v>21111.825000000001</v>
      </c>
      <c r="I643" s="446"/>
    </row>
    <row r="644" spans="2:9" ht="26.1" hidden="1" customHeight="1" thickTop="1" thickBot="1" x14ac:dyDescent="0.4">
      <c r="B644" s="366"/>
      <c r="C644" s="452">
        <v>46064</v>
      </c>
      <c r="D644" s="451">
        <v>247</v>
      </c>
      <c r="E644" s="581" t="s">
        <v>906</v>
      </c>
      <c r="F644" s="539">
        <f t="shared" si="27"/>
        <v>2009.9625000000003</v>
      </c>
      <c r="G644" s="540">
        <f t="shared" si="28"/>
        <v>154.61250000000001</v>
      </c>
      <c r="H644" s="541">
        <f t="shared" si="29"/>
        <v>21119.962500000001</v>
      </c>
      <c r="I644" s="446"/>
    </row>
    <row r="645" spans="2:9" ht="26.1" hidden="1" customHeight="1" thickTop="1" thickBot="1" x14ac:dyDescent="0.4">
      <c r="B645" s="366"/>
      <c r="C645" s="452">
        <v>46065</v>
      </c>
      <c r="D645" s="451">
        <v>248</v>
      </c>
      <c r="E645" s="581" t="s">
        <v>907</v>
      </c>
      <c r="F645" s="539">
        <f t="shared" si="27"/>
        <v>2018.1000000000004</v>
      </c>
      <c r="G645" s="540">
        <f t="shared" si="28"/>
        <v>155.23846153846156</v>
      </c>
      <c r="H645" s="541">
        <f t="shared" si="29"/>
        <v>21128.1</v>
      </c>
      <c r="I645" s="446"/>
    </row>
    <row r="646" spans="2:9" ht="26.1" hidden="1" customHeight="1" thickTop="1" thickBot="1" x14ac:dyDescent="0.4">
      <c r="B646" s="366"/>
      <c r="C646" s="452">
        <v>46066</v>
      </c>
      <c r="D646" s="451">
        <v>249</v>
      </c>
      <c r="E646" s="581" t="s">
        <v>908</v>
      </c>
      <c r="F646" s="539">
        <f t="shared" si="27"/>
        <v>2026.2375000000002</v>
      </c>
      <c r="G646" s="540">
        <f t="shared" si="28"/>
        <v>155.86442307692309</v>
      </c>
      <c r="H646" s="541">
        <f t="shared" si="29"/>
        <v>21136.237499999999</v>
      </c>
      <c r="I646" s="446"/>
    </row>
    <row r="647" spans="2:9" ht="26.1" hidden="1" customHeight="1" thickTop="1" thickBot="1" x14ac:dyDescent="0.4">
      <c r="B647" s="366"/>
      <c r="C647" s="452">
        <v>46067</v>
      </c>
      <c r="D647" s="451">
        <v>250</v>
      </c>
      <c r="E647" s="581" t="s">
        <v>909</v>
      </c>
      <c r="F647" s="539">
        <f t="shared" si="27"/>
        <v>2034.3750000000002</v>
      </c>
      <c r="G647" s="540">
        <f t="shared" si="28"/>
        <v>156.49038461538464</v>
      </c>
      <c r="H647" s="541">
        <f t="shared" si="29"/>
        <v>21144.375</v>
      </c>
      <c r="I647" s="446"/>
    </row>
    <row r="648" spans="2:9" ht="26.1" hidden="1" customHeight="1" thickTop="1" thickBot="1" x14ac:dyDescent="0.4">
      <c r="B648" s="366"/>
      <c r="C648" s="452">
        <v>46068</v>
      </c>
      <c r="D648" s="451">
        <v>251</v>
      </c>
      <c r="E648" s="581" t="s">
        <v>910</v>
      </c>
      <c r="F648" s="539">
        <f t="shared" si="27"/>
        <v>2042.5125000000003</v>
      </c>
      <c r="G648" s="540">
        <f t="shared" si="28"/>
        <v>157.11634615384617</v>
      </c>
      <c r="H648" s="541">
        <f t="shared" si="29"/>
        <v>21152.512500000001</v>
      </c>
      <c r="I648" s="446"/>
    </row>
    <row r="649" spans="2:9" ht="26.1" hidden="1" customHeight="1" thickTop="1" thickBot="1" x14ac:dyDescent="0.4">
      <c r="B649" s="366"/>
      <c r="C649" s="452">
        <v>46069</v>
      </c>
      <c r="D649" s="451">
        <v>252</v>
      </c>
      <c r="E649" s="581" t="s">
        <v>904</v>
      </c>
      <c r="F649" s="539">
        <f t="shared" si="27"/>
        <v>2050.65</v>
      </c>
      <c r="G649" s="540">
        <f t="shared" si="28"/>
        <v>157.74230769230769</v>
      </c>
      <c r="H649" s="541">
        <f t="shared" si="29"/>
        <v>21160.65</v>
      </c>
      <c r="I649" s="446"/>
    </row>
    <row r="650" spans="2:9" ht="26.1" hidden="1" customHeight="1" thickTop="1" thickBot="1" x14ac:dyDescent="0.4">
      <c r="B650" s="366"/>
      <c r="C650" s="452">
        <v>46070</v>
      </c>
      <c r="D650" s="451">
        <v>253</v>
      </c>
      <c r="E650" s="581" t="s">
        <v>905</v>
      </c>
      <c r="F650" s="539">
        <f t="shared" si="27"/>
        <v>2058.7875000000004</v>
      </c>
      <c r="G650" s="540">
        <f t="shared" si="28"/>
        <v>158.36826923076927</v>
      </c>
      <c r="H650" s="541">
        <f t="shared" si="29"/>
        <v>21168.787499999999</v>
      </c>
      <c r="I650" s="446"/>
    </row>
    <row r="651" spans="2:9" ht="26.1" hidden="1" customHeight="1" thickTop="1" thickBot="1" x14ac:dyDescent="0.4">
      <c r="B651" s="366"/>
      <c r="C651" s="452">
        <v>46071</v>
      </c>
      <c r="D651" s="451">
        <v>254</v>
      </c>
      <c r="E651" s="581" t="s">
        <v>906</v>
      </c>
      <c r="F651" s="539">
        <f t="shared" si="27"/>
        <v>2066.9250000000002</v>
      </c>
      <c r="G651" s="540">
        <f t="shared" si="28"/>
        <v>158.9942307692308</v>
      </c>
      <c r="H651" s="541">
        <f t="shared" si="29"/>
        <v>21176.924999999999</v>
      </c>
      <c r="I651" s="446"/>
    </row>
    <row r="652" spans="2:9" ht="26.1" hidden="1" customHeight="1" thickTop="1" thickBot="1" x14ac:dyDescent="0.4">
      <c r="B652" s="366"/>
      <c r="C652" s="452">
        <v>46072</v>
      </c>
      <c r="D652" s="451">
        <v>255</v>
      </c>
      <c r="E652" s="581" t="s">
        <v>907</v>
      </c>
      <c r="F652" s="539">
        <f t="shared" si="27"/>
        <v>2075.0625000000005</v>
      </c>
      <c r="G652" s="540">
        <f t="shared" si="28"/>
        <v>159.62019230769235</v>
      </c>
      <c r="H652" s="541">
        <f t="shared" si="29"/>
        <v>21185.0625</v>
      </c>
      <c r="I652" s="446"/>
    </row>
    <row r="653" spans="2:9" ht="26.1" hidden="1" customHeight="1" thickTop="1" thickBot="1" x14ac:dyDescent="0.4">
      <c r="B653" s="366"/>
      <c r="C653" s="452">
        <v>46073</v>
      </c>
      <c r="D653" s="451">
        <v>256</v>
      </c>
      <c r="E653" s="581" t="s">
        <v>908</v>
      </c>
      <c r="F653" s="539">
        <f t="shared" si="27"/>
        <v>2083.2000000000003</v>
      </c>
      <c r="G653" s="540">
        <f t="shared" si="28"/>
        <v>160.24615384615387</v>
      </c>
      <c r="H653" s="541">
        <f t="shared" si="29"/>
        <v>21193.200000000001</v>
      </c>
      <c r="I653" s="446"/>
    </row>
    <row r="654" spans="2:9" ht="26.1" hidden="1" customHeight="1" thickTop="1" thickBot="1" x14ac:dyDescent="0.4">
      <c r="B654" s="366"/>
      <c r="C654" s="452">
        <v>46074</v>
      </c>
      <c r="D654" s="451">
        <v>257</v>
      </c>
      <c r="E654" s="581" t="s">
        <v>909</v>
      </c>
      <c r="F654" s="539">
        <f t="shared" si="27"/>
        <v>2091.3375000000001</v>
      </c>
      <c r="G654" s="540">
        <f t="shared" si="28"/>
        <v>160.8721153846154</v>
      </c>
      <c r="H654" s="541">
        <f t="shared" si="29"/>
        <v>21201.337500000001</v>
      </c>
      <c r="I654" s="446"/>
    </row>
    <row r="655" spans="2:9" ht="26.1" hidden="1" customHeight="1" thickTop="1" thickBot="1" x14ac:dyDescent="0.4">
      <c r="B655" s="366"/>
      <c r="C655" s="452">
        <v>46075</v>
      </c>
      <c r="D655" s="451">
        <v>258</v>
      </c>
      <c r="E655" s="581" t="s">
        <v>910</v>
      </c>
      <c r="F655" s="539">
        <f t="shared" ref="F655:F718" si="30">$E$390/$F$392*D655</f>
        <v>2099.4750000000004</v>
      </c>
      <c r="G655" s="540">
        <f t="shared" ref="G655:G718" si="31">F655/$C$394</f>
        <v>161.49807692307695</v>
      </c>
      <c r="H655" s="541">
        <f t="shared" ref="H655:H718" si="32">$C$390+F655</f>
        <v>21209.474999999999</v>
      </c>
      <c r="I655" s="446"/>
    </row>
    <row r="656" spans="2:9" ht="26.1" hidden="1" customHeight="1" thickTop="1" thickBot="1" x14ac:dyDescent="0.4">
      <c r="B656" s="366"/>
      <c r="C656" s="452">
        <v>46076</v>
      </c>
      <c r="D656" s="451">
        <v>259</v>
      </c>
      <c r="E656" s="581" t="s">
        <v>904</v>
      </c>
      <c r="F656" s="539">
        <f t="shared" si="30"/>
        <v>2107.6125000000002</v>
      </c>
      <c r="G656" s="540">
        <f t="shared" si="31"/>
        <v>162.12403846153848</v>
      </c>
      <c r="H656" s="541">
        <f t="shared" si="32"/>
        <v>21217.612499999999</v>
      </c>
      <c r="I656" s="446"/>
    </row>
    <row r="657" spans="2:9" ht="26.1" hidden="1" customHeight="1" thickTop="1" thickBot="1" x14ac:dyDescent="0.4">
      <c r="B657" s="366"/>
      <c r="C657" s="452">
        <v>46077</v>
      </c>
      <c r="D657" s="451">
        <v>260</v>
      </c>
      <c r="E657" s="581" t="s">
        <v>905</v>
      </c>
      <c r="F657" s="539">
        <f t="shared" si="30"/>
        <v>2115.7500000000005</v>
      </c>
      <c r="G657" s="540">
        <f t="shared" si="31"/>
        <v>162.75000000000003</v>
      </c>
      <c r="H657" s="541">
        <f t="shared" si="32"/>
        <v>21225.75</v>
      </c>
      <c r="I657" s="446"/>
    </row>
    <row r="658" spans="2:9" ht="26.1" hidden="1" customHeight="1" thickTop="1" thickBot="1" x14ac:dyDescent="0.4">
      <c r="B658" s="366"/>
      <c r="C658" s="452">
        <v>46078</v>
      </c>
      <c r="D658" s="451">
        <v>261</v>
      </c>
      <c r="E658" s="581" t="s">
        <v>906</v>
      </c>
      <c r="F658" s="539">
        <f t="shared" si="30"/>
        <v>2123.8875000000003</v>
      </c>
      <c r="G658" s="540">
        <f t="shared" si="31"/>
        <v>163.37596153846155</v>
      </c>
      <c r="H658" s="541">
        <f t="shared" si="32"/>
        <v>21233.887500000001</v>
      </c>
      <c r="I658" s="446"/>
    </row>
    <row r="659" spans="2:9" ht="26.1" hidden="1" customHeight="1" thickTop="1" thickBot="1" x14ac:dyDescent="0.4">
      <c r="B659" s="366"/>
      <c r="C659" s="452">
        <v>46079</v>
      </c>
      <c r="D659" s="451">
        <v>262</v>
      </c>
      <c r="E659" s="581" t="s">
        <v>907</v>
      </c>
      <c r="F659" s="539">
        <f t="shared" si="30"/>
        <v>2132.0250000000001</v>
      </c>
      <c r="G659" s="540">
        <f t="shared" si="31"/>
        <v>164.00192307692308</v>
      </c>
      <c r="H659" s="541">
        <f t="shared" si="32"/>
        <v>21242.025000000001</v>
      </c>
      <c r="I659" s="446"/>
    </row>
    <row r="660" spans="2:9" ht="26.1" hidden="1" customHeight="1" thickTop="1" thickBot="1" x14ac:dyDescent="0.4">
      <c r="B660" s="366"/>
      <c r="C660" s="452">
        <v>46080</v>
      </c>
      <c r="D660" s="451">
        <v>263</v>
      </c>
      <c r="E660" s="581" t="s">
        <v>908</v>
      </c>
      <c r="F660" s="539">
        <f t="shared" si="30"/>
        <v>2140.1625000000004</v>
      </c>
      <c r="G660" s="540">
        <f t="shared" si="31"/>
        <v>164.62788461538463</v>
      </c>
      <c r="H660" s="541">
        <f t="shared" si="32"/>
        <v>21250.162499999999</v>
      </c>
      <c r="I660" s="446"/>
    </row>
    <row r="661" spans="2:9" ht="26.1" hidden="1" customHeight="1" thickTop="1" thickBot="1" x14ac:dyDescent="0.4">
      <c r="B661" s="366"/>
      <c r="C661" s="452">
        <v>46081</v>
      </c>
      <c r="D661" s="451">
        <v>264</v>
      </c>
      <c r="E661" s="581" t="s">
        <v>909</v>
      </c>
      <c r="F661" s="539">
        <f t="shared" si="30"/>
        <v>2148.3000000000002</v>
      </c>
      <c r="G661" s="540">
        <f t="shared" si="31"/>
        <v>165.25384615384615</v>
      </c>
      <c r="H661" s="541">
        <f t="shared" si="32"/>
        <v>21258.3</v>
      </c>
      <c r="I661" s="446"/>
    </row>
    <row r="662" spans="2:9" ht="26.1" hidden="1" customHeight="1" thickTop="1" thickBot="1" x14ac:dyDescent="0.4">
      <c r="B662" s="366"/>
      <c r="C662" s="452">
        <v>46082</v>
      </c>
      <c r="D662" s="451">
        <v>265</v>
      </c>
      <c r="E662" s="581" t="s">
        <v>910</v>
      </c>
      <c r="F662" s="539">
        <f t="shared" si="30"/>
        <v>2156.4375000000005</v>
      </c>
      <c r="G662" s="540">
        <f t="shared" si="31"/>
        <v>165.87980769230774</v>
      </c>
      <c r="H662" s="541">
        <f t="shared" si="32"/>
        <v>21266.4375</v>
      </c>
      <c r="I662" s="446"/>
    </row>
    <row r="663" spans="2:9" ht="26.1" hidden="1" customHeight="1" thickTop="1" thickBot="1" x14ac:dyDescent="0.4">
      <c r="B663" s="366"/>
      <c r="C663" s="452">
        <v>46083</v>
      </c>
      <c r="D663" s="451">
        <v>266</v>
      </c>
      <c r="E663" s="581" t="s">
        <v>904</v>
      </c>
      <c r="F663" s="539">
        <f t="shared" si="30"/>
        <v>2164.5750000000003</v>
      </c>
      <c r="G663" s="540">
        <f t="shared" si="31"/>
        <v>166.50576923076926</v>
      </c>
      <c r="H663" s="541">
        <f t="shared" si="32"/>
        <v>21274.575000000001</v>
      </c>
      <c r="I663" s="446"/>
    </row>
    <row r="664" spans="2:9" ht="26.1" hidden="1" customHeight="1" thickTop="1" thickBot="1" x14ac:dyDescent="0.4">
      <c r="B664" s="366"/>
      <c r="C664" s="452">
        <v>46084</v>
      </c>
      <c r="D664" s="451">
        <v>267</v>
      </c>
      <c r="E664" s="581" t="s">
        <v>905</v>
      </c>
      <c r="F664" s="539">
        <f t="shared" si="30"/>
        <v>2172.7125000000001</v>
      </c>
      <c r="G664" s="540">
        <f t="shared" si="31"/>
        <v>167.13173076923078</v>
      </c>
      <c r="H664" s="541">
        <f t="shared" si="32"/>
        <v>21282.712500000001</v>
      </c>
      <c r="I664" s="446"/>
    </row>
    <row r="665" spans="2:9" ht="26.1" hidden="1" customHeight="1" thickTop="1" thickBot="1" x14ac:dyDescent="0.4">
      <c r="B665" s="366"/>
      <c r="C665" s="452">
        <v>46085</v>
      </c>
      <c r="D665" s="451">
        <v>268</v>
      </c>
      <c r="E665" s="581" t="s">
        <v>906</v>
      </c>
      <c r="F665" s="539">
        <f t="shared" si="30"/>
        <v>2180.8500000000004</v>
      </c>
      <c r="G665" s="540">
        <f t="shared" si="31"/>
        <v>167.75769230769234</v>
      </c>
      <c r="H665" s="541">
        <f t="shared" si="32"/>
        <v>21290.85</v>
      </c>
      <c r="I665" s="446"/>
    </row>
    <row r="666" spans="2:9" ht="26.1" hidden="1" customHeight="1" thickTop="1" thickBot="1" x14ac:dyDescent="0.4">
      <c r="B666" s="366"/>
      <c r="C666" s="452">
        <v>46086</v>
      </c>
      <c r="D666" s="451">
        <v>269</v>
      </c>
      <c r="E666" s="581" t="s">
        <v>907</v>
      </c>
      <c r="F666" s="539">
        <f t="shared" si="30"/>
        <v>2188.9875000000002</v>
      </c>
      <c r="G666" s="540">
        <f t="shared" si="31"/>
        <v>168.38365384615386</v>
      </c>
      <c r="H666" s="541">
        <f t="shared" si="32"/>
        <v>21298.987499999999</v>
      </c>
      <c r="I666" s="446"/>
    </row>
    <row r="667" spans="2:9" ht="26.1" hidden="1" customHeight="1" thickTop="1" thickBot="1" x14ac:dyDescent="0.4">
      <c r="B667" s="366"/>
      <c r="C667" s="452">
        <v>46087</v>
      </c>
      <c r="D667" s="451">
        <v>270</v>
      </c>
      <c r="E667" s="581" t="s">
        <v>908</v>
      </c>
      <c r="F667" s="539">
        <f t="shared" si="30"/>
        <v>2197.1250000000005</v>
      </c>
      <c r="G667" s="540">
        <f t="shared" si="31"/>
        <v>169.00961538461542</v>
      </c>
      <c r="H667" s="541">
        <f t="shared" si="32"/>
        <v>21307.125</v>
      </c>
      <c r="I667" s="446"/>
    </row>
    <row r="668" spans="2:9" ht="26.1" hidden="1" customHeight="1" thickTop="1" thickBot="1" x14ac:dyDescent="0.4">
      <c r="B668" s="366"/>
      <c r="C668" s="452">
        <v>46088</v>
      </c>
      <c r="D668" s="451">
        <v>271</v>
      </c>
      <c r="E668" s="581" t="s">
        <v>909</v>
      </c>
      <c r="F668" s="539">
        <f t="shared" si="30"/>
        <v>2205.2625000000003</v>
      </c>
      <c r="G668" s="540">
        <f t="shared" si="31"/>
        <v>169.63557692307694</v>
      </c>
      <c r="H668" s="541">
        <f t="shared" si="32"/>
        <v>21315.262500000001</v>
      </c>
      <c r="I668" s="446"/>
    </row>
    <row r="669" spans="2:9" ht="26.1" hidden="1" customHeight="1" thickTop="1" thickBot="1" x14ac:dyDescent="0.4">
      <c r="B669" s="366"/>
      <c r="C669" s="452">
        <v>46089</v>
      </c>
      <c r="D669" s="451">
        <v>272</v>
      </c>
      <c r="E669" s="581" t="s">
        <v>910</v>
      </c>
      <c r="F669" s="539">
        <f t="shared" si="30"/>
        <v>2213.4</v>
      </c>
      <c r="G669" s="540">
        <f t="shared" si="31"/>
        <v>170.26153846153846</v>
      </c>
      <c r="H669" s="541">
        <f t="shared" si="32"/>
        <v>21323.4</v>
      </c>
      <c r="I669" s="446"/>
    </row>
    <row r="670" spans="2:9" ht="26.1" hidden="1" customHeight="1" thickTop="1" thickBot="1" x14ac:dyDescent="0.4">
      <c r="B670" s="366"/>
      <c r="C670" s="452">
        <v>46090</v>
      </c>
      <c r="D670" s="451">
        <v>273</v>
      </c>
      <c r="E670" s="581" t="s">
        <v>904</v>
      </c>
      <c r="F670" s="539">
        <f t="shared" si="30"/>
        <v>2221.5375000000004</v>
      </c>
      <c r="G670" s="540">
        <f t="shared" si="31"/>
        <v>170.88750000000002</v>
      </c>
      <c r="H670" s="541">
        <f t="shared" si="32"/>
        <v>21331.537499999999</v>
      </c>
      <c r="I670" s="446"/>
    </row>
    <row r="671" spans="2:9" ht="26.1" hidden="1" customHeight="1" thickTop="1" thickBot="1" x14ac:dyDescent="0.4">
      <c r="B671" s="366"/>
      <c r="C671" s="452">
        <v>46091</v>
      </c>
      <c r="D671" s="451">
        <v>274</v>
      </c>
      <c r="E671" s="581" t="s">
        <v>905</v>
      </c>
      <c r="F671" s="539">
        <f t="shared" si="30"/>
        <v>2229.6750000000002</v>
      </c>
      <c r="G671" s="540">
        <f t="shared" si="31"/>
        <v>171.51346153846154</v>
      </c>
      <c r="H671" s="541">
        <f t="shared" si="32"/>
        <v>21339.674999999999</v>
      </c>
      <c r="I671" s="446"/>
    </row>
    <row r="672" spans="2:9" ht="26.1" hidden="1" customHeight="1" thickTop="1" thickBot="1" x14ac:dyDescent="0.4">
      <c r="B672" s="366"/>
      <c r="C672" s="452">
        <v>46092</v>
      </c>
      <c r="D672" s="451">
        <v>275</v>
      </c>
      <c r="E672" s="581" t="s">
        <v>906</v>
      </c>
      <c r="F672" s="539">
        <f t="shared" si="30"/>
        <v>2237.8125000000005</v>
      </c>
      <c r="G672" s="540">
        <f t="shared" si="31"/>
        <v>172.13942307692312</v>
      </c>
      <c r="H672" s="541">
        <f t="shared" si="32"/>
        <v>21347.8125</v>
      </c>
      <c r="I672" s="446"/>
    </row>
    <row r="673" spans="2:9" ht="26.1" hidden="1" customHeight="1" thickTop="1" thickBot="1" x14ac:dyDescent="0.4">
      <c r="B673" s="366"/>
      <c r="C673" s="452">
        <v>46093</v>
      </c>
      <c r="D673" s="451">
        <v>276</v>
      </c>
      <c r="E673" s="581" t="s">
        <v>907</v>
      </c>
      <c r="F673" s="539">
        <f t="shared" si="30"/>
        <v>2245.9500000000003</v>
      </c>
      <c r="G673" s="540">
        <f t="shared" si="31"/>
        <v>172.76538461538465</v>
      </c>
      <c r="H673" s="541">
        <f t="shared" si="32"/>
        <v>21355.95</v>
      </c>
      <c r="I673" s="446"/>
    </row>
    <row r="674" spans="2:9" ht="26.1" hidden="1" customHeight="1" thickTop="1" thickBot="1" x14ac:dyDescent="0.4">
      <c r="B674" s="366"/>
      <c r="C674" s="452">
        <v>46094</v>
      </c>
      <c r="D674" s="451">
        <v>277</v>
      </c>
      <c r="E674" s="581" t="s">
        <v>908</v>
      </c>
      <c r="F674" s="539">
        <f t="shared" si="30"/>
        <v>2254.0875000000001</v>
      </c>
      <c r="G674" s="540">
        <f t="shared" si="31"/>
        <v>173.39134615384617</v>
      </c>
      <c r="H674" s="541">
        <f t="shared" si="32"/>
        <v>21364.087500000001</v>
      </c>
      <c r="I674" s="446"/>
    </row>
    <row r="675" spans="2:9" ht="26.1" hidden="1" customHeight="1" thickTop="1" thickBot="1" x14ac:dyDescent="0.4">
      <c r="B675" s="366"/>
      <c r="C675" s="452">
        <v>46095</v>
      </c>
      <c r="D675" s="451">
        <v>278</v>
      </c>
      <c r="E675" s="581" t="s">
        <v>909</v>
      </c>
      <c r="F675" s="539">
        <f t="shared" si="30"/>
        <v>2262.2250000000004</v>
      </c>
      <c r="G675" s="540">
        <f t="shared" si="31"/>
        <v>174.01730769230772</v>
      </c>
      <c r="H675" s="541">
        <f t="shared" si="32"/>
        <v>21372.224999999999</v>
      </c>
      <c r="I675" s="446"/>
    </row>
    <row r="676" spans="2:9" ht="26.1" hidden="1" customHeight="1" thickTop="1" thickBot="1" x14ac:dyDescent="0.4">
      <c r="B676" s="366"/>
      <c r="C676" s="452">
        <v>46096</v>
      </c>
      <c r="D676" s="451">
        <v>279</v>
      </c>
      <c r="E676" s="581" t="s">
        <v>910</v>
      </c>
      <c r="F676" s="539">
        <f t="shared" si="30"/>
        <v>2270.3625000000002</v>
      </c>
      <c r="G676" s="540">
        <f t="shared" si="31"/>
        <v>174.64326923076925</v>
      </c>
      <c r="H676" s="541">
        <f t="shared" si="32"/>
        <v>21380.362499999999</v>
      </c>
      <c r="I676" s="446"/>
    </row>
    <row r="677" spans="2:9" ht="26.1" hidden="1" customHeight="1" thickTop="1" thickBot="1" x14ac:dyDescent="0.4">
      <c r="B677" s="366"/>
      <c r="C677" s="452">
        <v>46097</v>
      </c>
      <c r="D677" s="451">
        <v>280</v>
      </c>
      <c r="E677" s="581" t="s">
        <v>904</v>
      </c>
      <c r="F677" s="539">
        <f t="shared" si="30"/>
        <v>2278.5000000000005</v>
      </c>
      <c r="G677" s="540">
        <f t="shared" si="31"/>
        <v>175.2692307692308</v>
      </c>
      <c r="H677" s="541">
        <f t="shared" si="32"/>
        <v>21388.5</v>
      </c>
      <c r="I677" s="446"/>
    </row>
    <row r="678" spans="2:9" ht="26.1" hidden="1" customHeight="1" thickTop="1" thickBot="1" x14ac:dyDescent="0.4">
      <c r="B678" s="366"/>
      <c r="C678" s="452">
        <v>46098</v>
      </c>
      <c r="D678" s="451">
        <v>281</v>
      </c>
      <c r="E678" s="581" t="s">
        <v>905</v>
      </c>
      <c r="F678" s="539">
        <f t="shared" si="30"/>
        <v>2286.6375000000003</v>
      </c>
      <c r="G678" s="540">
        <f t="shared" si="31"/>
        <v>175.89519230769233</v>
      </c>
      <c r="H678" s="541">
        <f t="shared" si="32"/>
        <v>21396.637500000001</v>
      </c>
      <c r="I678" s="446"/>
    </row>
    <row r="679" spans="2:9" ht="26.1" hidden="1" customHeight="1" thickTop="1" thickBot="1" x14ac:dyDescent="0.4">
      <c r="B679" s="366"/>
      <c r="C679" s="452">
        <v>46099</v>
      </c>
      <c r="D679" s="451">
        <v>282</v>
      </c>
      <c r="E679" s="581" t="s">
        <v>906</v>
      </c>
      <c r="F679" s="539">
        <f t="shared" si="30"/>
        <v>2294.7750000000001</v>
      </c>
      <c r="G679" s="540">
        <f t="shared" si="31"/>
        <v>176.52115384615385</v>
      </c>
      <c r="H679" s="541">
        <f t="shared" si="32"/>
        <v>21404.775000000001</v>
      </c>
      <c r="I679" s="446"/>
    </row>
    <row r="680" spans="2:9" ht="26.1" hidden="1" customHeight="1" thickTop="1" thickBot="1" x14ac:dyDescent="0.4">
      <c r="B680" s="366"/>
      <c r="C680" s="452">
        <v>46100</v>
      </c>
      <c r="D680" s="451">
        <v>283</v>
      </c>
      <c r="E680" s="581" t="s">
        <v>907</v>
      </c>
      <c r="F680" s="539">
        <f t="shared" si="30"/>
        <v>2302.9125000000004</v>
      </c>
      <c r="G680" s="540">
        <f t="shared" si="31"/>
        <v>177.1471153846154</v>
      </c>
      <c r="H680" s="541">
        <f t="shared" si="32"/>
        <v>21412.912499999999</v>
      </c>
      <c r="I680" s="446"/>
    </row>
    <row r="681" spans="2:9" ht="26.1" hidden="1" customHeight="1" thickTop="1" thickBot="1" x14ac:dyDescent="0.4">
      <c r="B681" s="366"/>
      <c r="C681" s="452">
        <v>46101</v>
      </c>
      <c r="D681" s="451">
        <v>284</v>
      </c>
      <c r="E681" s="581" t="s">
        <v>908</v>
      </c>
      <c r="F681" s="539">
        <f t="shared" si="30"/>
        <v>2311.0500000000002</v>
      </c>
      <c r="G681" s="540">
        <f t="shared" si="31"/>
        <v>177.77307692307693</v>
      </c>
      <c r="H681" s="541">
        <f t="shared" si="32"/>
        <v>21421.05</v>
      </c>
      <c r="I681" s="446"/>
    </row>
    <row r="682" spans="2:9" ht="26.1" hidden="1" customHeight="1" thickTop="1" thickBot="1" x14ac:dyDescent="0.4">
      <c r="B682" s="366"/>
      <c r="C682" s="452">
        <v>46102</v>
      </c>
      <c r="D682" s="451">
        <v>285</v>
      </c>
      <c r="E682" s="581" t="s">
        <v>909</v>
      </c>
      <c r="F682" s="539">
        <f t="shared" si="30"/>
        <v>2319.1875000000005</v>
      </c>
      <c r="G682" s="540">
        <f t="shared" si="31"/>
        <v>178.39903846153851</v>
      </c>
      <c r="H682" s="541">
        <f t="shared" si="32"/>
        <v>21429.1875</v>
      </c>
      <c r="I682" s="446"/>
    </row>
    <row r="683" spans="2:9" ht="26.1" hidden="1" customHeight="1" thickTop="1" thickBot="1" x14ac:dyDescent="0.4">
      <c r="B683" s="366"/>
      <c r="C683" s="452">
        <v>46103</v>
      </c>
      <c r="D683" s="451">
        <v>286</v>
      </c>
      <c r="E683" s="581" t="s">
        <v>910</v>
      </c>
      <c r="F683" s="539">
        <f t="shared" si="30"/>
        <v>2327.3250000000003</v>
      </c>
      <c r="G683" s="540">
        <f t="shared" si="31"/>
        <v>179.02500000000003</v>
      </c>
      <c r="H683" s="541">
        <f t="shared" si="32"/>
        <v>21437.325000000001</v>
      </c>
      <c r="I683" s="446"/>
    </row>
    <row r="684" spans="2:9" ht="26.1" hidden="1" customHeight="1" thickTop="1" thickBot="1" x14ac:dyDescent="0.4">
      <c r="B684" s="366"/>
      <c r="C684" s="452">
        <v>46104</v>
      </c>
      <c r="D684" s="451">
        <v>287</v>
      </c>
      <c r="E684" s="581" t="s">
        <v>904</v>
      </c>
      <c r="F684" s="539">
        <f t="shared" si="30"/>
        <v>2335.4625000000001</v>
      </c>
      <c r="G684" s="540">
        <f t="shared" si="31"/>
        <v>179.65096153846156</v>
      </c>
      <c r="H684" s="541">
        <f t="shared" si="32"/>
        <v>21445.462500000001</v>
      </c>
      <c r="I684" s="446"/>
    </row>
    <row r="685" spans="2:9" ht="26.1" hidden="1" customHeight="1" thickTop="1" thickBot="1" x14ac:dyDescent="0.4">
      <c r="B685" s="366"/>
      <c r="C685" s="452">
        <v>46105</v>
      </c>
      <c r="D685" s="451">
        <v>288</v>
      </c>
      <c r="E685" s="581" t="s">
        <v>905</v>
      </c>
      <c r="F685" s="539">
        <f t="shared" si="30"/>
        <v>2343.6000000000004</v>
      </c>
      <c r="G685" s="540">
        <f t="shared" si="31"/>
        <v>180.27692307692311</v>
      </c>
      <c r="H685" s="541">
        <f t="shared" si="32"/>
        <v>21453.599999999999</v>
      </c>
      <c r="I685" s="446"/>
    </row>
    <row r="686" spans="2:9" ht="26.1" hidden="1" customHeight="1" thickTop="1" thickBot="1" x14ac:dyDescent="0.4">
      <c r="B686" s="366"/>
      <c r="C686" s="452">
        <v>46106</v>
      </c>
      <c r="D686" s="451">
        <v>289</v>
      </c>
      <c r="E686" s="581" t="s">
        <v>906</v>
      </c>
      <c r="F686" s="539">
        <f t="shared" si="30"/>
        <v>2351.7375000000002</v>
      </c>
      <c r="G686" s="540">
        <f t="shared" si="31"/>
        <v>180.90288461538464</v>
      </c>
      <c r="H686" s="541">
        <f t="shared" si="32"/>
        <v>21461.737499999999</v>
      </c>
      <c r="I686" s="446"/>
    </row>
    <row r="687" spans="2:9" ht="26.1" hidden="1" customHeight="1" thickTop="1" thickBot="1" x14ac:dyDescent="0.4">
      <c r="B687" s="366"/>
      <c r="C687" s="452">
        <v>46107</v>
      </c>
      <c r="D687" s="451">
        <v>290</v>
      </c>
      <c r="E687" s="581" t="s">
        <v>907</v>
      </c>
      <c r="F687" s="539">
        <f t="shared" si="30"/>
        <v>2359.8750000000005</v>
      </c>
      <c r="G687" s="540">
        <f t="shared" si="31"/>
        <v>181.52884615384619</v>
      </c>
      <c r="H687" s="541">
        <f t="shared" si="32"/>
        <v>21469.875</v>
      </c>
      <c r="I687" s="446"/>
    </row>
    <row r="688" spans="2:9" ht="26.1" hidden="1" customHeight="1" thickTop="1" thickBot="1" x14ac:dyDescent="0.4">
      <c r="B688" s="366"/>
      <c r="C688" s="452">
        <v>46108</v>
      </c>
      <c r="D688" s="451">
        <v>291</v>
      </c>
      <c r="E688" s="581" t="s">
        <v>908</v>
      </c>
      <c r="F688" s="539">
        <f t="shared" si="30"/>
        <v>2368.0125000000003</v>
      </c>
      <c r="G688" s="540">
        <f t="shared" si="31"/>
        <v>182.15480769230771</v>
      </c>
      <c r="H688" s="541">
        <f t="shared" si="32"/>
        <v>21478.012500000001</v>
      </c>
      <c r="I688" s="446"/>
    </row>
    <row r="689" spans="2:9" ht="26.1" hidden="1" customHeight="1" thickTop="1" thickBot="1" x14ac:dyDescent="0.4">
      <c r="B689" s="366"/>
      <c r="C689" s="452">
        <v>46109</v>
      </c>
      <c r="D689" s="451">
        <v>292</v>
      </c>
      <c r="E689" s="581" t="s">
        <v>909</v>
      </c>
      <c r="F689" s="539">
        <f t="shared" si="30"/>
        <v>2376.15</v>
      </c>
      <c r="G689" s="540">
        <f t="shared" si="31"/>
        <v>182.78076923076924</v>
      </c>
      <c r="H689" s="541">
        <f t="shared" si="32"/>
        <v>21486.15</v>
      </c>
      <c r="I689" s="446"/>
    </row>
    <row r="690" spans="2:9" ht="26.1" hidden="1" customHeight="1" thickTop="1" thickBot="1" x14ac:dyDescent="0.4">
      <c r="B690" s="366"/>
      <c r="C690" s="452">
        <v>46110</v>
      </c>
      <c r="D690" s="451">
        <v>293</v>
      </c>
      <c r="E690" s="581" t="s">
        <v>910</v>
      </c>
      <c r="F690" s="539">
        <f t="shared" si="30"/>
        <v>2384.2875000000004</v>
      </c>
      <c r="G690" s="540">
        <f t="shared" si="31"/>
        <v>183.40673076923079</v>
      </c>
      <c r="H690" s="541">
        <f t="shared" si="32"/>
        <v>21494.287499999999</v>
      </c>
      <c r="I690" s="446"/>
    </row>
    <row r="691" spans="2:9" ht="26.1" hidden="1" customHeight="1" thickTop="1" thickBot="1" x14ac:dyDescent="0.4">
      <c r="B691" s="366"/>
      <c r="C691" s="452">
        <v>46111</v>
      </c>
      <c r="D691" s="451">
        <v>294</v>
      </c>
      <c r="E691" s="581" t="s">
        <v>904</v>
      </c>
      <c r="F691" s="539">
        <f t="shared" si="30"/>
        <v>2392.4250000000002</v>
      </c>
      <c r="G691" s="540">
        <f t="shared" si="31"/>
        <v>184.03269230769232</v>
      </c>
      <c r="H691" s="541">
        <f t="shared" si="32"/>
        <v>21502.424999999999</v>
      </c>
      <c r="I691" s="446"/>
    </row>
    <row r="692" spans="2:9" ht="26.1" hidden="1" customHeight="1" thickTop="1" thickBot="1" x14ac:dyDescent="0.4">
      <c r="B692" s="366"/>
      <c r="C692" s="452">
        <v>46112</v>
      </c>
      <c r="D692" s="451">
        <v>295</v>
      </c>
      <c r="E692" s="581" t="s">
        <v>905</v>
      </c>
      <c r="F692" s="539">
        <f t="shared" si="30"/>
        <v>2400.5625000000005</v>
      </c>
      <c r="G692" s="540">
        <f t="shared" si="31"/>
        <v>184.65865384615387</v>
      </c>
      <c r="H692" s="541">
        <f t="shared" si="32"/>
        <v>21510.5625</v>
      </c>
      <c r="I692" s="446"/>
    </row>
    <row r="693" spans="2:9" ht="26.1" hidden="1" customHeight="1" thickTop="1" thickBot="1" x14ac:dyDescent="0.4">
      <c r="B693" s="366"/>
      <c r="C693" s="452">
        <v>46113</v>
      </c>
      <c r="D693" s="451">
        <v>296</v>
      </c>
      <c r="E693" s="581" t="s">
        <v>906</v>
      </c>
      <c r="F693" s="539">
        <f t="shared" si="30"/>
        <v>2408.7000000000003</v>
      </c>
      <c r="G693" s="540">
        <f t="shared" si="31"/>
        <v>185.28461538461539</v>
      </c>
      <c r="H693" s="541">
        <f t="shared" si="32"/>
        <v>21518.7</v>
      </c>
      <c r="I693" s="446"/>
    </row>
    <row r="694" spans="2:9" ht="26.1" hidden="1" customHeight="1" thickTop="1" thickBot="1" x14ac:dyDescent="0.4">
      <c r="B694" s="366"/>
      <c r="C694" s="452">
        <v>46114</v>
      </c>
      <c r="D694" s="451">
        <v>297</v>
      </c>
      <c r="E694" s="581" t="s">
        <v>907</v>
      </c>
      <c r="F694" s="539">
        <f t="shared" si="30"/>
        <v>2416.8375000000001</v>
      </c>
      <c r="G694" s="540">
        <f t="shared" si="31"/>
        <v>185.91057692307692</v>
      </c>
      <c r="H694" s="541">
        <f t="shared" si="32"/>
        <v>21526.837500000001</v>
      </c>
      <c r="I694" s="446"/>
    </row>
    <row r="695" spans="2:9" ht="26.1" hidden="1" customHeight="1" thickTop="1" thickBot="1" x14ac:dyDescent="0.4">
      <c r="B695" s="366"/>
      <c r="C695" s="452">
        <v>46115</v>
      </c>
      <c r="D695" s="451">
        <v>298</v>
      </c>
      <c r="E695" s="581" t="s">
        <v>908</v>
      </c>
      <c r="F695" s="539">
        <f t="shared" si="30"/>
        <v>2424.9750000000004</v>
      </c>
      <c r="G695" s="540">
        <f t="shared" si="31"/>
        <v>186.5365384615385</v>
      </c>
      <c r="H695" s="541">
        <f t="shared" si="32"/>
        <v>21534.974999999999</v>
      </c>
      <c r="I695" s="446"/>
    </row>
    <row r="696" spans="2:9" ht="26.1" hidden="1" customHeight="1" thickTop="1" thickBot="1" x14ac:dyDescent="0.4">
      <c r="B696" s="366"/>
      <c r="C696" s="452">
        <v>46116</v>
      </c>
      <c r="D696" s="451">
        <v>299</v>
      </c>
      <c r="E696" s="581" t="s">
        <v>909</v>
      </c>
      <c r="F696" s="539">
        <f t="shared" si="30"/>
        <v>2433.1125000000002</v>
      </c>
      <c r="G696" s="540">
        <f t="shared" si="31"/>
        <v>187.16250000000002</v>
      </c>
      <c r="H696" s="541">
        <f t="shared" si="32"/>
        <v>21543.112499999999</v>
      </c>
      <c r="I696" s="446"/>
    </row>
    <row r="697" spans="2:9" ht="26.1" hidden="1" customHeight="1" thickTop="1" thickBot="1" x14ac:dyDescent="0.4">
      <c r="B697" s="366"/>
      <c r="C697" s="452">
        <v>46117</v>
      </c>
      <c r="D697" s="451">
        <v>300</v>
      </c>
      <c r="E697" s="581" t="s">
        <v>910</v>
      </c>
      <c r="F697" s="539">
        <f t="shared" si="30"/>
        <v>2441.2500000000005</v>
      </c>
      <c r="G697" s="540">
        <f t="shared" si="31"/>
        <v>187.78846153846158</v>
      </c>
      <c r="H697" s="541">
        <f t="shared" si="32"/>
        <v>21551.25</v>
      </c>
      <c r="I697" s="446"/>
    </row>
    <row r="698" spans="2:9" ht="26.1" hidden="1" customHeight="1" thickTop="1" thickBot="1" x14ac:dyDescent="0.4">
      <c r="B698" s="366"/>
      <c r="C698" s="452">
        <v>46118</v>
      </c>
      <c r="D698" s="451">
        <v>301</v>
      </c>
      <c r="E698" s="581" t="s">
        <v>904</v>
      </c>
      <c r="F698" s="539">
        <f t="shared" si="30"/>
        <v>2449.3875000000003</v>
      </c>
      <c r="G698" s="540">
        <f t="shared" si="31"/>
        <v>188.4144230769231</v>
      </c>
      <c r="H698" s="541">
        <f t="shared" si="32"/>
        <v>21559.387500000001</v>
      </c>
      <c r="I698" s="446"/>
    </row>
    <row r="699" spans="2:9" ht="26.1" hidden="1" customHeight="1" thickTop="1" thickBot="1" x14ac:dyDescent="0.4">
      <c r="B699" s="366"/>
      <c r="C699" s="452">
        <v>46119</v>
      </c>
      <c r="D699" s="451">
        <v>302</v>
      </c>
      <c r="E699" s="581" t="s">
        <v>905</v>
      </c>
      <c r="F699" s="539">
        <f t="shared" si="30"/>
        <v>2457.5250000000005</v>
      </c>
      <c r="G699" s="540">
        <f t="shared" si="31"/>
        <v>189.04038461538465</v>
      </c>
      <c r="H699" s="541">
        <f t="shared" si="32"/>
        <v>21567.525000000001</v>
      </c>
      <c r="I699" s="446"/>
    </row>
    <row r="700" spans="2:9" ht="26.1" hidden="1" customHeight="1" thickTop="1" thickBot="1" x14ac:dyDescent="0.4">
      <c r="B700" s="366"/>
      <c r="C700" s="452">
        <v>46120</v>
      </c>
      <c r="D700" s="451">
        <v>303</v>
      </c>
      <c r="E700" s="581" t="s">
        <v>906</v>
      </c>
      <c r="F700" s="539">
        <f t="shared" si="30"/>
        <v>2465.6625000000004</v>
      </c>
      <c r="G700" s="540">
        <f t="shared" si="31"/>
        <v>189.66634615384618</v>
      </c>
      <c r="H700" s="541">
        <f t="shared" si="32"/>
        <v>21575.662499999999</v>
      </c>
      <c r="I700" s="446"/>
    </row>
    <row r="701" spans="2:9" ht="26.1" hidden="1" customHeight="1" thickTop="1" thickBot="1" x14ac:dyDescent="0.4">
      <c r="B701" s="366"/>
      <c r="C701" s="452">
        <v>46121</v>
      </c>
      <c r="D701" s="451">
        <v>304</v>
      </c>
      <c r="E701" s="581" t="s">
        <v>907</v>
      </c>
      <c r="F701" s="539">
        <f t="shared" si="30"/>
        <v>2473.8000000000002</v>
      </c>
      <c r="G701" s="540">
        <f t="shared" si="31"/>
        <v>190.2923076923077</v>
      </c>
      <c r="H701" s="541">
        <f t="shared" si="32"/>
        <v>21583.8</v>
      </c>
      <c r="I701" s="446"/>
    </row>
    <row r="702" spans="2:9" ht="26.1" hidden="1" customHeight="1" thickTop="1" thickBot="1" x14ac:dyDescent="0.4">
      <c r="B702" s="366"/>
      <c r="C702" s="452">
        <v>46122</v>
      </c>
      <c r="D702" s="451">
        <v>305</v>
      </c>
      <c r="E702" s="581" t="s">
        <v>908</v>
      </c>
      <c r="F702" s="539">
        <f t="shared" si="30"/>
        <v>2481.9375000000005</v>
      </c>
      <c r="G702" s="540">
        <f t="shared" si="31"/>
        <v>190.91826923076925</v>
      </c>
      <c r="H702" s="541">
        <f t="shared" si="32"/>
        <v>21591.9375</v>
      </c>
      <c r="I702" s="446"/>
    </row>
    <row r="703" spans="2:9" ht="26.1" hidden="1" customHeight="1" thickTop="1" thickBot="1" x14ac:dyDescent="0.4">
      <c r="B703" s="366"/>
      <c r="C703" s="452">
        <v>46123</v>
      </c>
      <c r="D703" s="451">
        <v>306</v>
      </c>
      <c r="E703" s="581" t="s">
        <v>909</v>
      </c>
      <c r="F703" s="539">
        <f t="shared" si="30"/>
        <v>2490.0750000000003</v>
      </c>
      <c r="G703" s="540">
        <f t="shared" si="31"/>
        <v>191.54423076923078</v>
      </c>
      <c r="H703" s="541">
        <f t="shared" si="32"/>
        <v>21600.075000000001</v>
      </c>
      <c r="I703" s="446"/>
    </row>
    <row r="704" spans="2:9" ht="26.1" hidden="1" customHeight="1" thickTop="1" thickBot="1" x14ac:dyDescent="0.4">
      <c r="B704" s="366"/>
      <c r="C704" s="452">
        <v>46124</v>
      </c>
      <c r="D704" s="451">
        <v>307</v>
      </c>
      <c r="E704" s="581" t="s">
        <v>910</v>
      </c>
      <c r="F704" s="539">
        <f t="shared" si="30"/>
        <v>2498.2125000000005</v>
      </c>
      <c r="G704" s="540">
        <f t="shared" si="31"/>
        <v>192.17019230769236</v>
      </c>
      <c r="H704" s="541">
        <f t="shared" si="32"/>
        <v>21608.212500000001</v>
      </c>
      <c r="I704" s="446"/>
    </row>
    <row r="705" spans="2:9" ht="26.1" hidden="1" customHeight="1" thickTop="1" thickBot="1" x14ac:dyDescent="0.4">
      <c r="B705" s="366"/>
      <c r="C705" s="452">
        <v>46125</v>
      </c>
      <c r="D705" s="451">
        <v>308</v>
      </c>
      <c r="E705" s="581" t="s">
        <v>904</v>
      </c>
      <c r="F705" s="539">
        <f t="shared" si="30"/>
        <v>2506.3500000000004</v>
      </c>
      <c r="G705" s="540">
        <f t="shared" si="31"/>
        <v>192.79615384615389</v>
      </c>
      <c r="H705" s="541">
        <f t="shared" si="32"/>
        <v>21616.35</v>
      </c>
      <c r="I705" s="446"/>
    </row>
    <row r="706" spans="2:9" ht="26.1" hidden="1" customHeight="1" thickTop="1" thickBot="1" x14ac:dyDescent="0.4">
      <c r="B706" s="366"/>
      <c r="C706" s="452">
        <v>46126</v>
      </c>
      <c r="D706" s="451">
        <v>309</v>
      </c>
      <c r="E706" s="581" t="s">
        <v>905</v>
      </c>
      <c r="F706" s="539">
        <f t="shared" si="30"/>
        <v>2514.4875000000002</v>
      </c>
      <c r="G706" s="540">
        <f t="shared" si="31"/>
        <v>193.42211538461541</v>
      </c>
      <c r="H706" s="541">
        <f t="shared" si="32"/>
        <v>21624.487499999999</v>
      </c>
      <c r="I706" s="446"/>
    </row>
    <row r="707" spans="2:9" ht="26.1" hidden="1" customHeight="1" thickTop="1" thickBot="1" x14ac:dyDescent="0.4">
      <c r="B707" s="366"/>
      <c r="C707" s="452">
        <v>46127</v>
      </c>
      <c r="D707" s="451">
        <v>310</v>
      </c>
      <c r="E707" s="581" t="s">
        <v>906</v>
      </c>
      <c r="F707" s="539">
        <f t="shared" si="30"/>
        <v>2522.6250000000005</v>
      </c>
      <c r="G707" s="540">
        <f t="shared" si="31"/>
        <v>194.04807692307696</v>
      </c>
      <c r="H707" s="541">
        <f t="shared" si="32"/>
        <v>21632.625</v>
      </c>
      <c r="I707" s="446"/>
    </row>
    <row r="708" spans="2:9" ht="26.1" hidden="1" customHeight="1" thickTop="1" thickBot="1" x14ac:dyDescent="0.4">
      <c r="B708" s="366"/>
      <c r="C708" s="452">
        <v>46128</v>
      </c>
      <c r="D708" s="451">
        <v>311</v>
      </c>
      <c r="E708" s="581" t="s">
        <v>907</v>
      </c>
      <c r="F708" s="539">
        <f t="shared" si="30"/>
        <v>2530.7625000000003</v>
      </c>
      <c r="G708" s="540">
        <f t="shared" si="31"/>
        <v>194.67403846153849</v>
      </c>
      <c r="H708" s="541">
        <f t="shared" si="32"/>
        <v>21640.762500000001</v>
      </c>
      <c r="I708" s="446"/>
    </row>
    <row r="709" spans="2:9" ht="26.1" hidden="1" customHeight="1" thickTop="1" thickBot="1" x14ac:dyDescent="0.4">
      <c r="B709" s="366"/>
      <c r="C709" s="452">
        <v>46129</v>
      </c>
      <c r="D709" s="451">
        <v>312</v>
      </c>
      <c r="E709" s="581" t="s">
        <v>908</v>
      </c>
      <c r="F709" s="539">
        <f t="shared" si="30"/>
        <v>2538.9000000000005</v>
      </c>
      <c r="G709" s="540">
        <f t="shared" si="31"/>
        <v>195.30000000000004</v>
      </c>
      <c r="H709" s="541">
        <f t="shared" si="32"/>
        <v>21648.9</v>
      </c>
      <c r="I709" s="446"/>
    </row>
    <row r="710" spans="2:9" ht="26.1" hidden="1" customHeight="1" thickTop="1" thickBot="1" x14ac:dyDescent="0.4">
      <c r="B710" s="366"/>
      <c r="C710" s="452">
        <v>46130</v>
      </c>
      <c r="D710" s="451">
        <v>313</v>
      </c>
      <c r="E710" s="581" t="s">
        <v>909</v>
      </c>
      <c r="F710" s="539">
        <f t="shared" si="30"/>
        <v>2547.0375000000004</v>
      </c>
      <c r="G710" s="540">
        <f t="shared" si="31"/>
        <v>195.92596153846156</v>
      </c>
      <c r="H710" s="541">
        <f t="shared" si="32"/>
        <v>21657.037499999999</v>
      </c>
      <c r="I710" s="446"/>
    </row>
    <row r="711" spans="2:9" ht="26.1" hidden="1" customHeight="1" thickTop="1" thickBot="1" x14ac:dyDescent="0.4">
      <c r="B711" s="366"/>
      <c r="C711" s="452">
        <v>46131</v>
      </c>
      <c r="D711" s="451">
        <v>314</v>
      </c>
      <c r="E711" s="581" t="s">
        <v>910</v>
      </c>
      <c r="F711" s="539">
        <f t="shared" si="30"/>
        <v>2555.1750000000002</v>
      </c>
      <c r="G711" s="540">
        <f t="shared" si="31"/>
        <v>196.55192307692309</v>
      </c>
      <c r="H711" s="541">
        <f t="shared" si="32"/>
        <v>21665.174999999999</v>
      </c>
      <c r="I711" s="446"/>
    </row>
    <row r="712" spans="2:9" ht="26.1" hidden="1" customHeight="1" thickTop="1" thickBot="1" x14ac:dyDescent="0.4">
      <c r="B712" s="366"/>
      <c r="C712" s="452">
        <v>46132</v>
      </c>
      <c r="D712" s="451">
        <v>315</v>
      </c>
      <c r="E712" s="581" t="s">
        <v>904</v>
      </c>
      <c r="F712" s="539">
        <f t="shared" si="30"/>
        <v>2563.3125000000005</v>
      </c>
      <c r="G712" s="540">
        <f t="shared" si="31"/>
        <v>197.17788461538464</v>
      </c>
      <c r="H712" s="541">
        <f t="shared" si="32"/>
        <v>21673.3125</v>
      </c>
      <c r="I712" s="446"/>
    </row>
    <row r="713" spans="2:9" ht="26.1" hidden="1" customHeight="1" thickTop="1" thickBot="1" x14ac:dyDescent="0.4">
      <c r="B713" s="366"/>
      <c r="C713" s="452">
        <v>46133</v>
      </c>
      <c r="D713" s="451">
        <v>316</v>
      </c>
      <c r="E713" s="581" t="s">
        <v>905</v>
      </c>
      <c r="F713" s="539">
        <f t="shared" si="30"/>
        <v>2571.4500000000003</v>
      </c>
      <c r="G713" s="540">
        <f t="shared" si="31"/>
        <v>197.80384615384617</v>
      </c>
      <c r="H713" s="541">
        <f t="shared" si="32"/>
        <v>21681.45</v>
      </c>
      <c r="I713" s="446"/>
    </row>
    <row r="714" spans="2:9" ht="26.1" hidden="1" customHeight="1" thickTop="1" thickBot="1" x14ac:dyDescent="0.4">
      <c r="B714" s="366"/>
      <c r="C714" s="452">
        <v>46134</v>
      </c>
      <c r="D714" s="451">
        <v>317</v>
      </c>
      <c r="E714" s="581" t="s">
        <v>906</v>
      </c>
      <c r="F714" s="539">
        <f t="shared" si="30"/>
        <v>2579.5875000000005</v>
      </c>
      <c r="G714" s="540">
        <f t="shared" si="31"/>
        <v>198.42980769230775</v>
      </c>
      <c r="H714" s="541">
        <f t="shared" si="32"/>
        <v>21689.587500000001</v>
      </c>
      <c r="I714" s="446"/>
    </row>
    <row r="715" spans="2:9" ht="26.1" hidden="1" customHeight="1" thickTop="1" thickBot="1" x14ac:dyDescent="0.4">
      <c r="B715" s="366"/>
      <c r="C715" s="452">
        <v>46135</v>
      </c>
      <c r="D715" s="451">
        <v>318</v>
      </c>
      <c r="E715" s="581" t="s">
        <v>907</v>
      </c>
      <c r="F715" s="539">
        <f t="shared" si="30"/>
        <v>2587.7250000000004</v>
      </c>
      <c r="G715" s="540">
        <f t="shared" si="31"/>
        <v>199.05576923076927</v>
      </c>
      <c r="H715" s="541">
        <f t="shared" si="32"/>
        <v>21697.724999999999</v>
      </c>
      <c r="I715" s="446"/>
    </row>
    <row r="716" spans="2:9" ht="26.1" hidden="1" customHeight="1" thickTop="1" thickBot="1" x14ac:dyDescent="0.4">
      <c r="B716" s="366"/>
      <c r="C716" s="452">
        <v>46136</v>
      </c>
      <c r="D716" s="451">
        <v>319</v>
      </c>
      <c r="E716" s="581" t="s">
        <v>908</v>
      </c>
      <c r="F716" s="539">
        <f t="shared" si="30"/>
        <v>2595.8625000000002</v>
      </c>
      <c r="G716" s="540">
        <f t="shared" si="31"/>
        <v>199.6817307692308</v>
      </c>
      <c r="H716" s="541">
        <f t="shared" si="32"/>
        <v>21705.862499999999</v>
      </c>
      <c r="I716" s="446"/>
    </row>
    <row r="717" spans="2:9" ht="26.1" hidden="1" customHeight="1" thickTop="1" thickBot="1" x14ac:dyDescent="0.4">
      <c r="B717" s="366"/>
      <c r="C717" s="452">
        <v>46137</v>
      </c>
      <c r="D717" s="451">
        <v>320</v>
      </c>
      <c r="E717" s="581" t="s">
        <v>909</v>
      </c>
      <c r="F717" s="539">
        <f t="shared" si="30"/>
        <v>2604.0000000000005</v>
      </c>
      <c r="G717" s="540">
        <f t="shared" si="31"/>
        <v>200.30769230769235</v>
      </c>
      <c r="H717" s="541">
        <f t="shared" si="32"/>
        <v>21714</v>
      </c>
      <c r="I717" s="446"/>
    </row>
    <row r="718" spans="2:9" ht="26.1" hidden="1" customHeight="1" thickTop="1" thickBot="1" x14ac:dyDescent="0.4">
      <c r="B718" s="366"/>
      <c r="C718" s="452">
        <v>46138</v>
      </c>
      <c r="D718" s="451">
        <v>321</v>
      </c>
      <c r="E718" s="581" t="s">
        <v>910</v>
      </c>
      <c r="F718" s="539">
        <f t="shared" si="30"/>
        <v>2612.1375000000003</v>
      </c>
      <c r="G718" s="540">
        <f t="shared" si="31"/>
        <v>200.93365384615387</v>
      </c>
      <c r="H718" s="541">
        <f t="shared" si="32"/>
        <v>21722.137500000001</v>
      </c>
      <c r="I718" s="446"/>
    </row>
    <row r="719" spans="2:9" ht="26.1" hidden="1" customHeight="1" thickTop="1" thickBot="1" x14ac:dyDescent="0.4">
      <c r="B719" s="366"/>
      <c r="C719" s="452">
        <v>46139</v>
      </c>
      <c r="D719" s="451">
        <v>322</v>
      </c>
      <c r="E719" s="581" t="s">
        <v>904</v>
      </c>
      <c r="F719" s="539">
        <f t="shared" ref="F719:F761" si="33">$E$390/$F$392*D719</f>
        <v>2620.2750000000005</v>
      </c>
      <c r="G719" s="540">
        <f t="shared" ref="G719:G761" si="34">F719/$C$394</f>
        <v>201.55961538461543</v>
      </c>
      <c r="H719" s="541">
        <f t="shared" ref="H719:H761" si="35">$C$390+F719</f>
        <v>21730.275000000001</v>
      </c>
      <c r="I719" s="446"/>
    </row>
    <row r="720" spans="2:9" ht="26.1" hidden="1" customHeight="1" thickTop="1" thickBot="1" x14ac:dyDescent="0.4">
      <c r="B720" s="366"/>
      <c r="C720" s="452">
        <v>46140</v>
      </c>
      <c r="D720" s="451">
        <v>323</v>
      </c>
      <c r="E720" s="581" t="s">
        <v>905</v>
      </c>
      <c r="F720" s="539">
        <f t="shared" si="33"/>
        <v>2628.4125000000004</v>
      </c>
      <c r="G720" s="540">
        <f t="shared" si="34"/>
        <v>202.18557692307695</v>
      </c>
      <c r="H720" s="541">
        <f t="shared" si="35"/>
        <v>21738.412499999999</v>
      </c>
      <c r="I720" s="446"/>
    </row>
    <row r="721" spans="2:9" ht="26.1" hidden="1" customHeight="1" thickTop="1" thickBot="1" x14ac:dyDescent="0.4">
      <c r="B721" s="366"/>
      <c r="C721" s="452">
        <v>46141</v>
      </c>
      <c r="D721" s="451">
        <v>324</v>
      </c>
      <c r="E721" s="581" t="s">
        <v>906</v>
      </c>
      <c r="F721" s="539">
        <f t="shared" si="33"/>
        <v>2636.55</v>
      </c>
      <c r="G721" s="540">
        <f t="shared" si="34"/>
        <v>202.81153846153848</v>
      </c>
      <c r="H721" s="541">
        <f t="shared" si="35"/>
        <v>21746.55</v>
      </c>
      <c r="I721" s="446"/>
    </row>
    <row r="722" spans="2:9" ht="26.1" hidden="1" customHeight="1" thickTop="1" thickBot="1" x14ac:dyDescent="0.4">
      <c r="B722" s="366"/>
      <c r="C722" s="452">
        <v>46142</v>
      </c>
      <c r="D722" s="451">
        <v>325</v>
      </c>
      <c r="E722" s="581" t="s">
        <v>907</v>
      </c>
      <c r="F722" s="539">
        <f t="shared" si="33"/>
        <v>2644.6875000000005</v>
      </c>
      <c r="G722" s="540">
        <f t="shared" si="34"/>
        <v>203.43750000000003</v>
      </c>
      <c r="H722" s="541">
        <f t="shared" si="35"/>
        <v>21754.6875</v>
      </c>
      <c r="I722" s="446"/>
    </row>
    <row r="723" spans="2:9" ht="26.1" hidden="1" customHeight="1" thickTop="1" thickBot="1" x14ac:dyDescent="0.4">
      <c r="B723" s="366"/>
      <c r="C723" s="452">
        <v>46143</v>
      </c>
      <c r="D723" s="451">
        <v>326</v>
      </c>
      <c r="E723" s="581" t="s">
        <v>908</v>
      </c>
      <c r="F723" s="539">
        <f t="shared" si="33"/>
        <v>2652.8250000000003</v>
      </c>
      <c r="G723" s="540">
        <f t="shared" si="34"/>
        <v>204.06346153846155</v>
      </c>
      <c r="H723" s="541">
        <f t="shared" si="35"/>
        <v>21762.825000000001</v>
      </c>
      <c r="I723" s="446"/>
    </row>
    <row r="724" spans="2:9" ht="26.1" hidden="1" customHeight="1" thickTop="1" thickBot="1" x14ac:dyDescent="0.4">
      <c r="B724" s="366"/>
      <c r="C724" s="452">
        <v>46144</v>
      </c>
      <c r="D724" s="451">
        <v>327</v>
      </c>
      <c r="E724" s="581" t="s">
        <v>909</v>
      </c>
      <c r="F724" s="539">
        <f t="shared" si="33"/>
        <v>2660.9625000000005</v>
      </c>
      <c r="G724" s="540">
        <f t="shared" si="34"/>
        <v>204.68942307692311</v>
      </c>
      <c r="H724" s="541">
        <f t="shared" si="35"/>
        <v>21770.962500000001</v>
      </c>
      <c r="I724" s="446"/>
    </row>
    <row r="725" spans="2:9" ht="26.1" hidden="1" customHeight="1" thickTop="1" thickBot="1" x14ac:dyDescent="0.4">
      <c r="B725" s="366"/>
      <c r="C725" s="452">
        <v>46145</v>
      </c>
      <c r="D725" s="451">
        <v>328</v>
      </c>
      <c r="E725" s="581" t="s">
        <v>910</v>
      </c>
      <c r="F725" s="539">
        <f t="shared" si="33"/>
        <v>2669.1000000000004</v>
      </c>
      <c r="G725" s="540">
        <f t="shared" si="34"/>
        <v>205.31538461538463</v>
      </c>
      <c r="H725" s="541">
        <f t="shared" si="35"/>
        <v>21779.1</v>
      </c>
      <c r="I725" s="446"/>
    </row>
    <row r="726" spans="2:9" ht="26.1" hidden="1" customHeight="1" thickTop="1" thickBot="1" x14ac:dyDescent="0.4">
      <c r="B726" s="366"/>
      <c r="C726" s="452">
        <v>46146</v>
      </c>
      <c r="D726" s="451">
        <v>329</v>
      </c>
      <c r="E726" s="581" t="s">
        <v>904</v>
      </c>
      <c r="F726" s="539">
        <f t="shared" si="33"/>
        <v>2677.2375000000002</v>
      </c>
      <c r="G726" s="540">
        <f t="shared" si="34"/>
        <v>205.94134615384615</v>
      </c>
      <c r="H726" s="541">
        <f t="shared" si="35"/>
        <v>21787.237499999999</v>
      </c>
      <c r="I726" s="446"/>
    </row>
    <row r="727" spans="2:9" ht="26.1" hidden="1" customHeight="1" thickTop="1" thickBot="1" x14ac:dyDescent="0.4">
      <c r="B727" s="366"/>
      <c r="C727" s="452">
        <v>46147</v>
      </c>
      <c r="D727" s="451">
        <v>330</v>
      </c>
      <c r="E727" s="581" t="s">
        <v>905</v>
      </c>
      <c r="F727" s="539">
        <f t="shared" si="33"/>
        <v>2685.3750000000005</v>
      </c>
      <c r="G727" s="540">
        <f t="shared" si="34"/>
        <v>206.56730769230774</v>
      </c>
      <c r="H727" s="541">
        <f t="shared" si="35"/>
        <v>21795.375</v>
      </c>
      <c r="I727" s="446"/>
    </row>
    <row r="728" spans="2:9" ht="26.1" hidden="1" customHeight="1" thickTop="1" thickBot="1" x14ac:dyDescent="0.4">
      <c r="B728" s="366"/>
      <c r="C728" s="452">
        <v>46148</v>
      </c>
      <c r="D728" s="451">
        <v>331</v>
      </c>
      <c r="E728" s="581" t="s">
        <v>906</v>
      </c>
      <c r="F728" s="539">
        <f t="shared" si="33"/>
        <v>2693.5125000000003</v>
      </c>
      <c r="G728" s="540">
        <f t="shared" si="34"/>
        <v>207.19326923076926</v>
      </c>
      <c r="H728" s="541">
        <f t="shared" si="35"/>
        <v>21803.512500000001</v>
      </c>
      <c r="I728" s="446"/>
    </row>
    <row r="729" spans="2:9" ht="26.1" hidden="1" customHeight="1" thickTop="1" thickBot="1" x14ac:dyDescent="0.4">
      <c r="B729" s="366"/>
      <c r="C729" s="452">
        <v>46149</v>
      </c>
      <c r="D729" s="451">
        <v>332</v>
      </c>
      <c r="E729" s="581" t="s">
        <v>907</v>
      </c>
      <c r="F729" s="539">
        <f t="shared" si="33"/>
        <v>2701.6500000000005</v>
      </c>
      <c r="G729" s="540">
        <f t="shared" si="34"/>
        <v>207.81923076923081</v>
      </c>
      <c r="H729" s="541">
        <f t="shared" si="35"/>
        <v>21811.65</v>
      </c>
      <c r="I729" s="446"/>
    </row>
    <row r="730" spans="2:9" ht="26.1" hidden="1" customHeight="1" thickTop="1" thickBot="1" x14ac:dyDescent="0.4">
      <c r="B730" s="366"/>
      <c r="C730" s="452">
        <v>46150</v>
      </c>
      <c r="D730" s="451">
        <v>333</v>
      </c>
      <c r="E730" s="581" t="s">
        <v>908</v>
      </c>
      <c r="F730" s="539">
        <f t="shared" si="33"/>
        <v>2709.7875000000004</v>
      </c>
      <c r="G730" s="540">
        <f t="shared" si="34"/>
        <v>208.44519230769234</v>
      </c>
      <c r="H730" s="541">
        <f t="shared" si="35"/>
        <v>21819.787499999999</v>
      </c>
      <c r="I730" s="446"/>
    </row>
    <row r="731" spans="2:9" ht="26.1" hidden="1" customHeight="1" thickTop="1" thickBot="1" x14ac:dyDescent="0.4">
      <c r="B731" s="366"/>
      <c r="C731" s="452">
        <v>46151</v>
      </c>
      <c r="D731" s="451">
        <v>334</v>
      </c>
      <c r="E731" s="581" t="s">
        <v>909</v>
      </c>
      <c r="F731" s="539">
        <f t="shared" si="33"/>
        <v>2717.9250000000002</v>
      </c>
      <c r="G731" s="540">
        <f t="shared" si="34"/>
        <v>209.07115384615386</v>
      </c>
      <c r="H731" s="541">
        <f t="shared" si="35"/>
        <v>21827.924999999999</v>
      </c>
      <c r="I731" s="446"/>
    </row>
    <row r="732" spans="2:9" ht="26.1" hidden="1" customHeight="1" thickTop="1" thickBot="1" x14ac:dyDescent="0.4">
      <c r="B732" s="366"/>
      <c r="C732" s="452">
        <v>46152</v>
      </c>
      <c r="D732" s="451">
        <v>335</v>
      </c>
      <c r="E732" s="581" t="s">
        <v>910</v>
      </c>
      <c r="F732" s="539">
        <f t="shared" si="33"/>
        <v>2726.0625000000005</v>
      </c>
      <c r="G732" s="540">
        <f t="shared" si="34"/>
        <v>209.69711538461542</v>
      </c>
      <c r="H732" s="541">
        <f t="shared" si="35"/>
        <v>21836.0625</v>
      </c>
      <c r="I732" s="446"/>
    </row>
    <row r="733" spans="2:9" ht="26.1" hidden="1" customHeight="1" thickTop="1" thickBot="1" x14ac:dyDescent="0.4">
      <c r="B733" s="366"/>
      <c r="C733" s="452">
        <v>46153</v>
      </c>
      <c r="D733" s="451">
        <v>336</v>
      </c>
      <c r="E733" s="581" t="s">
        <v>904</v>
      </c>
      <c r="F733" s="539">
        <f t="shared" si="33"/>
        <v>2734.2000000000003</v>
      </c>
      <c r="G733" s="540">
        <f t="shared" si="34"/>
        <v>210.32307692307694</v>
      </c>
      <c r="H733" s="541">
        <f t="shared" si="35"/>
        <v>21844.2</v>
      </c>
      <c r="I733" s="446"/>
    </row>
    <row r="734" spans="2:9" ht="26.1" hidden="1" customHeight="1" thickTop="1" thickBot="1" x14ac:dyDescent="0.4">
      <c r="B734" s="366"/>
      <c r="C734" s="452">
        <v>46154</v>
      </c>
      <c r="D734" s="451">
        <v>337</v>
      </c>
      <c r="E734" s="581" t="s">
        <v>905</v>
      </c>
      <c r="F734" s="539">
        <f t="shared" si="33"/>
        <v>2742.3375000000005</v>
      </c>
      <c r="G734" s="540">
        <f t="shared" si="34"/>
        <v>210.94903846153849</v>
      </c>
      <c r="H734" s="541">
        <f t="shared" si="35"/>
        <v>21852.337500000001</v>
      </c>
      <c r="I734" s="446"/>
    </row>
    <row r="735" spans="2:9" ht="26.1" hidden="1" customHeight="1" thickTop="1" thickBot="1" x14ac:dyDescent="0.4">
      <c r="B735" s="366"/>
      <c r="C735" s="452">
        <v>46155</v>
      </c>
      <c r="D735" s="451">
        <v>338</v>
      </c>
      <c r="E735" s="581" t="s">
        <v>906</v>
      </c>
      <c r="F735" s="539">
        <f t="shared" si="33"/>
        <v>2750.4750000000004</v>
      </c>
      <c r="G735" s="540">
        <f t="shared" si="34"/>
        <v>211.57500000000002</v>
      </c>
      <c r="H735" s="541">
        <f t="shared" si="35"/>
        <v>21860.474999999999</v>
      </c>
      <c r="I735" s="446"/>
    </row>
    <row r="736" spans="2:9" ht="26.1" hidden="1" customHeight="1" thickTop="1" thickBot="1" x14ac:dyDescent="0.4">
      <c r="B736" s="366"/>
      <c r="C736" s="452">
        <v>46156</v>
      </c>
      <c r="D736" s="451">
        <v>339</v>
      </c>
      <c r="E736" s="581" t="s">
        <v>907</v>
      </c>
      <c r="F736" s="539">
        <f t="shared" si="33"/>
        <v>2758.6125000000002</v>
      </c>
      <c r="G736" s="540">
        <f t="shared" si="34"/>
        <v>212.20096153846154</v>
      </c>
      <c r="H736" s="541">
        <f t="shared" si="35"/>
        <v>21868.612499999999</v>
      </c>
      <c r="I736" s="446"/>
    </row>
    <row r="737" spans="2:9" ht="26.1" hidden="1" customHeight="1" thickTop="1" thickBot="1" x14ac:dyDescent="0.4">
      <c r="B737" s="366"/>
      <c r="C737" s="452">
        <v>46157</v>
      </c>
      <c r="D737" s="451">
        <v>340</v>
      </c>
      <c r="E737" s="581" t="s">
        <v>908</v>
      </c>
      <c r="F737" s="539">
        <f t="shared" si="33"/>
        <v>2766.7500000000005</v>
      </c>
      <c r="G737" s="540">
        <f t="shared" si="34"/>
        <v>212.82692307692312</v>
      </c>
      <c r="H737" s="541">
        <f t="shared" si="35"/>
        <v>21876.75</v>
      </c>
      <c r="I737" s="446"/>
    </row>
    <row r="738" spans="2:9" ht="26.1" hidden="1" customHeight="1" thickTop="1" thickBot="1" x14ac:dyDescent="0.4">
      <c r="B738" s="366"/>
      <c r="C738" s="452">
        <v>46158</v>
      </c>
      <c r="D738" s="451">
        <v>341</v>
      </c>
      <c r="E738" s="581" t="s">
        <v>909</v>
      </c>
      <c r="F738" s="539">
        <f t="shared" si="33"/>
        <v>2774.8875000000003</v>
      </c>
      <c r="G738" s="540">
        <f t="shared" si="34"/>
        <v>213.45288461538465</v>
      </c>
      <c r="H738" s="541">
        <f t="shared" si="35"/>
        <v>21884.887500000001</v>
      </c>
      <c r="I738" s="446"/>
    </row>
    <row r="739" spans="2:9" ht="26.1" hidden="1" customHeight="1" thickTop="1" thickBot="1" x14ac:dyDescent="0.4">
      <c r="B739" s="366"/>
      <c r="C739" s="452">
        <v>46159</v>
      </c>
      <c r="D739" s="451">
        <v>342</v>
      </c>
      <c r="E739" s="581" t="s">
        <v>910</v>
      </c>
      <c r="F739" s="539">
        <f t="shared" si="33"/>
        <v>2783.0250000000005</v>
      </c>
      <c r="G739" s="540">
        <f t="shared" si="34"/>
        <v>214.0788461538462</v>
      </c>
      <c r="H739" s="541">
        <f t="shared" si="35"/>
        <v>21893.025000000001</v>
      </c>
      <c r="I739" s="446"/>
    </row>
    <row r="740" spans="2:9" ht="26.1" hidden="1" customHeight="1" thickTop="1" thickBot="1" x14ac:dyDescent="0.4">
      <c r="B740" s="366"/>
      <c r="C740" s="452">
        <v>46160</v>
      </c>
      <c r="D740" s="451">
        <v>343</v>
      </c>
      <c r="E740" s="581" t="s">
        <v>904</v>
      </c>
      <c r="F740" s="539">
        <f t="shared" si="33"/>
        <v>2791.1625000000004</v>
      </c>
      <c r="G740" s="540">
        <f t="shared" si="34"/>
        <v>214.70480769230772</v>
      </c>
      <c r="H740" s="541">
        <f t="shared" si="35"/>
        <v>21901.162499999999</v>
      </c>
      <c r="I740" s="446"/>
    </row>
    <row r="741" spans="2:9" ht="26.1" hidden="1" customHeight="1" thickTop="1" thickBot="1" x14ac:dyDescent="0.4">
      <c r="B741" s="366"/>
      <c r="C741" s="452">
        <v>46161</v>
      </c>
      <c r="D741" s="451">
        <v>344</v>
      </c>
      <c r="E741" s="581" t="s">
        <v>905</v>
      </c>
      <c r="F741" s="539">
        <f t="shared" si="33"/>
        <v>2799.3</v>
      </c>
      <c r="G741" s="540">
        <f t="shared" si="34"/>
        <v>215.33076923076925</v>
      </c>
      <c r="H741" s="541">
        <f t="shared" si="35"/>
        <v>21909.3</v>
      </c>
      <c r="I741" s="446"/>
    </row>
    <row r="742" spans="2:9" ht="26.1" hidden="1" customHeight="1" thickTop="1" thickBot="1" x14ac:dyDescent="0.4">
      <c r="B742" s="366"/>
      <c r="C742" s="452">
        <v>46162</v>
      </c>
      <c r="D742" s="451">
        <v>345</v>
      </c>
      <c r="E742" s="581" t="s">
        <v>906</v>
      </c>
      <c r="F742" s="539">
        <f t="shared" si="33"/>
        <v>2807.4375000000005</v>
      </c>
      <c r="G742" s="540">
        <f t="shared" si="34"/>
        <v>215.9567307692308</v>
      </c>
      <c r="H742" s="541">
        <f t="shared" si="35"/>
        <v>21917.4375</v>
      </c>
      <c r="I742" s="446"/>
    </row>
    <row r="743" spans="2:9" ht="26.1" hidden="1" customHeight="1" thickTop="1" thickBot="1" x14ac:dyDescent="0.4">
      <c r="B743" s="366"/>
      <c r="C743" s="452">
        <v>46163</v>
      </c>
      <c r="D743" s="451">
        <v>346</v>
      </c>
      <c r="E743" s="581" t="s">
        <v>907</v>
      </c>
      <c r="F743" s="539">
        <f t="shared" si="33"/>
        <v>2815.5750000000003</v>
      </c>
      <c r="G743" s="540">
        <f t="shared" si="34"/>
        <v>216.58269230769233</v>
      </c>
      <c r="H743" s="541">
        <f t="shared" si="35"/>
        <v>21925.575000000001</v>
      </c>
      <c r="I743" s="446"/>
    </row>
    <row r="744" spans="2:9" ht="26.1" hidden="1" customHeight="1" thickTop="1" thickBot="1" x14ac:dyDescent="0.4">
      <c r="B744" s="366"/>
      <c r="C744" s="452">
        <v>46164</v>
      </c>
      <c r="D744" s="451">
        <v>347</v>
      </c>
      <c r="E744" s="581" t="s">
        <v>908</v>
      </c>
      <c r="F744" s="539">
        <f t="shared" si="33"/>
        <v>2823.7125000000005</v>
      </c>
      <c r="G744" s="540">
        <f t="shared" si="34"/>
        <v>217.20865384615388</v>
      </c>
      <c r="H744" s="541">
        <f t="shared" si="35"/>
        <v>21933.712500000001</v>
      </c>
      <c r="I744" s="446"/>
    </row>
    <row r="745" spans="2:9" ht="26.1" hidden="1" customHeight="1" thickTop="1" thickBot="1" x14ac:dyDescent="0.4">
      <c r="B745" s="366"/>
      <c r="C745" s="452">
        <v>46165</v>
      </c>
      <c r="D745" s="451">
        <v>348</v>
      </c>
      <c r="E745" s="581" t="s">
        <v>909</v>
      </c>
      <c r="F745" s="539">
        <f t="shared" si="33"/>
        <v>2831.8500000000004</v>
      </c>
      <c r="G745" s="540">
        <f t="shared" si="34"/>
        <v>217.8346153846154</v>
      </c>
      <c r="H745" s="541">
        <f t="shared" si="35"/>
        <v>21941.85</v>
      </c>
      <c r="I745" s="446"/>
    </row>
    <row r="746" spans="2:9" ht="26.1" hidden="1" customHeight="1" thickTop="1" thickBot="1" x14ac:dyDescent="0.4">
      <c r="B746" s="366"/>
      <c r="C746" s="452">
        <v>46166</v>
      </c>
      <c r="D746" s="451">
        <v>349</v>
      </c>
      <c r="E746" s="581" t="s">
        <v>910</v>
      </c>
      <c r="F746" s="539">
        <f t="shared" si="33"/>
        <v>2839.9875000000002</v>
      </c>
      <c r="G746" s="540">
        <f t="shared" si="34"/>
        <v>218.46057692307693</v>
      </c>
      <c r="H746" s="541">
        <f t="shared" si="35"/>
        <v>21949.987499999999</v>
      </c>
      <c r="I746" s="446"/>
    </row>
    <row r="747" spans="2:9" ht="26.1" hidden="1" customHeight="1" thickTop="1" thickBot="1" x14ac:dyDescent="0.4">
      <c r="B747" s="366"/>
      <c r="C747" s="452">
        <v>46167</v>
      </c>
      <c r="D747" s="451">
        <v>350</v>
      </c>
      <c r="E747" s="581" t="s">
        <v>904</v>
      </c>
      <c r="F747" s="539">
        <f t="shared" si="33"/>
        <v>2848.1250000000005</v>
      </c>
      <c r="G747" s="540">
        <f t="shared" si="34"/>
        <v>219.08653846153851</v>
      </c>
      <c r="H747" s="541">
        <f t="shared" si="35"/>
        <v>21958.125</v>
      </c>
      <c r="I747" s="446"/>
    </row>
    <row r="748" spans="2:9" ht="26.1" hidden="1" customHeight="1" thickTop="1" thickBot="1" x14ac:dyDescent="0.4">
      <c r="B748" s="366"/>
      <c r="C748" s="452">
        <v>46168</v>
      </c>
      <c r="D748" s="451">
        <v>351</v>
      </c>
      <c r="E748" s="581" t="s">
        <v>905</v>
      </c>
      <c r="F748" s="539">
        <f t="shared" si="33"/>
        <v>2856.2625000000003</v>
      </c>
      <c r="G748" s="540">
        <f t="shared" si="34"/>
        <v>219.71250000000003</v>
      </c>
      <c r="H748" s="541">
        <f t="shared" si="35"/>
        <v>21966.262500000001</v>
      </c>
      <c r="I748" s="446"/>
    </row>
    <row r="749" spans="2:9" ht="26.1" hidden="1" customHeight="1" thickTop="1" thickBot="1" x14ac:dyDescent="0.4">
      <c r="B749" s="366"/>
      <c r="C749" s="452">
        <v>46169</v>
      </c>
      <c r="D749" s="451">
        <v>352</v>
      </c>
      <c r="E749" s="581" t="s">
        <v>906</v>
      </c>
      <c r="F749" s="539">
        <f t="shared" si="33"/>
        <v>2864.4000000000005</v>
      </c>
      <c r="G749" s="540">
        <f t="shared" si="34"/>
        <v>220.33846153846159</v>
      </c>
      <c r="H749" s="541">
        <f t="shared" si="35"/>
        <v>21974.400000000001</v>
      </c>
      <c r="I749" s="446"/>
    </row>
    <row r="750" spans="2:9" ht="26.1" hidden="1" customHeight="1" thickTop="1" thickBot="1" x14ac:dyDescent="0.4">
      <c r="B750" s="366"/>
      <c r="C750" s="452">
        <v>46170</v>
      </c>
      <c r="D750" s="451">
        <v>353</v>
      </c>
      <c r="E750" s="581" t="s">
        <v>907</v>
      </c>
      <c r="F750" s="539">
        <f t="shared" si="33"/>
        <v>2872.5375000000004</v>
      </c>
      <c r="G750" s="540">
        <f t="shared" si="34"/>
        <v>220.96442307692311</v>
      </c>
      <c r="H750" s="541">
        <f t="shared" si="35"/>
        <v>21982.537499999999</v>
      </c>
      <c r="I750" s="446"/>
    </row>
    <row r="751" spans="2:9" ht="26.1" hidden="1" customHeight="1" thickTop="1" thickBot="1" x14ac:dyDescent="0.4">
      <c r="B751" s="366"/>
      <c r="C751" s="452">
        <v>46171</v>
      </c>
      <c r="D751" s="451">
        <v>354</v>
      </c>
      <c r="E751" s="581" t="s">
        <v>908</v>
      </c>
      <c r="F751" s="539">
        <f t="shared" si="33"/>
        <v>2880.6750000000002</v>
      </c>
      <c r="G751" s="540">
        <f t="shared" si="34"/>
        <v>221.59038461538464</v>
      </c>
      <c r="H751" s="541">
        <f t="shared" si="35"/>
        <v>21990.674999999999</v>
      </c>
      <c r="I751" s="446"/>
    </row>
    <row r="752" spans="2:9" ht="26.1" hidden="1" customHeight="1" thickTop="1" thickBot="1" x14ac:dyDescent="0.4">
      <c r="B752" s="366"/>
      <c r="C752" s="452">
        <v>46172</v>
      </c>
      <c r="D752" s="451">
        <v>355</v>
      </c>
      <c r="E752" s="581" t="s">
        <v>909</v>
      </c>
      <c r="F752" s="539">
        <f t="shared" si="33"/>
        <v>2888.8125000000005</v>
      </c>
      <c r="G752" s="540">
        <f t="shared" si="34"/>
        <v>222.21634615384619</v>
      </c>
      <c r="H752" s="541">
        <f t="shared" si="35"/>
        <v>21998.8125</v>
      </c>
      <c r="I752" s="446"/>
    </row>
    <row r="753" spans="2:9" ht="26.1" hidden="1" customHeight="1" thickTop="1" thickBot="1" x14ac:dyDescent="0.4">
      <c r="B753" s="366"/>
      <c r="C753" s="452">
        <v>46173</v>
      </c>
      <c r="D753" s="451">
        <v>356</v>
      </c>
      <c r="E753" s="581" t="s">
        <v>910</v>
      </c>
      <c r="F753" s="539">
        <f t="shared" si="33"/>
        <v>2896.9500000000003</v>
      </c>
      <c r="G753" s="540">
        <f t="shared" si="34"/>
        <v>222.84230769230771</v>
      </c>
      <c r="H753" s="541">
        <f t="shared" si="35"/>
        <v>22006.95</v>
      </c>
      <c r="I753" s="446"/>
    </row>
    <row r="754" spans="2:9" ht="26.1" hidden="1" customHeight="1" thickTop="1" thickBot="1" x14ac:dyDescent="0.4">
      <c r="B754" s="366"/>
      <c r="C754" s="452">
        <v>46174</v>
      </c>
      <c r="D754" s="451">
        <v>357</v>
      </c>
      <c r="E754" s="581" t="s">
        <v>904</v>
      </c>
      <c r="F754" s="539">
        <f t="shared" si="33"/>
        <v>2905.0875000000005</v>
      </c>
      <c r="G754" s="540">
        <f t="shared" si="34"/>
        <v>223.46826923076927</v>
      </c>
      <c r="H754" s="541">
        <f t="shared" si="35"/>
        <v>22015.087500000001</v>
      </c>
      <c r="I754" s="446"/>
    </row>
    <row r="755" spans="2:9" ht="26.1" hidden="1" customHeight="1" thickTop="1" thickBot="1" x14ac:dyDescent="0.4">
      <c r="B755" s="366"/>
      <c r="C755" s="452">
        <v>46175</v>
      </c>
      <c r="D755" s="451">
        <v>358</v>
      </c>
      <c r="E755" s="581" t="s">
        <v>905</v>
      </c>
      <c r="F755" s="539">
        <f t="shared" si="33"/>
        <v>2913.2250000000004</v>
      </c>
      <c r="G755" s="540">
        <f t="shared" si="34"/>
        <v>224.09423076923079</v>
      </c>
      <c r="H755" s="541">
        <f t="shared" si="35"/>
        <v>22023.224999999999</v>
      </c>
      <c r="I755" s="446"/>
    </row>
    <row r="756" spans="2:9" ht="26.1" hidden="1" customHeight="1" thickTop="1" thickBot="1" x14ac:dyDescent="0.4">
      <c r="B756" s="366"/>
      <c r="C756" s="452">
        <v>46176</v>
      </c>
      <c r="D756" s="451">
        <v>359</v>
      </c>
      <c r="E756" s="581" t="s">
        <v>906</v>
      </c>
      <c r="F756" s="539">
        <f t="shared" si="33"/>
        <v>2921.3625000000002</v>
      </c>
      <c r="G756" s="540">
        <f t="shared" si="34"/>
        <v>224.72019230769232</v>
      </c>
      <c r="H756" s="541">
        <f t="shared" si="35"/>
        <v>22031.362499999999</v>
      </c>
      <c r="I756" s="446"/>
    </row>
    <row r="757" spans="2:9" ht="26.1" hidden="1" customHeight="1" thickTop="1" thickBot="1" x14ac:dyDescent="0.4">
      <c r="B757" s="366"/>
      <c r="C757" s="452">
        <v>46177</v>
      </c>
      <c r="D757" s="451">
        <v>360</v>
      </c>
      <c r="E757" s="581" t="s">
        <v>907</v>
      </c>
      <c r="F757" s="539">
        <f t="shared" si="33"/>
        <v>2929.5000000000005</v>
      </c>
      <c r="G757" s="540">
        <f t="shared" si="34"/>
        <v>225.34615384615387</v>
      </c>
      <c r="H757" s="541">
        <f t="shared" si="35"/>
        <v>22039.5</v>
      </c>
      <c r="I757" s="446"/>
    </row>
    <row r="758" spans="2:9" ht="26.1" hidden="1" customHeight="1" thickTop="1" thickBot="1" x14ac:dyDescent="0.4">
      <c r="B758" s="366"/>
      <c r="C758" s="452">
        <v>46178</v>
      </c>
      <c r="D758" s="451">
        <v>361</v>
      </c>
      <c r="E758" s="581" t="s">
        <v>908</v>
      </c>
      <c r="F758" s="539">
        <f t="shared" si="33"/>
        <v>2937.6375000000003</v>
      </c>
      <c r="G758" s="540">
        <f t="shared" si="34"/>
        <v>225.97211538461539</v>
      </c>
      <c r="H758" s="541">
        <f t="shared" si="35"/>
        <v>22047.637500000001</v>
      </c>
      <c r="I758" s="446"/>
    </row>
    <row r="759" spans="2:9" ht="26.1" hidden="1" customHeight="1" thickTop="1" thickBot="1" x14ac:dyDescent="0.4">
      <c r="B759" s="366"/>
      <c r="C759" s="452">
        <v>46179</v>
      </c>
      <c r="D759" s="451">
        <v>362</v>
      </c>
      <c r="E759" s="581" t="s">
        <v>909</v>
      </c>
      <c r="F759" s="539">
        <f t="shared" si="33"/>
        <v>2945.7750000000005</v>
      </c>
      <c r="G759" s="540">
        <f t="shared" si="34"/>
        <v>226.59807692307697</v>
      </c>
      <c r="H759" s="541">
        <f t="shared" si="35"/>
        <v>22055.775000000001</v>
      </c>
      <c r="I759" s="446"/>
    </row>
    <row r="760" spans="2:9" ht="26.1" hidden="1" customHeight="1" thickTop="1" thickBot="1" x14ac:dyDescent="0.4">
      <c r="B760" s="366"/>
      <c r="C760" s="452">
        <v>46180</v>
      </c>
      <c r="D760" s="451">
        <v>363</v>
      </c>
      <c r="E760" s="581" t="s">
        <v>910</v>
      </c>
      <c r="F760" s="539">
        <f t="shared" si="33"/>
        <v>2953.9125000000004</v>
      </c>
      <c r="G760" s="540">
        <f t="shared" si="34"/>
        <v>227.2240384615385</v>
      </c>
      <c r="H760" s="541">
        <f t="shared" si="35"/>
        <v>22063.912499999999</v>
      </c>
      <c r="I760" s="446"/>
    </row>
    <row r="761" spans="2:9" ht="26.1" hidden="1" customHeight="1" thickTop="1" thickBot="1" x14ac:dyDescent="0.4">
      <c r="B761" s="366"/>
      <c r="C761" s="452">
        <v>46181</v>
      </c>
      <c r="D761" s="451">
        <v>364</v>
      </c>
      <c r="E761" s="581" t="s">
        <v>904</v>
      </c>
      <c r="F761" s="539">
        <f t="shared" si="33"/>
        <v>2962.05</v>
      </c>
      <c r="G761" s="540">
        <f t="shared" si="34"/>
        <v>227.85000000000002</v>
      </c>
      <c r="H761" s="541">
        <f t="shared" si="35"/>
        <v>22072.05</v>
      </c>
      <c r="I761" s="447"/>
    </row>
    <row r="762" spans="2:9" ht="5.0999999999999996" hidden="1" customHeight="1" thickTop="1" thickBot="1" x14ac:dyDescent="0.35">
      <c r="B762" s="365"/>
      <c r="C762" s="419"/>
      <c r="D762" s="420"/>
      <c r="E762" s="419"/>
      <c r="F762" s="450"/>
      <c r="G762" s="450"/>
      <c r="H762" s="450"/>
      <c r="I762" s="354"/>
    </row>
    <row r="763" spans="2:9" hidden="1" x14ac:dyDescent="0.3">
      <c r="G763" s="12"/>
    </row>
  </sheetData>
  <mergeCells count="8">
    <mergeCell ref="G389:H389"/>
    <mergeCell ref="G390:H390"/>
    <mergeCell ref="C4:H4"/>
    <mergeCell ref="C386:H386"/>
    <mergeCell ref="C5:H5"/>
    <mergeCell ref="G7:H7"/>
    <mergeCell ref="G8:H8"/>
    <mergeCell ref="C387:H387"/>
  </mergeCells>
  <phoneticPr fontId="27" type="noConversion"/>
  <dataValidations count="2">
    <dataValidation type="list" allowBlank="1" showInputMessage="1" showErrorMessage="1" sqref="G7:H7" xr:uid="{4F28E3A0-72CF-4534-8F5D-DFC2189030DA}">
      <formula1>$C$16:$C$379</formula1>
    </dataValidation>
    <dataValidation type="list" allowBlank="1" showInputMessage="1" showErrorMessage="1" sqref="G389:H389" xr:uid="{72F0CC70-5934-4230-95DA-5E36F74AED73}">
      <formula1>$C$398:$C$761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4EDBEA-7474-4C1B-AAB9-4457A7397D69}">
          <x14:formula1>
            <xm:f>'B O G SHARES DEVIDENT '!$C$8:$C$20</xm:f>
          </x14:formula1>
          <xm:sqref>C4 C386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C084-6294-4C3E-84D6-36699F1A9FE7}">
  <sheetPr>
    <tabColor rgb="FFFFFF00"/>
  </sheetPr>
  <dimension ref="B1:L762"/>
  <sheetViews>
    <sheetView workbookViewId="0"/>
  </sheetViews>
  <sheetFormatPr defaultRowHeight="20.25" x14ac:dyDescent="0.3"/>
  <cols>
    <col min="1" max="1" width="4.42578125" style="12" customWidth="1"/>
    <col min="2" max="2" width="0.85546875" style="12" customWidth="1"/>
    <col min="3" max="3" width="27.28515625" style="352" bestFit="1" customWidth="1"/>
    <col min="4" max="4" width="25.42578125" style="352" bestFit="1" customWidth="1"/>
    <col min="5" max="5" width="29" style="352" bestFit="1" customWidth="1"/>
    <col min="6" max="6" width="24.85546875" style="12" bestFit="1" customWidth="1"/>
    <col min="7" max="7" width="24.85546875" style="352" bestFit="1" customWidth="1"/>
    <col min="8" max="8" width="25.42578125" style="12" bestFit="1" customWidth="1"/>
    <col min="9" max="9" width="0.85546875" style="12" customWidth="1"/>
    <col min="10" max="10" width="9.140625" style="12"/>
    <col min="11" max="11" width="12.7109375" style="12" bestFit="1" customWidth="1"/>
    <col min="12" max="12" width="26.28515625" style="12" customWidth="1"/>
    <col min="13" max="16384" width="9.140625" style="12"/>
  </cols>
  <sheetData>
    <row r="1" spans="2:12" s="216" customFormat="1" ht="20.25" customHeight="1" x14ac:dyDescent="0.25">
      <c r="B1" s="371"/>
    </row>
    <row r="2" spans="2:12" ht="21" thickBot="1" x14ac:dyDescent="0.35"/>
    <row r="3" spans="2:12" ht="5.0999999999999996" customHeight="1" thickBot="1" x14ac:dyDescent="0.35">
      <c r="B3" s="463"/>
      <c r="C3" s="368"/>
      <c r="D3" s="368"/>
      <c r="E3" s="368"/>
      <c r="F3" s="369"/>
      <c r="G3" s="368"/>
      <c r="H3" s="369"/>
      <c r="I3" s="354"/>
    </row>
    <row r="4" spans="2:12" s="383" customFormat="1" ht="70.5" customHeight="1" thickBot="1" x14ac:dyDescent="0.3">
      <c r="B4" s="384"/>
      <c r="C4" s="1107" t="s">
        <v>512</v>
      </c>
      <c r="D4" s="1108"/>
      <c r="E4" s="1108"/>
      <c r="F4" s="1108"/>
      <c r="G4" s="1108"/>
      <c r="H4" s="1108"/>
      <c r="I4" s="588"/>
    </row>
    <row r="5" spans="2:12" s="70" customFormat="1" ht="48" thickTop="1" thickBot="1" x14ac:dyDescent="0.8">
      <c r="B5" s="592"/>
      <c r="C5" s="1106" t="s">
        <v>971</v>
      </c>
      <c r="D5" s="1106"/>
      <c r="E5" s="1106"/>
      <c r="F5" s="1106"/>
      <c r="G5" s="1106"/>
      <c r="H5" s="1106"/>
      <c r="I5" s="590"/>
    </row>
    <row r="6" spans="2:12" ht="5.0999999999999996" customHeight="1" thickBot="1" x14ac:dyDescent="0.35">
      <c r="B6" s="353"/>
      <c r="C6" s="545"/>
      <c r="D6" s="546"/>
      <c r="E6" s="546"/>
      <c r="F6" s="547"/>
      <c r="G6" s="545"/>
      <c r="H6" s="547"/>
      <c r="I6" s="369"/>
    </row>
    <row r="7" spans="2:12" s="355" customFormat="1" ht="48" customHeight="1" thickBot="1" x14ac:dyDescent="0.3">
      <c r="B7" s="356"/>
      <c r="C7" s="456" t="s">
        <v>919</v>
      </c>
      <c r="D7" s="457" t="s">
        <v>920</v>
      </c>
      <c r="E7" s="538" t="s">
        <v>969</v>
      </c>
      <c r="F7" s="457" t="s">
        <v>991</v>
      </c>
      <c r="G7" s="1111">
        <v>46069</v>
      </c>
      <c r="H7" s="1112"/>
      <c r="I7" s="440"/>
    </row>
    <row r="8" spans="2:12" s="64" customFormat="1" ht="48" customHeight="1" thickTop="1" thickBot="1" x14ac:dyDescent="0.4">
      <c r="B8" s="357"/>
      <c r="C8" s="443">
        <v>11013.71</v>
      </c>
      <c r="D8" s="444">
        <v>0.28499999999999998</v>
      </c>
      <c r="E8" s="544">
        <f>C8*D8</f>
        <v>3138.9073499999995</v>
      </c>
      <c r="F8" s="445">
        <f>C8+E8</f>
        <v>14152.617349999999</v>
      </c>
      <c r="G8" s="1113" t="str">
        <f>VLOOKUP($G7,$C$16:$H$379,3,0)</f>
        <v>MONDAY</v>
      </c>
      <c r="H8" s="1114"/>
      <c r="I8" s="441" t="e">
        <f>B8/#REF!</f>
        <v>#REF!</v>
      </c>
    </row>
    <row r="9" spans="2:12" s="64" customFormat="1" ht="62.25" thickTop="1" thickBot="1" x14ac:dyDescent="0.4">
      <c r="B9" s="357"/>
      <c r="C9" s="459" t="s">
        <v>976</v>
      </c>
      <c r="D9" s="457" t="s">
        <v>973</v>
      </c>
      <c r="E9" s="457" t="s">
        <v>974</v>
      </c>
      <c r="F9" s="458" t="s">
        <v>970</v>
      </c>
      <c r="G9" s="549" t="s">
        <v>943</v>
      </c>
      <c r="H9" s="551" t="s">
        <v>968</v>
      </c>
      <c r="I9" s="441"/>
    </row>
    <row r="10" spans="2:12" s="64" customFormat="1" ht="48" customHeight="1" thickTop="1" thickBot="1" x14ac:dyDescent="0.4">
      <c r="B10" s="357"/>
      <c r="C10" s="567" t="s">
        <v>992</v>
      </c>
      <c r="D10" s="568">
        <f>C16</f>
        <v>45706</v>
      </c>
      <c r="E10" s="568">
        <f>C379</f>
        <v>46069</v>
      </c>
      <c r="F10" s="471">
        <v>364</v>
      </c>
      <c r="G10" s="550">
        <f>VLOOKUP($G7,$C$16:$H$379,2,0)</f>
        <v>364</v>
      </c>
      <c r="H10" s="552">
        <f>F10-G10</f>
        <v>0</v>
      </c>
      <c r="I10" s="441"/>
    </row>
    <row r="11" spans="2:12" s="462" customFormat="1" ht="78" customHeight="1" thickTop="1" thickBot="1" x14ac:dyDescent="0.35">
      <c r="B11" s="460"/>
      <c r="C11" s="553" t="s">
        <v>975</v>
      </c>
      <c r="D11" s="555" t="s">
        <v>987</v>
      </c>
      <c r="E11" s="555" t="s">
        <v>988</v>
      </c>
      <c r="F11" s="557" t="s">
        <v>914</v>
      </c>
      <c r="G11" s="556" t="s">
        <v>993</v>
      </c>
      <c r="H11" s="554" t="s">
        <v>989</v>
      </c>
      <c r="I11" s="461"/>
    </row>
    <row r="12" spans="2:12" ht="51" customHeight="1" thickTop="1" thickBot="1" x14ac:dyDescent="0.35">
      <c r="B12" s="366"/>
      <c r="C12" s="564">
        <f>'B O G SHARES DEVIDENT '!B43</f>
        <v>12</v>
      </c>
      <c r="D12" s="566">
        <f>VLOOKUP($G7,$C$16:$H$379,4,0)</f>
        <v>3138.90735</v>
      </c>
      <c r="E12" s="566">
        <f>D12/$C$12</f>
        <v>261.57561249999998</v>
      </c>
      <c r="F12" s="565">
        <f>D12+C8</f>
        <v>14152.617349999999</v>
      </c>
      <c r="G12" s="566">
        <f>E12</f>
        <v>261.57561249999998</v>
      </c>
      <c r="H12" s="565">
        <f>D12</f>
        <v>3138.90735</v>
      </c>
      <c r="I12" s="542"/>
      <c r="L12" s="12" t="s">
        <v>653</v>
      </c>
    </row>
    <row r="13" spans="2:12" ht="5.0999999999999996" customHeight="1" thickTop="1" thickBot="1" x14ac:dyDescent="0.35">
      <c r="B13" s="358"/>
      <c r="C13" s="558"/>
      <c r="D13" s="559"/>
      <c r="E13" s="560"/>
      <c r="F13" s="561"/>
      <c r="G13" s="562"/>
      <c r="H13" s="563"/>
      <c r="I13" s="364"/>
    </row>
    <row r="14" spans="2:12" s="383" customFormat="1" ht="70.5" hidden="1" customHeight="1" thickBot="1" x14ac:dyDescent="0.3">
      <c r="B14" s="384"/>
      <c r="C14" s="543" t="s">
        <v>51</v>
      </c>
      <c r="D14" s="543" t="s">
        <v>903</v>
      </c>
      <c r="E14" s="543" t="s">
        <v>921</v>
      </c>
      <c r="F14" s="543" t="s">
        <v>986</v>
      </c>
      <c r="G14" s="543" t="s">
        <v>966</v>
      </c>
      <c r="H14" s="543" t="s">
        <v>1</v>
      </c>
      <c r="I14" s="442"/>
    </row>
    <row r="15" spans="2:12" s="383" customFormat="1" ht="5.0999999999999996" hidden="1" customHeight="1" thickTop="1" thickBot="1" x14ac:dyDescent="0.3">
      <c r="B15" s="384"/>
      <c r="C15" s="448"/>
      <c r="D15" s="449"/>
      <c r="E15" s="449"/>
      <c r="F15" s="449"/>
      <c r="G15" s="449"/>
      <c r="H15" s="449"/>
      <c r="I15" s="385"/>
    </row>
    <row r="16" spans="2:12" ht="26.1" hidden="1" customHeight="1" thickBot="1" x14ac:dyDescent="0.4">
      <c r="B16" s="366"/>
      <c r="C16" s="452">
        <v>45706</v>
      </c>
      <c r="D16" s="453">
        <v>1</v>
      </c>
      <c r="E16" s="454" t="s">
        <v>905</v>
      </c>
      <c r="F16" s="539">
        <f t="shared" ref="F16:F79" si="0">$E$8/$F$10*D16</f>
        <v>8.62337184065934</v>
      </c>
      <c r="G16" s="540">
        <f t="shared" ref="G16:G79" si="1">F16/$C$12</f>
        <v>0.71861432005494497</v>
      </c>
      <c r="H16" s="541">
        <f>$C$8+F16</f>
        <v>11022.333371840659</v>
      </c>
      <c r="I16" s="446"/>
    </row>
    <row r="17" spans="2:9" ht="26.1" hidden="1" customHeight="1" thickTop="1" thickBot="1" x14ac:dyDescent="0.4">
      <c r="B17" s="366"/>
      <c r="C17" s="452">
        <v>45707</v>
      </c>
      <c r="D17" s="451">
        <v>2</v>
      </c>
      <c r="E17" s="454" t="s">
        <v>906</v>
      </c>
      <c r="F17" s="539">
        <f t="shared" si="0"/>
        <v>17.24674368131868</v>
      </c>
      <c r="G17" s="540">
        <f t="shared" si="1"/>
        <v>1.4372286401098899</v>
      </c>
      <c r="H17" s="541">
        <f t="shared" ref="H17:H80" si="2">$C$8+F17</f>
        <v>11030.956743681318</v>
      </c>
      <c r="I17" s="446"/>
    </row>
    <row r="18" spans="2:9" ht="26.1" hidden="1" customHeight="1" thickTop="1" thickBot="1" x14ac:dyDescent="0.4">
      <c r="B18" s="366"/>
      <c r="C18" s="452">
        <v>45708</v>
      </c>
      <c r="D18" s="451">
        <v>3</v>
      </c>
      <c r="E18" s="454" t="s">
        <v>907</v>
      </c>
      <c r="F18" s="539">
        <f t="shared" si="0"/>
        <v>25.870115521978022</v>
      </c>
      <c r="G18" s="540">
        <f t="shared" si="1"/>
        <v>2.155842960164835</v>
      </c>
      <c r="H18" s="541">
        <f t="shared" si="2"/>
        <v>11039.580115521978</v>
      </c>
      <c r="I18" s="446"/>
    </row>
    <row r="19" spans="2:9" ht="26.1" hidden="1" customHeight="1" thickTop="1" thickBot="1" x14ac:dyDescent="0.4">
      <c r="B19" s="366"/>
      <c r="C19" s="452">
        <v>45709</v>
      </c>
      <c r="D19" s="451">
        <v>4</v>
      </c>
      <c r="E19" s="454" t="s">
        <v>908</v>
      </c>
      <c r="F19" s="539">
        <f t="shared" si="0"/>
        <v>34.49348736263736</v>
      </c>
      <c r="G19" s="540">
        <f t="shared" si="1"/>
        <v>2.8744572802197799</v>
      </c>
      <c r="H19" s="541">
        <f t="shared" si="2"/>
        <v>11048.203487362636</v>
      </c>
      <c r="I19" s="446"/>
    </row>
    <row r="20" spans="2:9" ht="26.1" hidden="1" customHeight="1" thickTop="1" thickBot="1" x14ac:dyDescent="0.4">
      <c r="B20" s="366"/>
      <c r="C20" s="452">
        <v>45710</v>
      </c>
      <c r="D20" s="451">
        <v>5</v>
      </c>
      <c r="E20" s="454" t="s">
        <v>909</v>
      </c>
      <c r="F20" s="539">
        <f t="shared" si="0"/>
        <v>43.116859203296698</v>
      </c>
      <c r="G20" s="540">
        <f t="shared" si="1"/>
        <v>3.5930716002747247</v>
      </c>
      <c r="H20" s="541">
        <f t="shared" si="2"/>
        <v>11056.826859203296</v>
      </c>
      <c r="I20" s="446"/>
    </row>
    <row r="21" spans="2:9" ht="26.1" hidden="1" customHeight="1" thickTop="1" thickBot="1" x14ac:dyDescent="0.4">
      <c r="B21" s="366"/>
      <c r="C21" s="452">
        <v>45711</v>
      </c>
      <c r="D21" s="451">
        <v>6</v>
      </c>
      <c r="E21" s="454" t="s">
        <v>910</v>
      </c>
      <c r="F21" s="539">
        <f t="shared" si="0"/>
        <v>51.740231043956044</v>
      </c>
      <c r="G21" s="540">
        <f t="shared" si="1"/>
        <v>4.31168592032967</v>
      </c>
      <c r="H21" s="541">
        <f t="shared" si="2"/>
        <v>11065.450231043955</v>
      </c>
      <c r="I21" s="446"/>
    </row>
    <row r="22" spans="2:9" ht="26.1" hidden="1" customHeight="1" thickTop="1" thickBot="1" x14ac:dyDescent="0.4">
      <c r="B22" s="366"/>
      <c r="C22" s="452">
        <v>45712</v>
      </c>
      <c r="D22" s="451">
        <v>7</v>
      </c>
      <c r="E22" s="454" t="s">
        <v>904</v>
      </c>
      <c r="F22" s="539">
        <f t="shared" si="0"/>
        <v>60.363602884615382</v>
      </c>
      <c r="G22" s="540">
        <f t="shared" si="1"/>
        <v>5.0303002403846149</v>
      </c>
      <c r="H22" s="541">
        <f t="shared" si="2"/>
        <v>11074.073602884615</v>
      </c>
      <c r="I22" s="446"/>
    </row>
    <row r="23" spans="2:9" ht="26.1" hidden="1" customHeight="1" thickTop="1" thickBot="1" x14ac:dyDescent="0.4">
      <c r="B23" s="366"/>
      <c r="C23" s="452">
        <v>45713</v>
      </c>
      <c r="D23" s="451">
        <v>8</v>
      </c>
      <c r="E23" s="454" t="s">
        <v>905</v>
      </c>
      <c r="F23" s="539">
        <f t="shared" si="0"/>
        <v>68.98697472527472</v>
      </c>
      <c r="G23" s="540">
        <f t="shared" si="1"/>
        <v>5.7489145604395597</v>
      </c>
      <c r="H23" s="541">
        <f t="shared" si="2"/>
        <v>11082.696974725273</v>
      </c>
      <c r="I23" s="446"/>
    </row>
    <row r="24" spans="2:9" ht="26.1" hidden="1" customHeight="1" thickTop="1" thickBot="1" x14ac:dyDescent="0.4">
      <c r="B24" s="366"/>
      <c r="C24" s="452">
        <v>45714</v>
      </c>
      <c r="D24" s="451">
        <v>9</v>
      </c>
      <c r="E24" s="454" t="s">
        <v>906</v>
      </c>
      <c r="F24" s="539">
        <f t="shared" si="0"/>
        <v>77.610346565934066</v>
      </c>
      <c r="G24" s="540">
        <f t="shared" si="1"/>
        <v>6.4675288804945055</v>
      </c>
      <c r="H24" s="541">
        <f t="shared" si="2"/>
        <v>11091.320346565934</v>
      </c>
      <c r="I24" s="446"/>
    </row>
    <row r="25" spans="2:9" ht="26.1" hidden="1" customHeight="1" thickTop="1" thickBot="1" x14ac:dyDescent="0.4">
      <c r="B25" s="366"/>
      <c r="C25" s="452">
        <v>45715</v>
      </c>
      <c r="D25" s="451">
        <v>10</v>
      </c>
      <c r="E25" s="454" t="s">
        <v>907</v>
      </c>
      <c r="F25" s="539">
        <f t="shared" si="0"/>
        <v>86.233718406593397</v>
      </c>
      <c r="G25" s="540">
        <f t="shared" si="1"/>
        <v>7.1861432005494494</v>
      </c>
      <c r="H25" s="541">
        <f t="shared" si="2"/>
        <v>11099.943718406592</v>
      </c>
      <c r="I25" s="446"/>
    </row>
    <row r="26" spans="2:9" ht="26.1" hidden="1" customHeight="1" thickTop="1" thickBot="1" x14ac:dyDescent="0.4">
      <c r="B26" s="366"/>
      <c r="C26" s="452">
        <v>45716</v>
      </c>
      <c r="D26" s="451">
        <v>11</v>
      </c>
      <c r="E26" s="454" t="s">
        <v>908</v>
      </c>
      <c r="F26" s="539">
        <f t="shared" si="0"/>
        <v>94.857090247252742</v>
      </c>
      <c r="G26" s="540">
        <f t="shared" si="1"/>
        <v>7.9047575206043952</v>
      </c>
      <c r="H26" s="541">
        <f t="shared" si="2"/>
        <v>11108.567090247252</v>
      </c>
      <c r="I26" s="446"/>
    </row>
    <row r="27" spans="2:9" ht="26.1" hidden="1" customHeight="1" thickTop="1" thickBot="1" x14ac:dyDescent="0.4">
      <c r="B27" s="366"/>
      <c r="C27" s="452">
        <v>45717</v>
      </c>
      <c r="D27" s="451">
        <v>12</v>
      </c>
      <c r="E27" s="454" t="s">
        <v>909</v>
      </c>
      <c r="F27" s="539">
        <f t="shared" si="0"/>
        <v>103.48046208791209</v>
      </c>
      <c r="G27" s="540">
        <f t="shared" si="1"/>
        <v>8.62337184065934</v>
      </c>
      <c r="H27" s="541">
        <f t="shared" si="2"/>
        <v>11117.19046208791</v>
      </c>
      <c r="I27" s="446"/>
    </row>
    <row r="28" spans="2:9" ht="26.1" hidden="1" customHeight="1" thickTop="1" thickBot="1" x14ac:dyDescent="0.4">
      <c r="B28" s="366"/>
      <c r="C28" s="452">
        <v>45718</v>
      </c>
      <c r="D28" s="451">
        <v>13</v>
      </c>
      <c r="E28" s="454" t="s">
        <v>910</v>
      </c>
      <c r="F28" s="539">
        <f t="shared" si="0"/>
        <v>112.10383392857142</v>
      </c>
      <c r="G28" s="540">
        <f t="shared" si="1"/>
        <v>9.3419861607142849</v>
      </c>
      <c r="H28" s="541">
        <f t="shared" si="2"/>
        <v>11125.813833928571</v>
      </c>
      <c r="I28" s="446"/>
    </row>
    <row r="29" spans="2:9" ht="26.1" hidden="1" customHeight="1" thickTop="1" thickBot="1" x14ac:dyDescent="0.4">
      <c r="B29" s="366"/>
      <c r="C29" s="452">
        <v>45719</v>
      </c>
      <c r="D29" s="451">
        <v>14</v>
      </c>
      <c r="E29" s="454" t="s">
        <v>904</v>
      </c>
      <c r="F29" s="539">
        <f t="shared" si="0"/>
        <v>120.72720576923076</v>
      </c>
      <c r="G29" s="540">
        <f t="shared" si="1"/>
        <v>10.06060048076923</v>
      </c>
      <c r="H29" s="541">
        <f t="shared" si="2"/>
        <v>11134.437205769231</v>
      </c>
      <c r="I29" s="446"/>
    </row>
    <row r="30" spans="2:9" ht="26.1" hidden="1" customHeight="1" thickTop="1" thickBot="1" x14ac:dyDescent="0.4">
      <c r="B30" s="366"/>
      <c r="C30" s="452">
        <v>45720</v>
      </c>
      <c r="D30" s="451">
        <v>15</v>
      </c>
      <c r="E30" s="454" t="s">
        <v>905</v>
      </c>
      <c r="F30" s="539">
        <f t="shared" si="0"/>
        <v>129.35057760989011</v>
      </c>
      <c r="G30" s="540">
        <f t="shared" si="1"/>
        <v>10.779214800824176</v>
      </c>
      <c r="H30" s="541">
        <f t="shared" si="2"/>
        <v>11143.060577609889</v>
      </c>
      <c r="I30" s="446"/>
    </row>
    <row r="31" spans="2:9" ht="26.1" hidden="1" customHeight="1" thickTop="1" thickBot="1" x14ac:dyDescent="0.4">
      <c r="B31" s="366"/>
      <c r="C31" s="452">
        <v>45721</v>
      </c>
      <c r="D31" s="451">
        <v>16</v>
      </c>
      <c r="E31" s="454" t="s">
        <v>906</v>
      </c>
      <c r="F31" s="539">
        <f t="shared" si="0"/>
        <v>137.97394945054944</v>
      </c>
      <c r="G31" s="540">
        <f t="shared" si="1"/>
        <v>11.497829120879119</v>
      </c>
      <c r="H31" s="541">
        <f t="shared" si="2"/>
        <v>11151.683949450549</v>
      </c>
      <c r="I31" s="446"/>
    </row>
    <row r="32" spans="2:9" ht="26.1" hidden="1" customHeight="1" thickTop="1" thickBot="1" x14ac:dyDescent="0.4">
      <c r="B32" s="366"/>
      <c r="C32" s="452">
        <v>45722</v>
      </c>
      <c r="D32" s="451">
        <v>17</v>
      </c>
      <c r="E32" s="454" t="s">
        <v>907</v>
      </c>
      <c r="F32" s="539">
        <f t="shared" si="0"/>
        <v>146.59732129120877</v>
      </c>
      <c r="G32" s="540">
        <f t="shared" si="1"/>
        <v>12.216443440934064</v>
      </c>
      <c r="H32" s="541">
        <f t="shared" si="2"/>
        <v>11160.307321291208</v>
      </c>
      <c r="I32" s="446"/>
    </row>
    <row r="33" spans="2:9" ht="26.1" hidden="1" customHeight="1" thickTop="1" thickBot="1" x14ac:dyDescent="0.4">
      <c r="B33" s="366"/>
      <c r="C33" s="452">
        <v>45723</v>
      </c>
      <c r="D33" s="451">
        <v>18</v>
      </c>
      <c r="E33" s="454" t="s">
        <v>908</v>
      </c>
      <c r="F33" s="539">
        <f t="shared" si="0"/>
        <v>155.22069313186813</v>
      </c>
      <c r="G33" s="540">
        <f t="shared" si="1"/>
        <v>12.935057760989011</v>
      </c>
      <c r="H33" s="541">
        <f t="shared" si="2"/>
        <v>11168.930693131868</v>
      </c>
      <c r="I33" s="446"/>
    </row>
    <row r="34" spans="2:9" ht="26.1" hidden="1" customHeight="1" thickTop="1" thickBot="1" x14ac:dyDescent="0.4">
      <c r="B34" s="366"/>
      <c r="C34" s="452">
        <v>45724</v>
      </c>
      <c r="D34" s="451">
        <v>19</v>
      </c>
      <c r="E34" s="454" t="s">
        <v>909</v>
      </c>
      <c r="F34" s="539">
        <f t="shared" si="0"/>
        <v>163.84406497252746</v>
      </c>
      <c r="G34" s="540">
        <f t="shared" si="1"/>
        <v>13.653672081043956</v>
      </c>
      <c r="H34" s="541">
        <f t="shared" si="2"/>
        <v>11177.554064972526</v>
      </c>
      <c r="I34" s="446"/>
    </row>
    <row r="35" spans="2:9" ht="26.1" hidden="1" customHeight="1" thickTop="1" thickBot="1" x14ac:dyDescent="0.4">
      <c r="B35" s="366"/>
      <c r="C35" s="452">
        <v>45725</v>
      </c>
      <c r="D35" s="451">
        <v>20</v>
      </c>
      <c r="E35" s="454" t="s">
        <v>910</v>
      </c>
      <c r="F35" s="539">
        <f t="shared" si="0"/>
        <v>172.46743681318679</v>
      </c>
      <c r="G35" s="540">
        <f t="shared" si="1"/>
        <v>14.372286401098899</v>
      </c>
      <c r="H35" s="541">
        <f t="shared" si="2"/>
        <v>11186.177436813186</v>
      </c>
      <c r="I35" s="446"/>
    </row>
    <row r="36" spans="2:9" ht="26.1" hidden="1" customHeight="1" thickTop="1" thickBot="1" x14ac:dyDescent="0.4">
      <c r="B36" s="366"/>
      <c r="C36" s="452">
        <v>45726</v>
      </c>
      <c r="D36" s="451">
        <v>21</v>
      </c>
      <c r="E36" s="454" t="s">
        <v>904</v>
      </c>
      <c r="F36" s="539">
        <f t="shared" si="0"/>
        <v>181.09080865384615</v>
      </c>
      <c r="G36" s="540">
        <f t="shared" si="1"/>
        <v>15.090900721153846</v>
      </c>
      <c r="H36" s="541">
        <f t="shared" si="2"/>
        <v>11194.800808653845</v>
      </c>
      <c r="I36" s="446"/>
    </row>
    <row r="37" spans="2:9" ht="26.1" hidden="1" customHeight="1" thickTop="1" thickBot="1" x14ac:dyDescent="0.4">
      <c r="B37" s="366"/>
      <c r="C37" s="452">
        <v>45727</v>
      </c>
      <c r="D37" s="451">
        <v>22</v>
      </c>
      <c r="E37" s="454" t="s">
        <v>905</v>
      </c>
      <c r="F37" s="539">
        <f t="shared" si="0"/>
        <v>189.71418049450548</v>
      </c>
      <c r="G37" s="540">
        <f t="shared" si="1"/>
        <v>15.80951504120879</v>
      </c>
      <c r="H37" s="541">
        <f t="shared" si="2"/>
        <v>11203.424180494505</v>
      </c>
      <c r="I37" s="446"/>
    </row>
    <row r="38" spans="2:9" ht="26.1" hidden="1" customHeight="1" thickTop="1" thickBot="1" x14ac:dyDescent="0.4">
      <c r="B38" s="366"/>
      <c r="C38" s="452">
        <v>45728</v>
      </c>
      <c r="D38" s="451">
        <v>23</v>
      </c>
      <c r="E38" s="454" t="s">
        <v>906</v>
      </c>
      <c r="F38" s="539">
        <f t="shared" si="0"/>
        <v>198.33755233516482</v>
      </c>
      <c r="G38" s="540">
        <f t="shared" si="1"/>
        <v>16.528129361263733</v>
      </c>
      <c r="H38" s="541">
        <f t="shared" si="2"/>
        <v>11212.047552335163</v>
      </c>
      <c r="I38" s="446"/>
    </row>
    <row r="39" spans="2:9" ht="26.1" hidden="1" customHeight="1" thickTop="1" thickBot="1" x14ac:dyDescent="0.4">
      <c r="B39" s="366"/>
      <c r="C39" s="452">
        <v>45729</v>
      </c>
      <c r="D39" s="451">
        <v>24</v>
      </c>
      <c r="E39" s="454" t="s">
        <v>907</v>
      </c>
      <c r="F39" s="539">
        <f t="shared" si="0"/>
        <v>206.96092417582418</v>
      </c>
      <c r="G39" s="540">
        <f t="shared" si="1"/>
        <v>17.24674368131868</v>
      </c>
      <c r="H39" s="541">
        <f t="shared" si="2"/>
        <v>11220.670924175824</v>
      </c>
      <c r="I39" s="446"/>
    </row>
    <row r="40" spans="2:9" ht="26.1" hidden="1" customHeight="1" thickTop="1" thickBot="1" x14ac:dyDescent="0.4">
      <c r="B40" s="366"/>
      <c r="C40" s="452">
        <v>45730</v>
      </c>
      <c r="D40" s="451">
        <v>25</v>
      </c>
      <c r="E40" s="454" t="s">
        <v>908</v>
      </c>
      <c r="F40" s="539">
        <f t="shared" si="0"/>
        <v>215.58429601648351</v>
      </c>
      <c r="G40" s="540">
        <f t="shared" si="1"/>
        <v>17.965358001373627</v>
      </c>
      <c r="H40" s="541">
        <f t="shared" si="2"/>
        <v>11229.294296016482</v>
      </c>
      <c r="I40" s="446"/>
    </row>
    <row r="41" spans="2:9" ht="26.1" hidden="1" customHeight="1" thickTop="1" thickBot="1" x14ac:dyDescent="0.4">
      <c r="B41" s="366"/>
      <c r="C41" s="452">
        <v>45731</v>
      </c>
      <c r="D41" s="451">
        <v>26</v>
      </c>
      <c r="E41" s="454" t="s">
        <v>909</v>
      </c>
      <c r="F41" s="539">
        <f t="shared" si="0"/>
        <v>224.20766785714284</v>
      </c>
      <c r="G41" s="540">
        <f t="shared" si="1"/>
        <v>18.68397232142857</v>
      </c>
      <c r="H41" s="541">
        <f t="shared" si="2"/>
        <v>11237.917667857142</v>
      </c>
      <c r="I41" s="446"/>
    </row>
    <row r="42" spans="2:9" ht="26.1" hidden="1" customHeight="1" thickTop="1" thickBot="1" x14ac:dyDescent="0.4">
      <c r="B42" s="366"/>
      <c r="C42" s="452">
        <v>45732</v>
      </c>
      <c r="D42" s="451">
        <v>27</v>
      </c>
      <c r="E42" s="454" t="s">
        <v>910</v>
      </c>
      <c r="F42" s="539">
        <f t="shared" si="0"/>
        <v>232.83103969780217</v>
      </c>
      <c r="G42" s="540">
        <f t="shared" si="1"/>
        <v>19.402586641483513</v>
      </c>
      <c r="H42" s="541">
        <f t="shared" si="2"/>
        <v>11246.5410396978</v>
      </c>
      <c r="I42" s="446"/>
    </row>
    <row r="43" spans="2:9" ht="26.1" hidden="1" customHeight="1" thickTop="1" thickBot="1" x14ac:dyDescent="0.4">
      <c r="B43" s="366"/>
      <c r="C43" s="452">
        <v>45733</v>
      </c>
      <c r="D43" s="451">
        <v>28</v>
      </c>
      <c r="E43" s="454" t="s">
        <v>904</v>
      </c>
      <c r="F43" s="539">
        <f t="shared" si="0"/>
        <v>241.45441153846153</v>
      </c>
      <c r="G43" s="540">
        <f t="shared" si="1"/>
        <v>20.121200961538459</v>
      </c>
      <c r="H43" s="541">
        <f t="shared" si="2"/>
        <v>11255.164411538461</v>
      </c>
      <c r="I43" s="446"/>
    </row>
    <row r="44" spans="2:9" ht="26.1" hidden="1" customHeight="1" thickTop="1" thickBot="1" x14ac:dyDescent="0.4">
      <c r="B44" s="366"/>
      <c r="C44" s="452">
        <v>45734</v>
      </c>
      <c r="D44" s="451">
        <v>29</v>
      </c>
      <c r="E44" s="454" t="s">
        <v>905</v>
      </c>
      <c r="F44" s="539">
        <f t="shared" si="0"/>
        <v>250.07778337912086</v>
      </c>
      <c r="G44" s="540">
        <f t="shared" si="1"/>
        <v>20.839815281593406</v>
      </c>
      <c r="H44" s="541">
        <f t="shared" si="2"/>
        <v>11263.787783379121</v>
      </c>
      <c r="I44" s="446"/>
    </row>
    <row r="45" spans="2:9" ht="26.1" hidden="1" customHeight="1" thickTop="1" thickBot="1" x14ac:dyDescent="0.4">
      <c r="B45" s="366"/>
      <c r="C45" s="452">
        <v>45735</v>
      </c>
      <c r="D45" s="451">
        <v>30</v>
      </c>
      <c r="E45" s="454" t="s">
        <v>906</v>
      </c>
      <c r="F45" s="539">
        <f t="shared" si="0"/>
        <v>258.70115521978022</v>
      </c>
      <c r="G45" s="540">
        <f t="shared" si="1"/>
        <v>21.558429601648353</v>
      </c>
      <c r="H45" s="541">
        <f t="shared" si="2"/>
        <v>11272.411155219779</v>
      </c>
      <c r="I45" s="446"/>
    </row>
    <row r="46" spans="2:9" ht="26.1" hidden="1" customHeight="1" thickTop="1" thickBot="1" x14ac:dyDescent="0.4">
      <c r="B46" s="366"/>
      <c r="C46" s="452">
        <v>45736</v>
      </c>
      <c r="D46" s="451">
        <v>31</v>
      </c>
      <c r="E46" s="454" t="s">
        <v>907</v>
      </c>
      <c r="F46" s="539">
        <f t="shared" si="0"/>
        <v>267.32452706043955</v>
      </c>
      <c r="G46" s="540">
        <f t="shared" si="1"/>
        <v>22.277043921703296</v>
      </c>
      <c r="H46" s="541">
        <f t="shared" si="2"/>
        <v>11281.034527060439</v>
      </c>
      <c r="I46" s="446"/>
    </row>
    <row r="47" spans="2:9" ht="26.1" hidden="1" customHeight="1" thickTop="1" thickBot="1" x14ac:dyDescent="0.4">
      <c r="B47" s="366"/>
      <c r="C47" s="452">
        <v>45737</v>
      </c>
      <c r="D47" s="451">
        <v>32</v>
      </c>
      <c r="E47" s="454" t="s">
        <v>908</v>
      </c>
      <c r="F47" s="539">
        <f t="shared" si="0"/>
        <v>275.94789890109888</v>
      </c>
      <c r="G47" s="540">
        <f t="shared" si="1"/>
        <v>22.995658241758239</v>
      </c>
      <c r="H47" s="541">
        <f t="shared" si="2"/>
        <v>11289.657898901098</v>
      </c>
      <c r="I47" s="446"/>
    </row>
    <row r="48" spans="2:9" ht="26.1" hidden="1" customHeight="1" thickTop="1" thickBot="1" x14ac:dyDescent="0.4">
      <c r="B48" s="366"/>
      <c r="C48" s="452">
        <v>45738</v>
      </c>
      <c r="D48" s="451">
        <v>33</v>
      </c>
      <c r="E48" s="454" t="s">
        <v>909</v>
      </c>
      <c r="F48" s="539">
        <f t="shared" si="0"/>
        <v>284.57127074175821</v>
      </c>
      <c r="G48" s="540">
        <f t="shared" si="1"/>
        <v>23.714272561813186</v>
      </c>
      <c r="H48" s="541">
        <f t="shared" si="2"/>
        <v>11298.281270741758</v>
      </c>
      <c r="I48" s="446"/>
    </row>
    <row r="49" spans="2:9" ht="26.1" hidden="1" customHeight="1" thickTop="1" thickBot="1" x14ac:dyDescent="0.4">
      <c r="B49" s="366"/>
      <c r="C49" s="452">
        <v>45739</v>
      </c>
      <c r="D49" s="451">
        <v>34</v>
      </c>
      <c r="E49" s="454" t="s">
        <v>910</v>
      </c>
      <c r="F49" s="539">
        <f t="shared" si="0"/>
        <v>293.19464258241754</v>
      </c>
      <c r="G49" s="540">
        <f t="shared" si="1"/>
        <v>24.432886881868129</v>
      </c>
      <c r="H49" s="541">
        <f t="shared" si="2"/>
        <v>11306.904642582416</v>
      </c>
      <c r="I49" s="446"/>
    </row>
    <row r="50" spans="2:9" ht="26.1" hidden="1" customHeight="1" thickTop="1" thickBot="1" x14ac:dyDescent="0.4">
      <c r="B50" s="366"/>
      <c r="C50" s="452">
        <v>45740</v>
      </c>
      <c r="D50" s="451">
        <v>35</v>
      </c>
      <c r="E50" s="454" t="s">
        <v>904</v>
      </c>
      <c r="F50" s="539">
        <f t="shared" si="0"/>
        <v>301.81801442307687</v>
      </c>
      <c r="G50" s="540">
        <f t="shared" si="1"/>
        <v>25.151501201923072</v>
      </c>
      <c r="H50" s="541">
        <f t="shared" si="2"/>
        <v>11315.528014423076</v>
      </c>
      <c r="I50" s="446"/>
    </row>
    <row r="51" spans="2:9" ht="26.1" hidden="1" customHeight="1" thickTop="1" thickBot="1" x14ac:dyDescent="0.4">
      <c r="B51" s="366"/>
      <c r="C51" s="452">
        <v>45741</v>
      </c>
      <c r="D51" s="451">
        <v>36</v>
      </c>
      <c r="E51" s="454" t="s">
        <v>905</v>
      </c>
      <c r="F51" s="539">
        <f t="shared" si="0"/>
        <v>310.44138626373626</v>
      </c>
      <c r="G51" s="540">
        <f t="shared" si="1"/>
        <v>25.870115521978022</v>
      </c>
      <c r="H51" s="541">
        <f t="shared" si="2"/>
        <v>11324.151386263735</v>
      </c>
      <c r="I51" s="446"/>
    </row>
    <row r="52" spans="2:9" ht="26.1" hidden="1" customHeight="1" thickTop="1" thickBot="1" x14ac:dyDescent="0.4">
      <c r="B52" s="366"/>
      <c r="C52" s="452">
        <v>45742</v>
      </c>
      <c r="D52" s="451">
        <v>37</v>
      </c>
      <c r="E52" s="454" t="s">
        <v>906</v>
      </c>
      <c r="F52" s="539">
        <f t="shared" si="0"/>
        <v>319.06475810439559</v>
      </c>
      <c r="G52" s="540">
        <f t="shared" si="1"/>
        <v>26.588729842032965</v>
      </c>
      <c r="H52" s="541">
        <f t="shared" si="2"/>
        <v>11332.774758104395</v>
      </c>
      <c r="I52" s="446"/>
    </row>
    <row r="53" spans="2:9" ht="26.1" hidden="1" customHeight="1" thickTop="1" thickBot="1" x14ac:dyDescent="0.4">
      <c r="B53" s="366"/>
      <c r="C53" s="452">
        <v>45743</v>
      </c>
      <c r="D53" s="451">
        <v>38</v>
      </c>
      <c r="E53" s="454" t="s">
        <v>907</v>
      </c>
      <c r="F53" s="539">
        <f t="shared" si="0"/>
        <v>327.68812994505492</v>
      </c>
      <c r="G53" s="540">
        <f t="shared" si="1"/>
        <v>27.307344162087912</v>
      </c>
      <c r="H53" s="541">
        <f t="shared" si="2"/>
        <v>11341.398129945053</v>
      </c>
      <c r="I53" s="446"/>
    </row>
    <row r="54" spans="2:9" ht="26.1" hidden="1" customHeight="1" thickTop="1" thickBot="1" x14ac:dyDescent="0.4">
      <c r="B54" s="366"/>
      <c r="C54" s="452">
        <v>45744</v>
      </c>
      <c r="D54" s="451">
        <v>39</v>
      </c>
      <c r="E54" s="454" t="s">
        <v>908</v>
      </c>
      <c r="F54" s="539">
        <f t="shared" si="0"/>
        <v>336.31150178571426</v>
      </c>
      <c r="G54" s="540">
        <f t="shared" si="1"/>
        <v>28.025958482142855</v>
      </c>
      <c r="H54" s="541">
        <f t="shared" si="2"/>
        <v>11350.021501785714</v>
      </c>
      <c r="I54" s="446"/>
    </row>
    <row r="55" spans="2:9" ht="26.1" hidden="1" customHeight="1" thickTop="1" thickBot="1" x14ac:dyDescent="0.4">
      <c r="B55" s="366"/>
      <c r="C55" s="452">
        <v>45745</v>
      </c>
      <c r="D55" s="451">
        <v>40</v>
      </c>
      <c r="E55" s="454" t="s">
        <v>909</v>
      </c>
      <c r="F55" s="539">
        <f t="shared" si="0"/>
        <v>344.93487362637359</v>
      </c>
      <c r="G55" s="540">
        <f t="shared" si="1"/>
        <v>28.744572802197798</v>
      </c>
      <c r="H55" s="541">
        <f t="shared" si="2"/>
        <v>11358.644873626372</v>
      </c>
      <c r="I55" s="446"/>
    </row>
    <row r="56" spans="2:9" ht="26.1" hidden="1" customHeight="1" thickTop="1" thickBot="1" x14ac:dyDescent="0.4">
      <c r="B56" s="366"/>
      <c r="C56" s="452">
        <v>45746</v>
      </c>
      <c r="D56" s="451">
        <v>41</v>
      </c>
      <c r="E56" s="454" t="s">
        <v>910</v>
      </c>
      <c r="F56" s="539">
        <f t="shared" si="0"/>
        <v>353.55824546703292</v>
      </c>
      <c r="G56" s="540">
        <f t="shared" si="1"/>
        <v>29.463187122252744</v>
      </c>
      <c r="H56" s="541">
        <f t="shared" si="2"/>
        <v>11367.268245467032</v>
      </c>
      <c r="I56" s="446"/>
    </row>
    <row r="57" spans="2:9" ht="26.1" hidden="1" customHeight="1" thickTop="1" thickBot="1" x14ac:dyDescent="0.4">
      <c r="B57" s="366"/>
      <c r="C57" s="452">
        <v>45747</v>
      </c>
      <c r="D57" s="451">
        <v>42</v>
      </c>
      <c r="E57" s="454" t="s">
        <v>904</v>
      </c>
      <c r="F57" s="539">
        <f t="shared" si="0"/>
        <v>362.18161730769231</v>
      </c>
      <c r="G57" s="540">
        <f t="shared" si="1"/>
        <v>30.181801442307691</v>
      </c>
      <c r="H57" s="541">
        <f t="shared" si="2"/>
        <v>11375.891617307692</v>
      </c>
      <c r="I57" s="446"/>
    </row>
    <row r="58" spans="2:9" ht="26.1" hidden="1" customHeight="1" thickTop="1" thickBot="1" x14ac:dyDescent="0.4">
      <c r="B58" s="366"/>
      <c r="C58" s="452">
        <v>45748</v>
      </c>
      <c r="D58" s="451">
        <v>43</v>
      </c>
      <c r="E58" s="454" t="s">
        <v>905</v>
      </c>
      <c r="F58" s="539">
        <f t="shared" si="0"/>
        <v>370.80498914835164</v>
      </c>
      <c r="G58" s="540">
        <f t="shared" si="1"/>
        <v>30.900415762362638</v>
      </c>
      <c r="H58" s="541">
        <f t="shared" si="2"/>
        <v>11384.514989148351</v>
      </c>
      <c r="I58" s="446"/>
    </row>
    <row r="59" spans="2:9" ht="26.1" hidden="1" customHeight="1" thickTop="1" thickBot="1" x14ac:dyDescent="0.4">
      <c r="B59" s="366"/>
      <c r="C59" s="452">
        <v>45749</v>
      </c>
      <c r="D59" s="451">
        <v>44</v>
      </c>
      <c r="E59" s="454" t="s">
        <v>906</v>
      </c>
      <c r="F59" s="539">
        <f t="shared" si="0"/>
        <v>379.42836098901097</v>
      </c>
      <c r="G59" s="540">
        <f t="shared" si="1"/>
        <v>31.619030082417581</v>
      </c>
      <c r="H59" s="541">
        <f t="shared" si="2"/>
        <v>11393.138360989011</v>
      </c>
      <c r="I59" s="446"/>
    </row>
    <row r="60" spans="2:9" ht="26.1" hidden="1" customHeight="1" thickTop="1" thickBot="1" x14ac:dyDescent="0.4">
      <c r="B60" s="366"/>
      <c r="C60" s="452">
        <v>45750</v>
      </c>
      <c r="D60" s="451">
        <v>45</v>
      </c>
      <c r="E60" s="454" t="s">
        <v>907</v>
      </c>
      <c r="F60" s="539">
        <f t="shared" si="0"/>
        <v>388.0517328296703</v>
      </c>
      <c r="G60" s="540">
        <f t="shared" si="1"/>
        <v>32.337644402472527</v>
      </c>
      <c r="H60" s="541">
        <f t="shared" si="2"/>
        <v>11401.761732829669</v>
      </c>
      <c r="I60" s="446"/>
    </row>
    <row r="61" spans="2:9" ht="26.1" hidden="1" customHeight="1" thickTop="1" thickBot="1" x14ac:dyDescent="0.4">
      <c r="B61" s="366"/>
      <c r="C61" s="452">
        <v>45751</v>
      </c>
      <c r="D61" s="451">
        <v>46</v>
      </c>
      <c r="E61" s="454" t="s">
        <v>908</v>
      </c>
      <c r="F61" s="539">
        <f t="shared" si="0"/>
        <v>396.67510467032963</v>
      </c>
      <c r="G61" s="540">
        <f t="shared" si="1"/>
        <v>33.056258722527467</v>
      </c>
      <c r="H61" s="541">
        <f t="shared" si="2"/>
        <v>11410.385104670329</v>
      </c>
      <c r="I61" s="446"/>
    </row>
    <row r="62" spans="2:9" ht="26.1" hidden="1" customHeight="1" thickTop="1" thickBot="1" x14ac:dyDescent="0.4">
      <c r="B62" s="366"/>
      <c r="C62" s="452">
        <v>45752</v>
      </c>
      <c r="D62" s="451">
        <v>47</v>
      </c>
      <c r="E62" s="454" t="s">
        <v>909</v>
      </c>
      <c r="F62" s="539">
        <f t="shared" si="0"/>
        <v>405.29847651098896</v>
      </c>
      <c r="G62" s="540">
        <f t="shared" si="1"/>
        <v>33.774873042582414</v>
      </c>
      <c r="H62" s="541">
        <f t="shared" si="2"/>
        <v>11419.008476510988</v>
      </c>
      <c r="I62" s="446"/>
    </row>
    <row r="63" spans="2:9" ht="26.1" hidden="1" customHeight="1" thickTop="1" thickBot="1" x14ac:dyDescent="0.4">
      <c r="B63" s="366"/>
      <c r="C63" s="452">
        <v>45753</v>
      </c>
      <c r="D63" s="451">
        <v>48</v>
      </c>
      <c r="E63" s="454" t="s">
        <v>910</v>
      </c>
      <c r="F63" s="539">
        <f t="shared" si="0"/>
        <v>413.92184835164835</v>
      </c>
      <c r="G63" s="540">
        <f t="shared" si="1"/>
        <v>34.49348736263736</v>
      </c>
      <c r="H63" s="541">
        <f t="shared" si="2"/>
        <v>11427.631848351648</v>
      </c>
      <c r="I63" s="446"/>
    </row>
    <row r="64" spans="2:9" ht="26.1" hidden="1" customHeight="1" thickTop="1" thickBot="1" x14ac:dyDescent="0.4">
      <c r="B64" s="366"/>
      <c r="C64" s="452">
        <v>45754</v>
      </c>
      <c r="D64" s="451">
        <v>49</v>
      </c>
      <c r="E64" s="454" t="s">
        <v>904</v>
      </c>
      <c r="F64" s="539">
        <f t="shared" si="0"/>
        <v>422.54522019230768</v>
      </c>
      <c r="G64" s="540">
        <f t="shared" si="1"/>
        <v>35.212101682692307</v>
      </c>
      <c r="H64" s="541">
        <f t="shared" si="2"/>
        <v>11436.255220192306</v>
      </c>
      <c r="I64" s="446"/>
    </row>
    <row r="65" spans="2:9" ht="26.1" hidden="1" customHeight="1" thickTop="1" thickBot="1" x14ac:dyDescent="0.4">
      <c r="B65" s="366"/>
      <c r="C65" s="452">
        <v>45755</v>
      </c>
      <c r="D65" s="451">
        <v>50</v>
      </c>
      <c r="E65" s="454" t="s">
        <v>905</v>
      </c>
      <c r="F65" s="539">
        <f t="shared" si="0"/>
        <v>431.16859203296701</v>
      </c>
      <c r="G65" s="540">
        <f t="shared" si="1"/>
        <v>35.930716002747253</v>
      </c>
      <c r="H65" s="541">
        <f t="shared" si="2"/>
        <v>11444.878592032966</v>
      </c>
      <c r="I65" s="446"/>
    </row>
    <row r="66" spans="2:9" ht="26.1" hidden="1" customHeight="1" thickTop="1" thickBot="1" x14ac:dyDescent="0.4">
      <c r="B66" s="366"/>
      <c r="C66" s="452">
        <v>45756</v>
      </c>
      <c r="D66" s="451">
        <v>51</v>
      </c>
      <c r="E66" s="454" t="s">
        <v>906</v>
      </c>
      <c r="F66" s="539">
        <f t="shared" si="0"/>
        <v>439.79196387362634</v>
      </c>
      <c r="G66" s="540">
        <f t="shared" si="1"/>
        <v>36.649330322802193</v>
      </c>
      <c r="H66" s="541">
        <f t="shared" si="2"/>
        <v>11453.501963873625</v>
      </c>
      <c r="I66" s="446"/>
    </row>
    <row r="67" spans="2:9" ht="26.1" hidden="1" customHeight="1" thickTop="1" thickBot="1" x14ac:dyDescent="0.4">
      <c r="B67" s="366"/>
      <c r="C67" s="452">
        <v>45757</v>
      </c>
      <c r="D67" s="451">
        <v>52</v>
      </c>
      <c r="E67" s="454" t="s">
        <v>907</v>
      </c>
      <c r="F67" s="539">
        <f t="shared" si="0"/>
        <v>448.41533571428567</v>
      </c>
      <c r="G67" s="540">
        <f t="shared" si="1"/>
        <v>37.36794464285714</v>
      </c>
      <c r="H67" s="541">
        <f t="shared" si="2"/>
        <v>11462.125335714285</v>
      </c>
      <c r="I67" s="446"/>
    </row>
    <row r="68" spans="2:9" ht="26.1" hidden="1" customHeight="1" thickTop="1" thickBot="1" x14ac:dyDescent="0.4">
      <c r="B68" s="366"/>
      <c r="C68" s="452">
        <v>45758</v>
      </c>
      <c r="D68" s="451">
        <v>53</v>
      </c>
      <c r="E68" s="454" t="s">
        <v>908</v>
      </c>
      <c r="F68" s="539">
        <f t="shared" si="0"/>
        <v>457.03870755494501</v>
      </c>
      <c r="G68" s="540">
        <f t="shared" si="1"/>
        <v>38.086558962912086</v>
      </c>
      <c r="H68" s="541">
        <f t="shared" si="2"/>
        <v>11470.748707554943</v>
      </c>
      <c r="I68" s="446"/>
    </row>
    <row r="69" spans="2:9" ht="26.1" hidden="1" customHeight="1" thickTop="1" thickBot="1" x14ac:dyDescent="0.4">
      <c r="B69" s="366"/>
      <c r="C69" s="452">
        <v>45759</v>
      </c>
      <c r="D69" s="451">
        <v>54</v>
      </c>
      <c r="E69" s="454" t="s">
        <v>909</v>
      </c>
      <c r="F69" s="539">
        <f t="shared" si="0"/>
        <v>465.66207939560434</v>
      </c>
      <c r="G69" s="540">
        <f t="shared" si="1"/>
        <v>38.805173282967026</v>
      </c>
      <c r="H69" s="541">
        <f t="shared" si="2"/>
        <v>11479.372079395604</v>
      </c>
      <c r="I69" s="446"/>
    </row>
    <row r="70" spans="2:9" ht="26.1" hidden="1" customHeight="1" thickTop="1" thickBot="1" x14ac:dyDescent="0.4">
      <c r="B70" s="366"/>
      <c r="C70" s="452">
        <v>45760</v>
      </c>
      <c r="D70" s="451">
        <v>55</v>
      </c>
      <c r="E70" s="454" t="s">
        <v>910</v>
      </c>
      <c r="F70" s="539">
        <f t="shared" si="0"/>
        <v>474.28545123626373</v>
      </c>
      <c r="G70" s="540">
        <f t="shared" si="1"/>
        <v>39.523787603021979</v>
      </c>
      <c r="H70" s="541">
        <f t="shared" si="2"/>
        <v>11487.995451236264</v>
      </c>
      <c r="I70" s="446"/>
    </row>
    <row r="71" spans="2:9" ht="26.1" hidden="1" customHeight="1" thickTop="1" thickBot="1" x14ac:dyDescent="0.4">
      <c r="B71" s="366"/>
      <c r="C71" s="452">
        <v>45761</v>
      </c>
      <c r="D71" s="451">
        <v>56</v>
      </c>
      <c r="E71" s="454" t="s">
        <v>904</v>
      </c>
      <c r="F71" s="539">
        <f t="shared" si="0"/>
        <v>482.90882307692306</v>
      </c>
      <c r="G71" s="540">
        <f t="shared" si="1"/>
        <v>40.242401923076919</v>
      </c>
      <c r="H71" s="541">
        <f t="shared" si="2"/>
        <v>11496.618823076922</v>
      </c>
      <c r="I71" s="446"/>
    </row>
    <row r="72" spans="2:9" ht="26.1" hidden="1" customHeight="1" thickTop="1" thickBot="1" x14ac:dyDescent="0.4">
      <c r="B72" s="366"/>
      <c r="C72" s="452">
        <v>45762</v>
      </c>
      <c r="D72" s="451">
        <v>57</v>
      </c>
      <c r="E72" s="454" t="s">
        <v>905</v>
      </c>
      <c r="F72" s="539">
        <f t="shared" si="0"/>
        <v>491.53219491758239</v>
      </c>
      <c r="G72" s="540">
        <f t="shared" si="1"/>
        <v>40.961016243131866</v>
      </c>
      <c r="H72" s="541">
        <f t="shared" si="2"/>
        <v>11505.242194917582</v>
      </c>
      <c r="I72" s="446"/>
    </row>
    <row r="73" spans="2:9" ht="26.1" hidden="1" customHeight="1" thickTop="1" thickBot="1" x14ac:dyDescent="0.4">
      <c r="B73" s="366"/>
      <c r="C73" s="452">
        <v>45763</v>
      </c>
      <c r="D73" s="451">
        <v>58</v>
      </c>
      <c r="E73" s="454" t="s">
        <v>906</v>
      </c>
      <c r="F73" s="539">
        <f t="shared" si="0"/>
        <v>500.15556675824172</v>
      </c>
      <c r="G73" s="540">
        <f t="shared" si="1"/>
        <v>41.679630563186812</v>
      </c>
      <c r="H73" s="541">
        <f t="shared" si="2"/>
        <v>11513.865566758241</v>
      </c>
      <c r="I73" s="446"/>
    </row>
    <row r="74" spans="2:9" ht="26.1" hidden="1" customHeight="1" thickTop="1" thickBot="1" x14ac:dyDescent="0.4">
      <c r="B74" s="366"/>
      <c r="C74" s="452">
        <v>45764</v>
      </c>
      <c r="D74" s="451">
        <v>59</v>
      </c>
      <c r="E74" s="454" t="s">
        <v>907</v>
      </c>
      <c r="F74" s="539">
        <f t="shared" si="0"/>
        <v>508.77893859890105</v>
      </c>
      <c r="G74" s="540">
        <f t="shared" si="1"/>
        <v>42.398244883241752</v>
      </c>
      <c r="H74" s="541">
        <f t="shared" si="2"/>
        <v>11522.488938598901</v>
      </c>
      <c r="I74" s="446"/>
    </row>
    <row r="75" spans="2:9" ht="26.1" hidden="1" customHeight="1" thickTop="1" thickBot="1" x14ac:dyDescent="0.4">
      <c r="B75" s="366"/>
      <c r="C75" s="452">
        <v>45765</v>
      </c>
      <c r="D75" s="451">
        <v>60</v>
      </c>
      <c r="E75" s="454" t="s">
        <v>908</v>
      </c>
      <c r="F75" s="539">
        <f t="shared" si="0"/>
        <v>517.40231043956044</v>
      </c>
      <c r="G75" s="540">
        <f t="shared" si="1"/>
        <v>43.116859203296706</v>
      </c>
      <c r="H75" s="541">
        <f t="shared" si="2"/>
        <v>11531.112310439559</v>
      </c>
      <c r="I75" s="446"/>
    </row>
    <row r="76" spans="2:9" ht="26.1" hidden="1" customHeight="1" thickTop="1" thickBot="1" x14ac:dyDescent="0.4">
      <c r="B76" s="366"/>
      <c r="C76" s="452">
        <v>45766</v>
      </c>
      <c r="D76" s="451">
        <v>61</v>
      </c>
      <c r="E76" s="454" t="s">
        <v>909</v>
      </c>
      <c r="F76" s="539">
        <f t="shared" si="0"/>
        <v>526.02568228021971</v>
      </c>
      <c r="G76" s="540">
        <f t="shared" si="1"/>
        <v>43.835473523351645</v>
      </c>
      <c r="H76" s="541">
        <f t="shared" si="2"/>
        <v>11539.735682280219</v>
      </c>
      <c r="I76" s="446"/>
    </row>
    <row r="77" spans="2:9" ht="26.1" hidden="1" customHeight="1" thickTop="1" thickBot="1" x14ac:dyDescent="0.4">
      <c r="B77" s="366"/>
      <c r="C77" s="452">
        <v>45767</v>
      </c>
      <c r="D77" s="451">
        <v>62</v>
      </c>
      <c r="E77" s="454" t="s">
        <v>910</v>
      </c>
      <c r="F77" s="539">
        <f t="shared" si="0"/>
        <v>534.6490541208791</v>
      </c>
      <c r="G77" s="540">
        <f t="shared" si="1"/>
        <v>44.554087843406592</v>
      </c>
      <c r="H77" s="541">
        <f t="shared" si="2"/>
        <v>11548.359054120878</v>
      </c>
      <c r="I77" s="446"/>
    </row>
    <row r="78" spans="2:9" ht="26.1" hidden="1" customHeight="1" thickTop="1" thickBot="1" x14ac:dyDescent="0.4">
      <c r="B78" s="366"/>
      <c r="C78" s="452">
        <v>45768</v>
      </c>
      <c r="D78" s="451">
        <v>63</v>
      </c>
      <c r="E78" s="454" t="s">
        <v>904</v>
      </c>
      <c r="F78" s="539">
        <f t="shared" si="0"/>
        <v>543.27242596153837</v>
      </c>
      <c r="G78" s="540">
        <f t="shared" si="1"/>
        <v>45.272702163461531</v>
      </c>
      <c r="H78" s="541">
        <f t="shared" si="2"/>
        <v>11556.982425961538</v>
      </c>
      <c r="I78" s="446"/>
    </row>
    <row r="79" spans="2:9" ht="26.1" hidden="1" customHeight="1" thickTop="1" thickBot="1" x14ac:dyDescent="0.4">
      <c r="B79" s="366"/>
      <c r="C79" s="452">
        <v>45769</v>
      </c>
      <c r="D79" s="451">
        <v>64</v>
      </c>
      <c r="E79" s="454" t="s">
        <v>905</v>
      </c>
      <c r="F79" s="539">
        <f t="shared" si="0"/>
        <v>551.89579780219776</v>
      </c>
      <c r="G79" s="540">
        <f t="shared" si="1"/>
        <v>45.991316483516478</v>
      </c>
      <c r="H79" s="541">
        <f t="shared" si="2"/>
        <v>11565.605797802196</v>
      </c>
      <c r="I79" s="446"/>
    </row>
    <row r="80" spans="2:9" ht="26.1" hidden="1" customHeight="1" thickTop="1" thickBot="1" x14ac:dyDescent="0.4">
      <c r="B80" s="366"/>
      <c r="C80" s="452">
        <v>45770</v>
      </c>
      <c r="D80" s="451">
        <v>65</v>
      </c>
      <c r="E80" s="454" t="s">
        <v>906</v>
      </c>
      <c r="F80" s="539">
        <f t="shared" ref="F80:F143" si="3">$E$8/$F$10*D80</f>
        <v>560.51916964285715</v>
      </c>
      <c r="G80" s="540">
        <f t="shared" ref="G80:G143" si="4">F80/$C$12</f>
        <v>46.709930803571432</v>
      </c>
      <c r="H80" s="541">
        <f t="shared" si="2"/>
        <v>11574.229169642857</v>
      </c>
      <c r="I80" s="446"/>
    </row>
    <row r="81" spans="2:9" ht="26.1" hidden="1" customHeight="1" thickTop="1" thickBot="1" x14ac:dyDescent="0.4">
      <c r="B81" s="366"/>
      <c r="C81" s="452">
        <v>45771</v>
      </c>
      <c r="D81" s="451">
        <v>66</v>
      </c>
      <c r="E81" s="454" t="s">
        <v>907</v>
      </c>
      <c r="F81" s="539">
        <f t="shared" si="3"/>
        <v>569.14254148351642</v>
      </c>
      <c r="G81" s="540">
        <f t="shared" si="4"/>
        <v>47.428545123626371</v>
      </c>
      <c r="H81" s="541">
        <f t="shared" ref="H81:H144" si="5">$C$8+F81</f>
        <v>11582.852541483515</v>
      </c>
      <c r="I81" s="446"/>
    </row>
    <row r="82" spans="2:9" ht="26.1" hidden="1" customHeight="1" thickTop="1" thickBot="1" x14ac:dyDescent="0.4">
      <c r="B82" s="366"/>
      <c r="C82" s="452">
        <v>45772</v>
      </c>
      <c r="D82" s="451">
        <v>67</v>
      </c>
      <c r="E82" s="454" t="s">
        <v>908</v>
      </c>
      <c r="F82" s="539">
        <f t="shared" si="3"/>
        <v>577.76591332417581</v>
      </c>
      <c r="G82" s="540">
        <f t="shared" si="4"/>
        <v>48.147159443681318</v>
      </c>
      <c r="H82" s="541">
        <f t="shared" si="5"/>
        <v>11591.475913324175</v>
      </c>
      <c r="I82" s="446"/>
    </row>
    <row r="83" spans="2:9" ht="26.1" hidden="1" customHeight="1" thickTop="1" thickBot="1" x14ac:dyDescent="0.4">
      <c r="B83" s="366"/>
      <c r="C83" s="452">
        <v>45773</v>
      </c>
      <c r="D83" s="451">
        <v>68</v>
      </c>
      <c r="E83" s="454" t="s">
        <v>909</v>
      </c>
      <c r="F83" s="539">
        <f t="shared" si="3"/>
        <v>586.38928516483509</v>
      </c>
      <c r="G83" s="540">
        <f t="shared" si="4"/>
        <v>48.865773763736257</v>
      </c>
      <c r="H83" s="541">
        <f t="shared" si="5"/>
        <v>11600.099285164833</v>
      </c>
      <c r="I83" s="446"/>
    </row>
    <row r="84" spans="2:9" ht="26.1" hidden="1" customHeight="1" thickTop="1" thickBot="1" x14ac:dyDescent="0.4">
      <c r="B84" s="366"/>
      <c r="C84" s="452">
        <v>45774</v>
      </c>
      <c r="D84" s="451">
        <v>69</v>
      </c>
      <c r="E84" s="454" t="s">
        <v>910</v>
      </c>
      <c r="F84" s="539">
        <f t="shared" si="3"/>
        <v>595.01265700549448</v>
      </c>
      <c r="G84" s="540">
        <f t="shared" si="4"/>
        <v>49.584388083791204</v>
      </c>
      <c r="H84" s="541">
        <f t="shared" si="5"/>
        <v>11608.722657005494</v>
      </c>
      <c r="I84" s="446"/>
    </row>
    <row r="85" spans="2:9" ht="26.1" hidden="1" customHeight="1" thickTop="1" thickBot="1" x14ac:dyDescent="0.4">
      <c r="B85" s="366"/>
      <c r="C85" s="452">
        <v>45775</v>
      </c>
      <c r="D85" s="451">
        <v>70</v>
      </c>
      <c r="E85" s="454" t="s">
        <v>904</v>
      </c>
      <c r="F85" s="539">
        <f t="shared" si="3"/>
        <v>603.63602884615375</v>
      </c>
      <c r="G85" s="540">
        <f t="shared" si="4"/>
        <v>50.303002403846143</v>
      </c>
      <c r="H85" s="541">
        <f t="shared" si="5"/>
        <v>11617.346028846154</v>
      </c>
      <c r="I85" s="446"/>
    </row>
    <row r="86" spans="2:9" ht="26.1" hidden="1" customHeight="1" thickTop="1" thickBot="1" x14ac:dyDescent="0.4">
      <c r="B86" s="366"/>
      <c r="C86" s="452">
        <v>45776</v>
      </c>
      <c r="D86" s="451">
        <v>71</v>
      </c>
      <c r="E86" s="454" t="s">
        <v>905</v>
      </c>
      <c r="F86" s="539">
        <f t="shared" si="3"/>
        <v>612.25940068681314</v>
      </c>
      <c r="G86" s="540">
        <f t="shared" si="4"/>
        <v>51.021616723901097</v>
      </c>
      <c r="H86" s="541">
        <f t="shared" si="5"/>
        <v>11625.969400686812</v>
      </c>
      <c r="I86" s="446"/>
    </row>
    <row r="87" spans="2:9" ht="26.1" hidden="1" customHeight="1" thickTop="1" thickBot="1" x14ac:dyDescent="0.4">
      <c r="B87" s="366"/>
      <c r="C87" s="452">
        <v>45777</v>
      </c>
      <c r="D87" s="451">
        <v>72</v>
      </c>
      <c r="E87" s="454" t="s">
        <v>906</v>
      </c>
      <c r="F87" s="539">
        <f t="shared" si="3"/>
        <v>620.88277252747253</v>
      </c>
      <c r="G87" s="540">
        <f t="shared" si="4"/>
        <v>51.740231043956044</v>
      </c>
      <c r="H87" s="541">
        <f t="shared" si="5"/>
        <v>11634.592772527472</v>
      </c>
      <c r="I87" s="446"/>
    </row>
    <row r="88" spans="2:9" ht="26.1" hidden="1" customHeight="1" thickTop="1" thickBot="1" x14ac:dyDescent="0.4">
      <c r="B88" s="366"/>
      <c r="C88" s="452">
        <v>45778</v>
      </c>
      <c r="D88" s="451">
        <v>73</v>
      </c>
      <c r="E88" s="454" t="s">
        <v>907</v>
      </c>
      <c r="F88" s="539">
        <f t="shared" si="3"/>
        <v>629.5061443681318</v>
      </c>
      <c r="G88" s="540">
        <f t="shared" si="4"/>
        <v>52.458845364010983</v>
      </c>
      <c r="H88" s="541">
        <f t="shared" si="5"/>
        <v>11643.216144368131</v>
      </c>
      <c r="I88" s="446"/>
    </row>
    <row r="89" spans="2:9" ht="26.1" hidden="1" customHeight="1" thickTop="1" thickBot="1" x14ac:dyDescent="0.4">
      <c r="B89" s="366"/>
      <c r="C89" s="452">
        <v>45779</v>
      </c>
      <c r="D89" s="451">
        <v>74</v>
      </c>
      <c r="E89" s="454" t="s">
        <v>908</v>
      </c>
      <c r="F89" s="539">
        <f t="shared" si="3"/>
        <v>638.12951620879119</v>
      </c>
      <c r="G89" s="540">
        <f t="shared" si="4"/>
        <v>53.17745968406593</v>
      </c>
      <c r="H89" s="541">
        <f t="shared" si="5"/>
        <v>11651.839516208791</v>
      </c>
      <c r="I89" s="446"/>
    </row>
    <row r="90" spans="2:9" ht="26.1" hidden="1" customHeight="1" thickTop="1" thickBot="1" x14ac:dyDescent="0.4">
      <c r="B90" s="366"/>
      <c r="C90" s="452">
        <v>45780</v>
      </c>
      <c r="D90" s="451">
        <v>75</v>
      </c>
      <c r="E90" s="454" t="s">
        <v>909</v>
      </c>
      <c r="F90" s="539">
        <f t="shared" si="3"/>
        <v>646.75288804945046</v>
      </c>
      <c r="G90" s="540">
        <f t="shared" si="4"/>
        <v>53.896074004120869</v>
      </c>
      <c r="H90" s="541">
        <f t="shared" si="5"/>
        <v>11660.462888049449</v>
      </c>
      <c r="I90" s="446"/>
    </row>
    <row r="91" spans="2:9" ht="26.1" hidden="1" customHeight="1" thickTop="1" thickBot="1" x14ac:dyDescent="0.4">
      <c r="B91" s="366"/>
      <c r="C91" s="452">
        <v>45781</v>
      </c>
      <c r="D91" s="451">
        <v>76</v>
      </c>
      <c r="E91" s="454" t="s">
        <v>910</v>
      </c>
      <c r="F91" s="539">
        <f t="shared" si="3"/>
        <v>655.37625989010985</v>
      </c>
      <c r="G91" s="540">
        <f t="shared" si="4"/>
        <v>54.614688324175823</v>
      </c>
      <c r="H91" s="541">
        <f t="shared" si="5"/>
        <v>11669.086259890109</v>
      </c>
      <c r="I91" s="446"/>
    </row>
    <row r="92" spans="2:9" ht="26.1" hidden="1" customHeight="1" thickTop="1" thickBot="1" x14ac:dyDescent="0.4">
      <c r="B92" s="366"/>
      <c r="C92" s="452">
        <v>45782</v>
      </c>
      <c r="D92" s="451">
        <v>77</v>
      </c>
      <c r="E92" s="454" t="s">
        <v>904</v>
      </c>
      <c r="F92" s="539">
        <f t="shared" si="3"/>
        <v>663.99963173076924</v>
      </c>
      <c r="G92" s="540">
        <f t="shared" si="4"/>
        <v>55.33330264423077</v>
      </c>
      <c r="H92" s="541">
        <f t="shared" si="5"/>
        <v>11677.709631730768</v>
      </c>
      <c r="I92" s="446"/>
    </row>
    <row r="93" spans="2:9" ht="26.1" hidden="1" customHeight="1" thickTop="1" thickBot="1" x14ac:dyDescent="0.4">
      <c r="B93" s="366"/>
      <c r="C93" s="452">
        <v>45783</v>
      </c>
      <c r="D93" s="451">
        <v>78</v>
      </c>
      <c r="E93" s="454" t="s">
        <v>905</v>
      </c>
      <c r="F93" s="539">
        <f t="shared" si="3"/>
        <v>672.62300357142851</v>
      </c>
      <c r="G93" s="540">
        <f t="shared" si="4"/>
        <v>56.051916964285709</v>
      </c>
      <c r="H93" s="541">
        <f t="shared" si="5"/>
        <v>11686.333003571428</v>
      </c>
      <c r="I93" s="446"/>
    </row>
    <row r="94" spans="2:9" ht="26.1" hidden="1" customHeight="1" thickTop="1" thickBot="1" x14ac:dyDescent="0.4">
      <c r="B94" s="366"/>
      <c r="C94" s="452">
        <v>45784</v>
      </c>
      <c r="D94" s="451">
        <v>79</v>
      </c>
      <c r="E94" s="454" t="s">
        <v>906</v>
      </c>
      <c r="F94" s="539">
        <f t="shared" si="3"/>
        <v>681.2463754120879</v>
      </c>
      <c r="G94" s="540">
        <f t="shared" si="4"/>
        <v>56.770531284340656</v>
      </c>
      <c r="H94" s="541">
        <f t="shared" si="5"/>
        <v>11694.956375412086</v>
      </c>
      <c r="I94" s="446"/>
    </row>
    <row r="95" spans="2:9" ht="26.1" hidden="1" customHeight="1" thickTop="1" thickBot="1" x14ac:dyDescent="0.4">
      <c r="B95" s="366"/>
      <c r="C95" s="452">
        <v>45785</v>
      </c>
      <c r="D95" s="451">
        <v>80</v>
      </c>
      <c r="E95" s="454" t="s">
        <v>907</v>
      </c>
      <c r="F95" s="539">
        <f t="shared" si="3"/>
        <v>689.86974725274717</v>
      </c>
      <c r="G95" s="540">
        <f t="shared" si="4"/>
        <v>57.489145604395596</v>
      </c>
      <c r="H95" s="541">
        <f t="shared" si="5"/>
        <v>11703.579747252747</v>
      </c>
      <c r="I95" s="446"/>
    </row>
    <row r="96" spans="2:9" ht="26.1" hidden="1" customHeight="1" thickTop="1" thickBot="1" x14ac:dyDescent="0.4">
      <c r="B96" s="366"/>
      <c r="C96" s="452">
        <v>45786</v>
      </c>
      <c r="D96" s="451">
        <v>81</v>
      </c>
      <c r="E96" s="454" t="s">
        <v>908</v>
      </c>
      <c r="F96" s="539">
        <f t="shared" si="3"/>
        <v>698.49311909340656</v>
      </c>
      <c r="G96" s="540">
        <f t="shared" si="4"/>
        <v>58.207759924450549</v>
      </c>
      <c r="H96" s="541">
        <f t="shared" si="5"/>
        <v>11712.203119093405</v>
      </c>
      <c r="I96" s="446"/>
    </row>
    <row r="97" spans="2:9" ht="26.1" hidden="1" customHeight="1" thickTop="1" thickBot="1" x14ac:dyDescent="0.4">
      <c r="B97" s="366"/>
      <c r="C97" s="452">
        <v>45787</v>
      </c>
      <c r="D97" s="451">
        <v>82</v>
      </c>
      <c r="E97" s="454" t="s">
        <v>909</v>
      </c>
      <c r="F97" s="539">
        <f t="shared" si="3"/>
        <v>707.11649093406584</v>
      </c>
      <c r="G97" s="540">
        <f t="shared" si="4"/>
        <v>58.926374244505489</v>
      </c>
      <c r="H97" s="541">
        <f t="shared" si="5"/>
        <v>11720.826490934065</v>
      </c>
      <c r="I97" s="446"/>
    </row>
    <row r="98" spans="2:9" ht="26.1" hidden="1" customHeight="1" thickTop="1" thickBot="1" x14ac:dyDescent="0.4">
      <c r="B98" s="366"/>
      <c r="C98" s="452">
        <v>45788</v>
      </c>
      <c r="D98" s="451">
        <v>83</v>
      </c>
      <c r="E98" s="454" t="s">
        <v>910</v>
      </c>
      <c r="F98" s="539">
        <f t="shared" si="3"/>
        <v>715.73986277472522</v>
      </c>
      <c r="G98" s="540">
        <f t="shared" si="4"/>
        <v>59.644988564560435</v>
      </c>
      <c r="H98" s="541">
        <f t="shared" si="5"/>
        <v>11729.449862774723</v>
      </c>
      <c r="I98" s="446"/>
    </row>
    <row r="99" spans="2:9" ht="26.1" hidden="1" customHeight="1" thickTop="1" thickBot="1" x14ac:dyDescent="0.4">
      <c r="B99" s="366"/>
      <c r="C99" s="452">
        <v>45789</v>
      </c>
      <c r="D99" s="451">
        <v>84</v>
      </c>
      <c r="E99" s="454" t="s">
        <v>904</v>
      </c>
      <c r="F99" s="539">
        <f t="shared" si="3"/>
        <v>724.36323461538461</v>
      </c>
      <c r="G99" s="540">
        <f t="shared" si="4"/>
        <v>60.363602884615382</v>
      </c>
      <c r="H99" s="541">
        <f t="shared" si="5"/>
        <v>11738.073234615384</v>
      </c>
      <c r="I99" s="446"/>
    </row>
    <row r="100" spans="2:9" ht="26.1" hidden="1" customHeight="1" thickTop="1" thickBot="1" x14ac:dyDescent="0.4">
      <c r="B100" s="366"/>
      <c r="C100" s="452">
        <v>45790</v>
      </c>
      <c r="D100" s="451">
        <v>85</v>
      </c>
      <c r="E100" s="454" t="s">
        <v>905</v>
      </c>
      <c r="F100" s="539">
        <f t="shared" si="3"/>
        <v>732.98660645604389</v>
      </c>
      <c r="G100" s="540">
        <f t="shared" si="4"/>
        <v>61.082217204670322</v>
      </c>
      <c r="H100" s="541">
        <f t="shared" si="5"/>
        <v>11746.696606456044</v>
      </c>
      <c r="I100" s="446"/>
    </row>
    <row r="101" spans="2:9" ht="26.1" hidden="1" customHeight="1" thickTop="1" thickBot="1" x14ac:dyDescent="0.4">
      <c r="B101" s="366"/>
      <c r="C101" s="452">
        <v>45791</v>
      </c>
      <c r="D101" s="451">
        <v>86</v>
      </c>
      <c r="E101" s="454" t="s">
        <v>906</v>
      </c>
      <c r="F101" s="539">
        <f t="shared" si="3"/>
        <v>741.60997829670328</v>
      </c>
      <c r="G101" s="540">
        <f t="shared" si="4"/>
        <v>61.800831524725275</v>
      </c>
      <c r="H101" s="541">
        <f t="shared" si="5"/>
        <v>11755.319978296702</v>
      </c>
      <c r="I101" s="446"/>
    </row>
    <row r="102" spans="2:9" ht="26.1" hidden="1" customHeight="1" thickTop="1" thickBot="1" x14ac:dyDescent="0.4">
      <c r="B102" s="366"/>
      <c r="C102" s="452">
        <v>45792</v>
      </c>
      <c r="D102" s="451">
        <v>87</v>
      </c>
      <c r="E102" s="454" t="s">
        <v>907</v>
      </c>
      <c r="F102" s="539">
        <f t="shared" si="3"/>
        <v>750.23335013736255</v>
      </c>
      <c r="G102" s="540">
        <f t="shared" si="4"/>
        <v>62.519445844780215</v>
      </c>
      <c r="H102" s="541">
        <f t="shared" si="5"/>
        <v>11763.943350137362</v>
      </c>
      <c r="I102" s="446"/>
    </row>
    <row r="103" spans="2:9" ht="26.1" hidden="1" customHeight="1" thickTop="1" thickBot="1" x14ac:dyDescent="0.4">
      <c r="B103" s="366"/>
      <c r="C103" s="452">
        <v>45793</v>
      </c>
      <c r="D103" s="451">
        <v>88</v>
      </c>
      <c r="E103" s="454" t="s">
        <v>908</v>
      </c>
      <c r="F103" s="539">
        <f t="shared" si="3"/>
        <v>758.85672197802194</v>
      </c>
      <c r="G103" s="540">
        <f t="shared" si="4"/>
        <v>63.238060164835161</v>
      </c>
      <c r="H103" s="541">
        <f t="shared" si="5"/>
        <v>11772.566721978021</v>
      </c>
      <c r="I103" s="446"/>
    </row>
    <row r="104" spans="2:9" ht="26.1" hidden="1" customHeight="1" thickTop="1" thickBot="1" x14ac:dyDescent="0.4">
      <c r="B104" s="366"/>
      <c r="C104" s="452">
        <v>45794</v>
      </c>
      <c r="D104" s="451">
        <v>89</v>
      </c>
      <c r="E104" s="454" t="s">
        <v>909</v>
      </c>
      <c r="F104" s="539">
        <f t="shared" si="3"/>
        <v>767.48009381868121</v>
      </c>
      <c r="G104" s="540">
        <f t="shared" si="4"/>
        <v>63.956674484890101</v>
      </c>
      <c r="H104" s="541">
        <f t="shared" si="5"/>
        <v>11781.190093818681</v>
      </c>
      <c r="I104" s="446"/>
    </row>
    <row r="105" spans="2:9" ht="26.1" hidden="1" customHeight="1" thickTop="1" thickBot="1" x14ac:dyDescent="0.4">
      <c r="B105" s="366"/>
      <c r="C105" s="452">
        <v>45795</v>
      </c>
      <c r="D105" s="451">
        <v>90</v>
      </c>
      <c r="E105" s="454" t="s">
        <v>910</v>
      </c>
      <c r="F105" s="539">
        <f t="shared" si="3"/>
        <v>776.1034656593406</v>
      </c>
      <c r="G105" s="540">
        <f t="shared" si="4"/>
        <v>64.675288804945055</v>
      </c>
      <c r="H105" s="541">
        <f t="shared" si="5"/>
        <v>11789.813465659339</v>
      </c>
      <c r="I105" s="446"/>
    </row>
    <row r="106" spans="2:9" ht="26.1" hidden="1" customHeight="1" thickTop="1" thickBot="1" x14ac:dyDescent="0.4">
      <c r="B106" s="366"/>
      <c r="C106" s="452">
        <v>45796</v>
      </c>
      <c r="D106" s="451">
        <v>91</v>
      </c>
      <c r="E106" s="454" t="s">
        <v>904</v>
      </c>
      <c r="F106" s="539">
        <f t="shared" si="3"/>
        <v>784.72683749999999</v>
      </c>
      <c r="G106" s="540">
        <f t="shared" si="4"/>
        <v>65.393903124999994</v>
      </c>
      <c r="H106" s="541">
        <f t="shared" si="5"/>
        <v>11798.436837499999</v>
      </c>
      <c r="I106" s="446"/>
    </row>
    <row r="107" spans="2:9" ht="26.1" hidden="1" customHeight="1" thickTop="1" thickBot="1" x14ac:dyDescent="0.4">
      <c r="B107" s="366"/>
      <c r="C107" s="452">
        <v>45797</v>
      </c>
      <c r="D107" s="451">
        <v>92</v>
      </c>
      <c r="E107" s="454" t="s">
        <v>905</v>
      </c>
      <c r="F107" s="539">
        <f t="shared" si="3"/>
        <v>793.35020934065926</v>
      </c>
      <c r="G107" s="540">
        <f t="shared" si="4"/>
        <v>66.112517445054934</v>
      </c>
      <c r="H107" s="541">
        <f t="shared" si="5"/>
        <v>11807.060209340658</v>
      </c>
      <c r="I107" s="446"/>
    </row>
    <row r="108" spans="2:9" ht="26.1" hidden="1" customHeight="1" thickTop="1" thickBot="1" x14ac:dyDescent="0.4">
      <c r="B108" s="366"/>
      <c r="C108" s="452">
        <v>45798</v>
      </c>
      <c r="D108" s="451">
        <v>93</v>
      </c>
      <c r="E108" s="454" t="s">
        <v>906</v>
      </c>
      <c r="F108" s="539">
        <f t="shared" si="3"/>
        <v>801.97358118131865</v>
      </c>
      <c r="G108" s="540">
        <f t="shared" si="4"/>
        <v>66.831131765109888</v>
      </c>
      <c r="H108" s="541">
        <f t="shared" si="5"/>
        <v>11815.683581181318</v>
      </c>
      <c r="I108" s="446"/>
    </row>
    <row r="109" spans="2:9" ht="26.1" hidden="1" customHeight="1" thickTop="1" thickBot="1" x14ac:dyDescent="0.4">
      <c r="B109" s="366"/>
      <c r="C109" s="452">
        <v>45799</v>
      </c>
      <c r="D109" s="451">
        <v>94</v>
      </c>
      <c r="E109" s="454" t="s">
        <v>907</v>
      </c>
      <c r="F109" s="539">
        <f t="shared" si="3"/>
        <v>810.59695302197792</v>
      </c>
      <c r="G109" s="540">
        <f t="shared" si="4"/>
        <v>67.549746085164827</v>
      </c>
      <c r="H109" s="541">
        <f t="shared" si="5"/>
        <v>11824.306953021976</v>
      </c>
      <c r="I109" s="446"/>
    </row>
    <row r="110" spans="2:9" ht="26.1" hidden="1" customHeight="1" thickTop="1" thickBot="1" x14ac:dyDescent="0.4">
      <c r="B110" s="366"/>
      <c r="C110" s="452">
        <v>45800</v>
      </c>
      <c r="D110" s="451">
        <v>95</v>
      </c>
      <c r="E110" s="454" t="s">
        <v>908</v>
      </c>
      <c r="F110" s="539">
        <f t="shared" si="3"/>
        <v>819.22032486263731</v>
      </c>
      <c r="G110" s="540">
        <f t="shared" si="4"/>
        <v>68.268360405219781</v>
      </c>
      <c r="H110" s="541">
        <f t="shared" si="5"/>
        <v>11832.930324862637</v>
      </c>
      <c r="I110" s="446"/>
    </row>
    <row r="111" spans="2:9" ht="26.1" hidden="1" customHeight="1" thickTop="1" thickBot="1" x14ac:dyDescent="0.4">
      <c r="B111" s="366"/>
      <c r="C111" s="452">
        <v>45801</v>
      </c>
      <c r="D111" s="451">
        <v>96</v>
      </c>
      <c r="E111" s="454" t="s">
        <v>909</v>
      </c>
      <c r="F111" s="539">
        <f t="shared" si="3"/>
        <v>827.8436967032967</v>
      </c>
      <c r="G111" s="540">
        <f t="shared" si="4"/>
        <v>68.98697472527472</v>
      </c>
      <c r="H111" s="541">
        <f t="shared" si="5"/>
        <v>11841.553696703297</v>
      </c>
      <c r="I111" s="446"/>
    </row>
    <row r="112" spans="2:9" ht="26.1" hidden="1" customHeight="1" thickTop="1" thickBot="1" x14ac:dyDescent="0.4">
      <c r="B112" s="366"/>
      <c r="C112" s="452">
        <v>45802</v>
      </c>
      <c r="D112" s="451">
        <v>97</v>
      </c>
      <c r="E112" s="454" t="s">
        <v>910</v>
      </c>
      <c r="F112" s="539">
        <f t="shared" si="3"/>
        <v>836.46706854395597</v>
      </c>
      <c r="G112" s="540">
        <f t="shared" si="4"/>
        <v>69.70558904532966</v>
      </c>
      <c r="H112" s="541">
        <f t="shared" si="5"/>
        <v>11850.177068543955</v>
      </c>
      <c r="I112" s="446"/>
    </row>
    <row r="113" spans="2:9" ht="26.1" hidden="1" customHeight="1" thickTop="1" thickBot="1" x14ac:dyDescent="0.4">
      <c r="B113" s="366"/>
      <c r="C113" s="452">
        <v>45803</v>
      </c>
      <c r="D113" s="451">
        <v>98</v>
      </c>
      <c r="E113" s="454" t="s">
        <v>904</v>
      </c>
      <c r="F113" s="539">
        <f t="shared" si="3"/>
        <v>845.09044038461536</v>
      </c>
      <c r="G113" s="540">
        <f t="shared" si="4"/>
        <v>70.424203365384614</v>
      </c>
      <c r="H113" s="541">
        <f t="shared" si="5"/>
        <v>11858.800440384615</v>
      </c>
      <c r="I113" s="446"/>
    </row>
    <row r="114" spans="2:9" ht="26.1" hidden="1" customHeight="1" thickTop="1" thickBot="1" x14ac:dyDescent="0.4">
      <c r="B114" s="366"/>
      <c r="C114" s="452">
        <v>45804</v>
      </c>
      <c r="D114" s="451">
        <v>99</v>
      </c>
      <c r="E114" s="454" t="s">
        <v>905</v>
      </c>
      <c r="F114" s="539">
        <f t="shared" si="3"/>
        <v>853.71381222527464</v>
      </c>
      <c r="G114" s="540">
        <f t="shared" si="4"/>
        <v>71.142817685439553</v>
      </c>
      <c r="H114" s="541">
        <f t="shared" si="5"/>
        <v>11867.423812225274</v>
      </c>
      <c r="I114" s="446"/>
    </row>
    <row r="115" spans="2:9" ht="26.1" hidden="1" customHeight="1" thickTop="1" thickBot="1" x14ac:dyDescent="0.4">
      <c r="B115" s="366"/>
      <c r="C115" s="452">
        <v>45805</v>
      </c>
      <c r="D115" s="451">
        <v>100</v>
      </c>
      <c r="E115" s="454" t="s">
        <v>906</v>
      </c>
      <c r="F115" s="539">
        <f t="shared" si="3"/>
        <v>862.33718406593403</v>
      </c>
      <c r="G115" s="540">
        <f t="shared" si="4"/>
        <v>71.861432005494507</v>
      </c>
      <c r="H115" s="541">
        <f t="shared" si="5"/>
        <v>11876.047184065934</v>
      </c>
      <c r="I115" s="446"/>
    </row>
    <row r="116" spans="2:9" ht="26.1" hidden="1" customHeight="1" thickTop="1" thickBot="1" x14ac:dyDescent="0.4">
      <c r="B116" s="366"/>
      <c r="C116" s="452">
        <v>45806</v>
      </c>
      <c r="D116" s="451">
        <v>101</v>
      </c>
      <c r="E116" s="454" t="s">
        <v>907</v>
      </c>
      <c r="F116" s="539">
        <f t="shared" si="3"/>
        <v>870.9605559065933</v>
      </c>
      <c r="G116" s="540">
        <f t="shared" si="4"/>
        <v>72.580046325549446</v>
      </c>
      <c r="H116" s="541">
        <f t="shared" si="5"/>
        <v>11884.670555906592</v>
      </c>
      <c r="I116" s="446"/>
    </row>
    <row r="117" spans="2:9" ht="26.1" hidden="1" customHeight="1" thickTop="1" thickBot="1" x14ac:dyDescent="0.4">
      <c r="B117" s="366"/>
      <c r="C117" s="452">
        <v>45807</v>
      </c>
      <c r="D117" s="451">
        <v>102</v>
      </c>
      <c r="E117" s="454" t="s">
        <v>908</v>
      </c>
      <c r="F117" s="539">
        <f t="shared" si="3"/>
        <v>879.58392774725269</v>
      </c>
      <c r="G117" s="540">
        <f t="shared" si="4"/>
        <v>73.298660645604386</v>
      </c>
      <c r="H117" s="541">
        <f t="shared" si="5"/>
        <v>11893.293927747252</v>
      </c>
      <c r="I117" s="446"/>
    </row>
    <row r="118" spans="2:9" ht="26.1" hidden="1" customHeight="1" thickTop="1" thickBot="1" x14ac:dyDescent="0.4">
      <c r="B118" s="366"/>
      <c r="C118" s="452">
        <v>45808</v>
      </c>
      <c r="D118" s="451">
        <v>103</v>
      </c>
      <c r="E118" s="454" t="s">
        <v>909</v>
      </c>
      <c r="F118" s="539">
        <f t="shared" si="3"/>
        <v>888.20729958791208</v>
      </c>
      <c r="G118" s="540">
        <f t="shared" si="4"/>
        <v>74.01727496565934</v>
      </c>
      <c r="H118" s="541">
        <f t="shared" si="5"/>
        <v>11901.917299587911</v>
      </c>
      <c r="I118" s="446"/>
    </row>
    <row r="119" spans="2:9" ht="26.1" hidden="1" customHeight="1" thickTop="1" thickBot="1" x14ac:dyDescent="0.4">
      <c r="B119" s="366"/>
      <c r="C119" s="452">
        <v>45809</v>
      </c>
      <c r="D119" s="451">
        <v>104</v>
      </c>
      <c r="E119" s="454" t="s">
        <v>910</v>
      </c>
      <c r="F119" s="539">
        <f t="shared" si="3"/>
        <v>896.83067142857135</v>
      </c>
      <c r="G119" s="540">
        <f t="shared" si="4"/>
        <v>74.735889285714279</v>
      </c>
      <c r="H119" s="541">
        <f t="shared" si="5"/>
        <v>11910.540671428571</v>
      </c>
      <c r="I119" s="446"/>
    </row>
    <row r="120" spans="2:9" ht="26.1" hidden="1" customHeight="1" thickTop="1" thickBot="1" x14ac:dyDescent="0.4">
      <c r="B120" s="366"/>
      <c r="C120" s="452">
        <v>45810</v>
      </c>
      <c r="D120" s="451">
        <v>105</v>
      </c>
      <c r="E120" s="454" t="s">
        <v>904</v>
      </c>
      <c r="F120" s="539">
        <f t="shared" si="3"/>
        <v>905.45404326923074</v>
      </c>
      <c r="G120" s="540">
        <f t="shared" si="4"/>
        <v>75.454503605769233</v>
      </c>
      <c r="H120" s="541">
        <f t="shared" si="5"/>
        <v>11919.164043269229</v>
      </c>
      <c r="I120" s="446"/>
    </row>
    <row r="121" spans="2:9" ht="26.1" hidden="1" customHeight="1" thickTop="1" thickBot="1" x14ac:dyDescent="0.4">
      <c r="B121" s="366"/>
      <c r="C121" s="452">
        <v>45811</v>
      </c>
      <c r="D121" s="451">
        <v>106</v>
      </c>
      <c r="E121" s="454" t="s">
        <v>905</v>
      </c>
      <c r="F121" s="539">
        <f t="shared" si="3"/>
        <v>914.07741510989001</v>
      </c>
      <c r="G121" s="540">
        <f t="shared" si="4"/>
        <v>76.173117925824172</v>
      </c>
      <c r="H121" s="541">
        <f t="shared" si="5"/>
        <v>11927.787415109889</v>
      </c>
      <c r="I121" s="446"/>
    </row>
    <row r="122" spans="2:9" ht="26.1" hidden="1" customHeight="1" thickTop="1" thickBot="1" x14ac:dyDescent="0.4">
      <c r="B122" s="366"/>
      <c r="C122" s="452">
        <v>45812</v>
      </c>
      <c r="D122" s="451">
        <v>107</v>
      </c>
      <c r="E122" s="454" t="s">
        <v>906</v>
      </c>
      <c r="F122" s="539">
        <f t="shared" si="3"/>
        <v>922.7007869505494</v>
      </c>
      <c r="G122" s="540">
        <f t="shared" si="4"/>
        <v>76.891732245879112</v>
      </c>
      <c r="H122" s="541">
        <f t="shared" si="5"/>
        <v>11936.410786950548</v>
      </c>
      <c r="I122" s="446"/>
    </row>
    <row r="123" spans="2:9" ht="26.1" hidden="1" customHeight="1" thickTop="1" thickBot="1" x14ac:dyDescent="0.4">
      <c r="B123" s="366"/>
      <c r="C123" s="452">
        <v>45813</v>
      </c>
      <c r="D123" s="451">
        <v>108</v>
      </c>
      <c r="E123" s="454" t="s">
        <v>907</v>
      </c>
      <c r="F123" s="539">
        <f t="shared" si="3"/>
        <v>931.32415879120867</v>
      </c>
      <c r="G123" s="540">
        <f t="shared" si="4"/>
        <v>77.610346565934051</v>
      </c>
      <c r="H123" s="541">
        <f t="shared" si="5"/>
        <v>11945.034158791208</v>
      </c>
      <c r="I123" s="446"/>
    </row>
    <row r="124" spans="2:9" ht="26.1" hidden="1" customHeight="1" thickTop="1" thickBot="1" x14ac:dyDescent="0.4">
      <c r="B124" s="366"/>
      <c r="C124" s="452">
        <v>45814</v>
      </c>
      <c r="D124" s="451">
        <v>109</v>
      </c>
      <c r="E124" s="454" t="s">
        <v>908</v>
      </c>
      <c r="F124" s="539">
        <f t="shared" si="3"/>
        <v>939.94753063186806</v>
      </c>
      <c r="G124" s="540">
        <f t="shared" si="4"/>
        <v>78.328960885989005</v>
      </c>
      <c r="H124" s="541">
        <f t="shared" si="5"/>
        <v>11953.657530631866</v>
      </c>
      <c r="I124" s="446"/>
    </row>
    <row r="125" spans="2:9" ht="26.1" hidden="1" customHeight="1" thickTop="1" thickBot="1" x14ac:dyDescent="0.4">
      <c r="B125" s="366"/>
      <c r="C125" s="452">
        <v>45815</v>
      </c>
      <c r="D125" s="451">
        <v>110</v>
      </c>
      <c r="E125" s="454" t="s">
        <v>909</v>
      </c>
      <c r="F125" s="539">
        <f t="shared" si="3"/>
        <v>948.57090247252745</v>
      </c>
      <c r="G125" s="540">
        <f t="shared" si="4"/>
        <v>79.047575206043959</v>
      </c>
      <c r="H125" s="541">
        <f t="shared" si="5"/>
        <v>11962.280902472527</v>
      </c>
      <c r="I125" s="446"/>
    </row>
    <row r="126" spans="2:9" ht="26.1" hidden="1" customHeight="1" thickTop="1" thickBot="1" x14ac:dyDescent="0.4">
      <c r="B126" s="366"/>
      <c r="C126" s="452">
        <v>45816</v>
      </c>
      <c r="D126" s="451">
        <v>111</v>
      </c>
      <c r="E126" s="454" t="s">
        <v>910</v>
      </c>
      <c r="F126" s="539">
        <f t="shared" si="3"/>
        <v>957.19427431318672</v>
      </c>
      <c r="G126" s="540">
        <f t="shared" si="4"/>
        <v>79.766189526098898</v>
      </c>
      <c r="H126" s="541">
        <f t="shared" si="5"/>
        <v>11970.904274313187</v>
      </c>
      <c r="I126" s="446"/>
    </row>
    <row r="127" spans="2:9" ht="26.1" hidden="1" customHeight="1" thickTop="1" thickBot="1" x14ac:dyDescent="0.4">
      <c r="B127" s="366"/>
      <c r="C127" s="452">
        <v>45817</v>
      </c>
      <c r="D127" s="451">
        <v>112</v>
      </c>
      <c r="E127" s="454" t="s">
        <v>904</v>
      </c>
      <c r="F127" s="539">
        <f t="shared" si="3"/>
        <v>965.81764615384611</v>
      </c>
      <c r="G127" s="540">
        <f t="shared" si="4"/>
        <v>80.484803846153838</v>
      </c>
      <c r="H127" s="541">
        <f t="shared" si="5"/>
        <v>11979.527646153845</v>
      </c>
      <c r="I127" s="446"/>
    </row>
    <row r="128" spans="2:9" ht="26.1" hidden="1" customHeight="1" thickTop="1" thickBot="1" x14ac:dyDescent="0.4">
      <c r="B128" s="366"/>
      <c r="C128" s="452">
        <v>45818</v>
      </c>
      <c r="D128" s="451">
        <v>113</v>
      </c>
      <c r="E128" s="454" t="s">
        <v>905</v>
      </c>
      <c r="F128" s="539">
        <f t="shared" si="3"/>
        <v>974.44101799450539</v>
      </c>
      <c r="G128" s="540">
        <f t="shared" si="4"/>
        <v>81.203418166208778</v>
      </c>
      <c r="H128" s="541">
        <f t="shared" si="5"/>
        <v>11988.151017994505</v>
      </c>
      <c r="I128" s="446"/>
    </row>
    <row r="129" spans="2:9" ht="26.1" hidden="1" customHeight="1" thickTop="1" thickBot="1" x14ac:dyDescent="0.4">
      <c r="B129" s="366"/>
      <c r="C129" s="452">
        <v>45819</v>
      </c>
      <c r="D129" s="451">
        <v>114</v>
      </c>
      <c r="E129" s="454" t="s">
        <v>906</v>
      </c>
      <c r="F129" s="539">
        <f t="shared" si="3"/>
        <v>983.06438983516477</v>
      </c>
      <c r="G129" s="540">
        <f t="shared" si="4"/>
        <v>81.922032486263731</v>
      </c>
      <c r="H129" s="541">
        <f t="shared" si="5"/>
        <v>11996.774389835164</v>
      </c>
      <c r="I129" s="446"/>
    </row>
    <row r="130" spans="2:9" ht="26.1" hidden="1" customHeight="1" thickTop="1" thickBot="1" x14ac:dyDescent="0.4">
      <c r="B130" s="366"/>
      <c r="C130" s="452">
        <v>45820</v>
      </c>
      <c r="D130" s="451">
        <v>115</v>
      </c>
      <c r="E130" s="454" t="s">
        <v>907</v>
      </c>
      <c r="F130" s="539">
        <f t="shared" si="3"/>
        <v>991.68776167582405</v>
      </c>
      <c r="G130" s="540">
        <f t="shared" si="4"/>
        <v>82.640646806318671</v>
      </c>
      <c r="H130" s="541">
        <f t="shared" si="5"/>
        <v>12005.397761675824</v>
      </c>
      <c r="I130" s="446"/>
    </row>
    <row r="131" spans="2:9" ht="26.1" hidden="1" customHeight="1" thickTop="1" thickBot="1" x14ac:dyDescent="0.4">
      <c r="B131" s="366"/>
      <c r="C131" s="452">
        <v>45821</v>
      </c>
      <c r="D131" s="451">
        <v>116</v>
      </c>
      <c r="E131" s="454" t="s">
        <v>908</v>
      </c>
      <c r="F131" s="539">
        <f t="shared" si="3"/>
        <v>1000.3111335164834</v>
      </c>
      <c r="G131" s="540">
        <f t="shared" si="4"/>
        <v>83.359261126373625</v>
      </c>
      <c r="H131" s="541">
        <f t="shared" si="5"/>
        <v>12014.021133516482</v>
      </c>
      <c r="I131" s="446"/>
    </row>
    <row r="132" spans="2:9" ht="26.1" hidden="1" customHeight="1" thickTop="1" thickBot="1" x14ac:dyDescent="0.4">
      <c r="B132" s="366"/>
      <c r="C132" s="452">
        <v>45822</v>
      </c>
      <c r="D132" s="451">
        <v>117</v>
      </c>
      <c r="E132" s="454" t="s">
        <v>909</v>
      </c>
      <c r="F132" s="539">
        <f t="shared" si="3"/>
        <v>1008.9345053571428</v>
      </c>
      <c r="G132" s="540">
        <f t="shared" si="4"/>
        <v>84.077875446428564</v>
      </c>
      <c r="H132" s="541">
        <f t="shared" si="5"/>
        <v>12022.644505357142</v>
      </c>
      <c r="I132" s="446"/>
    </row>
    <row r="133" spans="2:9" ht="26.1" hidden="1" customHeight="1" thickTop="1" thickBot="1" x14ac:dyDescent="0.4">
      <c r="B133" s="366"/>
      <c r="C133" s="452">
        <v>45823</v>
      </c>
      <c r="D133" s="451">
        <v>118</v>
      </c>
      <c r="E133" s="454" t="s">
        <v>910</v>
      </c>
      <c r="F133" s="539">
        <f t="shared" si="3"/>
        <v>1017.5578771978021</v>
      </c>
      <c r="G133" s="540">
        <f t="shared" si="4"/>
        <v>84.796489766483504</v>
      </c>
      <c r="H133" s="541">
        <f t="shared" si="5"/>
        <v>12031.267877197801</v>
      </c>
      <c r="I133" s="446"/>
    </row>
    <row r="134" spans="2:9" ht="26.1" hidden="1" customHeight="1" thickTop="1" thickBot="1" x14ac:dyDescent="0.4">
      <c r="B134" s="366"/>
      <c r="C134" s="452">
        <v>45824</v>
      </c>
      <c r="D134" s="451">
        <v>119</v>
      </c>
      <c r="E134" s="454" t="s">
        <v>904</v>
      </c>
      <c r="F134" s="539">
        <f t="shared" si="3"/>
        <v>1026.1812490384614</v>
      </c>
      <c r="G134" s="540">
        <f t="shared" si="4"/>
        <v>85.515104086538443</v>
      </c>
      <c r="H134" s="541">
        <f t="shared" si="5"/>
        <v>12039.891249038461</v>
      </c>
      <c r="I134" s="446"/>
    </row>
    <row r="135" spans="2:9" ht="26.1" hidden="1" customHeight="1" thickTop="1" thickBot="1" x14ac:dyDescent="0.4">
      <c r="B135" s="366"/>
      <c r="C135" s="452">
        <v>45825</v>
      </c>
      <c r="D135" s="451">
        <v>120</v>
      </c>
      <c r="E135" s="454" t="s">
        <v>905</v>
      </c>
      <c r="F135" s="539">
        <f t="shared" si="3"/>
        <v>1034.8046208791209</v>
      </c>
      <c r="G135" s="540">
        <f t="shared" si="4"/>
        <v>86.233718406593411</v>
      </c>
      <c r="H135" s="541">
        <f t="shared" si="5"/>
        <v>12048.514620879119</v>
      </c>
      <c r="I135" s="446"/>
    </row>
    <row r="136" spans="2:9" ht="26.1" hidden="1" customHeight="1" thickTop="1" thickBot="1" x14ac:dyDescent="0.4">
      <c r="B136" s="366"/>
      <c r="C136" s="452">
        <v>45826</v>
      </c>
      <c r="D136" s="451">
        <v>121</v>
      </c>
      <c r="E136" s="454" t="s">
        <v>906</v>
      </c>
      <c r="F136" s="539">
        <f t="shared" si="3"/>
        <v>1043.4279927197801</v>
      </c>
      <c r="G136" s="540">
        <f t="shared" si="4"/>
        <v>86.952332726648351</v>
      </c>
      <c r="H136" s="541">
        <f t="shared" si="5"/>
        <v>12057.13799271978</v>
      </c>
      <c r="I136" s="446"/>
    </row>
    <row r="137" spans="2:9" ht="26.1" hidden="1" customHeight="1" thickTop="1" thickBot="1" x14ac:dyDescent="0.4">
      <c r="B137" s="366"/>
      <c r="C137" s="452">
        <v>45827</v>
      </c>
      <c r="D137" s="451">
        <v>122</v>
      </c>
      <c r="E137" s="454" t="s">
        <v>907</v>
      </c>
      <c r="F137" s="539">
        <f t="shared" si="3"/>
        <v>1052.0513645604394</v>
      </c>
      <c r="G137" s="540">
        <f t="shared" si="4"/>
        <v>87.67094704670329</v>
      </c>
      <c r="H137" s="541">
        <f t="shared" si="5"/>
        <v>12065.761364560438</v>
      </c>
      <c r="I137" s="446"/>
    </row>
    <row r="138" spans="2:9" ht="26.1" hidden="1" customHeight="1" thickTop="1" thickBot="1" x14ac:dyDescent="0.4">
      <c r="B138" s="366"/>
      <c r="C138" s="452">
        <v>45828</v>
      </c>
      <c r="D138" s="451">
        <v>123</v>
      </c>
      <c r="E138" s="454" t="s">
        <v>908</v>
      </c>
      <c r="F138" s="539">
        <f t="shared" si="3"/>
        <v>1060.6747364010989</v>
      </c>
      <c r="G138" s="540">
        <f t="shared" si="4"/>
        <v>88.389561366758244</v>
      </c>
      <c r="H138" s="541">
        <f t="shared" si="5"/>
        <v>12074.384736401098</v>
      </c>
      <c r="I138" s="446"/>
    </row>
    <row r="139" spans="2:9" ht="26.1" hidden="1" customHeight="1" thickTop="1" thickBot="1" x14ac:dyDescent="0.4">
      <c r="B139" s="366"/>
      <c r="C139" s="452">
        <v>45829</v>
      </c>
      <c r="D139" s="451">
        <v>124</v>
      </c>
      <c r="E139" s="454" t="s">
        <v>909</v>
      </c>
      <c r="F139" s="539">
        <f t="shared" si="3"/>
        <v>1069.2981082417582</v>
      </c>
      <c r="G139" s="540">
        <f t="shared" si="4"/>
        <v>89.108175686813183</v>
      </c>
      <c r="H139" s="541">
        <f t="shared" si="5"/>
        <v>12083.008108241756</v>
      </c>
      <c r="I139" s="446"/>
    </row>
    <row r="140" spans="2:9" ht="26.1" hidden="1" customHeight="1" thickTop="1" thickBot="1" x14ac:dyDescent="0.4">
      <c r="B140" s="366"/>
      <c r="C140" s="452">
        <v>45830</v>
      </c>
      <c r="D140" s="451">
        <v>125</v>
      </c>
      <c r="E140" s="454" t="s">
        <v>910</v>
      </c>
      <c r="F140" s="539">
        <f t="shared" si="3"/>
        <v>1077.9214800824175</v>
      </c>
      <c r="G140" s="540">
        <f t="shared" si="4"/>
        <v>89.826790006868123</v>
      </c>
      <c r="H140" s="541">
        <f t="shared" si="5"/>
        <v>12091.631480082417</v>
      </c>
      <c r="I140" s="446"/>
    </row>
    <row r="141" spans="2:9" ht="26.1" hidden="1" customHeight="1" thickTop="1" thickBot="1" x14ac:dyDescent="0.4">
      <c r="B141" s="366"/>
      <c r="C141" s="452">
        <v>45831</v>
      </c>
      <c r="D141" s="451">
        <v>126</v>
      </c>
      <c r="E141" s="454" t="s">
        <v>904</v>
      </c>
      <c r="F141" s="539">
        <f t="shared" si="3"/>
        <v>1086.5448519230767</v>
      </c>
      <c r="G141" s="540">
        <f t="shared" si="4"/>
        <v>90.545404326923062</v>
      </c>
      <c r="H141" s="541">
        <f t="shared" si="5"/>
        <v>12100.254851923077</v>
      </c>
      <c r="I141" s="446"/>
    </row>
    <row r="142" spans="2:9" ht="26.1" hidden="1" customHeight="1" thickTop="1" thickBot="1" x14ac:dyDescent="0.4">
      <c r="B142" s="366"/>
      <c r="C142" s="452">
        <v>45832</v>
      </c>
      <c r="D142" s="451">
        <v>127</v>
      </c>
      <c r="E142" s="454" t="s">
        <v>905</v>
      </c>
      <c r="F142" s="539">
        <f t="shared" si="3"/>
        <v>1095.1682237637363</v>
      </c>
      <c r="G142" s="540">
        <f t="shared" si="4"/>
        <v>91.264018646978016</v>
      </c>
      <c r="H142" s="541">
        <f t="shared" si="5"/>
        <v>12108.878223763735</v>
      </c>
      <c r="I142" s="446"/>
    </row>
    <row r="143" spans="2:9" ht="26.1" hidden="1" customHeight="1" thickTop="1" thickBot="1" x14ac:dyDescent="0.4">
      <c r="B143" s="366"/>
      <c r="C143" s="452">
        <v>45833</v>
      </c>
      <c r="D143" s="451">
        <v>128</v>
      </c>
      <c r="E143" s="454" t="s">
        <v>906</v>
      </c>
      <c r="F143" s="539">
        <f t="shared" si="3"/>
        <v>1103.7915956043955</v>
      </c>
      <c r="G143" s="540">
        <f t="shared" si="4"/>
        <v>91.982632967032956</v>
      </c>
      <c r="H143" s="541">
        <f t="shared" si="5"/>
        <v>12117.501595604395</v>
      </c>
      <c r="I143" s="446"/>
    </row>
    <row r="144" spans="2:9" ht="26.1" hidden="1" customHeight="1" thickTop="1" thickBot="1" x14ac:dyDescent="0.4">
      <c r="B144" s="366"/>
      <c r="C144" s="452">
        <v>45834</v>
      </c>
      <c r="D144" s="451">
        <v>129</v>
      </c>
      <c r="E144" s="454" t="s">
        <v>907</v>
      </c>
      <c r="F144" s="539">
        <f t="shared" ref="F144:F207" si="6">$E$8/$F$10*D144</f>
        <v>1112.4149674450548</v>
      </c>
      <c r="G144" s="540">
        <f t="shared" ref="G144:G207" si="7">F144/$C$12</f>
        <v>92.701247287087895</v>
      </c>
      <c r="H144" s="541">
        <f t="shared" si="5"/>
        <v>12126.124967445054</v>
      </c>
      <c r="I144" s="446"/>
    </row>
    <row r="145" spans="2:9" ht="26.1" hidden="1" customHeight="1" thickTop="1" thickBot="1" x14ac:dyDescent="0.4">
      <c r="B145" s="366"/>
      <c r="C145" s="452">
        <v>45835</v>
      </c>
      <c r="D145" s="451">
        <v>130</v>
      </c>
      <c r="E145" s="454" t="s">
        <v>908</v>
      </c>
      <c r="F145" s="539">
        <f t="shared" si="6"/>
        <v>1121.0383392857143</v>
      </c>
      <c r="G145" s="540">
        <f t="shared" si="7"/>
        <v>93.419861607142863</v>
      </c>
      <c r="H145" s="541">
        <f t="shared" ref="H145:H208" si="8">$C$8+F145</f>
        <v>12134.748339285714</v>
      </c>
      <c r="I145" s="446"/>
    </row>
    <row r="146" spans="2:9" ht="26.1" hidden="1" customHeight="1" thickTop="1" thickBot="1" x14ac:dyDescent="0.4">
      <c r="B146" s="366"/>
      <c r="C146" s="452">
        <v>45836</v>
      </c>
      <c r="D146" s="451">
        <v>131</v>
      </c>
      <c r="E146" s="454" t="s">
        <v>909</v>
      </c>
      <c r="F146" s="539">
        <f t="shared" si="6"/>
        <v>1129.6617111263736</v>
      </c>
      <c r="G146" s="540">
        <f t="shared" si="7"/>
        <v>94.138475927197803</v>
      </c>
      <c r="H146" s="541">
        <f t="shared" si="8"/>
        <v>12143.371711126372</v>
      </c>
      <c r="I146" s="446"/>
    </row>
    <row r="147" spans="2:9" ht="26.1" hidden="1" customHeight="1" thickTop="1" thickBot="1" x14ac:dyDescent="0.4">
      <c r="B147" s="366"/>
      <c r="C147" s="452">
        <v>45837</v>
      </c>
      <c r="D147" s="451">
        <v>132</v>
      </c>
      <c r="E147" s="454" t="s">
        <v>910</v>
      </c>
      <c r="F147" s="539">
        <f t="shared" si="6"/>
        <v>1138.2850829670328</v>
      </c>
      <c r="G147" s="540">
        <f t="shared" si="7"/>
        <v>94.857090247252742</v>
      </c>
      <c r="H147" s="541">
        <f t="shared" si="8"/>
        <v>12151.995082967032</v>
      </c>
      <c r="I147" s="446"/>
    </row>
    <row r="148" spans="2:9" ht="26.1" hidden="1" customHeight="1" thickTop="1" thickBot="1" x14ac:dyDescent="0.4">
      <c r="B148" s="366"/>
      <c r="C148" s="452">
        <v>45838</v>
      </c>
      <c r="D148" s="451">
        <v>133</v>
      </c>
      <c r="E148" s="454" t="s">
        <v>904</v>
      </c>
      <c r="F148" s="539">
        <f t="shared" si="6"/>
        <v>1146.9084548076921</v>
      </c>
      <c r="G148" s="540">
        <f t="shared" si="7"/>
        <v>95.575704567307682</v>
      </c>
      <c r="H148" s="541">
        <f t="shared" si="8"/>
        <v>12160.618454807691</v>
      </c>
      <c r="I148" s="446"/>
    </row>
    <row r="149" spans="2:9" ht="26.1" hidden="1" customHeight="1" thickTop="1" thickBot="1" x14ac:dyDescent="0.4">
      <c r="B149" s="366"/>
      <c r="C149" s="452">
        <v>45839</v>
      </c>
      <c r="D149" s="451">
        <v>134</v>
      </c>
      <c r="E149" s="454" t="s">
        <v>905</v>
      </c>
      <c r="F149" s="539">
        <f t="shared" si="6"/>
        <v>1155.5318266483516</v>
      </c>
      <c r="G149" s="540">
        <f t="shared" si="7"/>
        <v>96.294318887362635</v>
      </c>
      <c r="H149" s="541">
        <f t="shared" si="8"/>
        <v>12169.241826648351</v>
      </c>
      <c r="I149" s="446"/>
    </row>
    <row r="150" spans="2:9" ht="26.1" hidden="1" customHeight="1" thickTop="1" thickBot="1" x14ac:dyDescent="0.4">
      <c r="B150" s="366"/>
      <c r="C150" s="452">
        <v>45840</v>
      </c>
      <c r="D150" s="451">
        <v>135</v>
      </c>
      <c r="E150" s="454" t="s">
        <v>906</v>
      </c>
      <c r="F150" s="539">
        <f t="shared" si="6"/>
        <v>1164.1551984890109</v>
      </c>
      <c r="G150" s="540">
        <f t="shared" si="7"/>
        <v>97.012933207417575</v>
      </c>
      <c r="H150" s="541">
        <f t="shared" si="8"/>
        <v>12177.865198489009</v>
      </c>
      <c r="I150" s="446"/>
    </row>
    <row r="151" spans="2:9" ht="26.1" hidden="1" customHeight="1" thickTop="1" thickBot="1" x14ac:dyDescent="0.4">
      <c r="B151" s="366"/>
      <c r="C151" s="452">
        <v>45841</v>
      </c>
      <c r="D151" s="451">
        <v>136</v>
      </c>
      <c r="E151" s="454" t="s">
        <v>907</v>
      </c>
      <c r="F151" s="539">
        <f t="shared" si="6"/>
        <v>1172.7785703296702</v>
      </c>
      <c r="G151" s="540">
        <f t="shared" si="7"/>
        <v>97.731547527472515</v>
      </c>
      <c r="H151" s="541">
        <f t="shared" si="8"/>
        <v>12186.48857032967</v>
      </c>
      <c r="I151" s="446"/>
    </row>
    <row r="152" spans="2:9" ht="26.1" hidden="1" customHeight="1" thickTop="1" thickBot="1" x14ac:dyDescent="0.4">
      <c r="B152" s="366"/>
      <c r="C152" s="452">
        <v>45842</v>
      </c>
      <c r="D152" s="451">
        <v>137</v>
      </c>
      <c r="E152" s="454" t="s">
        <v>908</v>
      </c>
      <c r="F152" s="539">
        <f t="shared" si="6"/>
        <v>1181.4019421703297</v>
      </c>
      <c r="G152" s="540">
        <f t="shared" si="7"/>
        <v>98.450161847527468</v>
      </c>
      <c r="H152" s="541">
        <f t="shared" si="8"/>
        <v>12195.11194217033</v>
      </c>
      <c r="I152" s="446"/>
    </row>
    <row r="153" spans="2:9" ht="26.1" hidden="1" customHeight="1" thickTop="1" thickBot="1" x14ac:dyDescent="0.4">
      <c r="B153" s="366"/>
      <c r="C153" s="452">
        <v>45843</v>
      </c>
      <c r="D153" s="451">
        <v>138</v>
      </c>
      <c r="E153" s="454" t="s">
        <v>909</v>
      </c>
      <c r="F153" s="539">
        <f t="shared" si="6"/>
        <v>1190.025314010989</v>
      </c>
      <c r="G153" s="540">
        <f t="shared" si="7"/>
        <v>99.168776167582408</v>
      </c>
      <c r="H153" s="541">
        <f t="shared" si="8"/>
        <v>12203.735314010988</v>
      </c>
      <c r="I153" s="446"/>
    </row>
    <row r="154" spans="2:9" ht="26.1" hidden="1" customHeight="1" thickTop="1" thickBot="1" x14ac:dyDescent="0.4">
      <c r="B154" s="366"/>
      <c r="C154" s="452">
        <v>45844</v>
      </c>
      <c r="D154" s="451">
        <v>139</v>
      </c>
      <c r="E154" s="454" t="s">
        <v>910</v>
      </c>
      <c r="F154" s="539">
        <f t="shared" si="6"/>
        <v>1198.6486858516482</v>
      </c>
      <c r="G154" s="540">
        <f t="shared" si="7"/>
        <v>99.887390487637347</v>
      </c>
      <c r="H154" s="541">
        <f t="shared" si="8"/>
        <v>12212.358685851646</v>
      </c>
      <c r="I154" s="446"/>
    </row>
    <row r="155" spans="2:9" ht="26.1" hidden="1" customHeight="1" thickTop="1" thickBot="1" x14ac:dyDescent="0.4">
      <c r="B155" s="366"/>
      <c r="C155" s="452">
        <v>45845</v>
      </c>
      <c r="D155" s="451">
        <v>140</v>
      </c>
      <c r="E155" s="454" t="s">
        <v>904</v>
      </c>
      <c r="F155" s="539">
        <f t="shared" si="6"/>
        <v>1207.2720576923075</v>
      </c>
      <c r="G155" s="540">
        <f t="shared" si="7"/>
        <v>100.60600480769229</v>
      </c>
      <c r="H155" s="541">
        <f t="shared" si="8"/>
        <v>12220.982057692307</v>
      </c>
      <c r="I155" s="446"/>
    </row>
    <row r="156" spans="2:9" ht="26.1" hidden="1" customHeight="1" thickTop="1" thickBot="1" x14ac:dyDescent="0.4">
      <c r="B156" s="366"/>
      <c r="C156" s="452">
        <v>45846</v>
      </c>
      <c r="D156" s="451">
        <v>141</v>
      </c>
      <c r="E156" s="454" t="s">
        <v>905</v>
      </c>
      <c r="F156" s="539">
        <f t="shared" si="6"/>
        <v>1215.895429532967</v>
      </c>
      <c r="G156" s="540">
        <f t="shared" si="7"/>
        <v>101.32461912774725</v>
      </c>
      <c r="H156" s="541">
        <f t="shared" si="8"/>
        <v>12229.605429532967</v>
      </c>
      <c r="I156" s="446"/>
    </row>
    <row r="157" spans="2:9" ht="26.1" hidden="1" customHeight="1" thickTop="1" thickBot="1" x14ac:dyDescent="0.4">
      <c r="B157" s="366"/>
      <c r="C157" s="452">
        <v>45847</v>
      </c>
      <c r="D157" s="451">
        <v>142</v>
      </c>
      <c r="E157" s="454" t="s">
        <v>906</v>
      </c>
      <c r="F157" s="539">
        <f t="shared" si="6"/>
        <v>1224.5188013736263</v>
      </c>
      <c r="G157" s="540">
        <f t="shared" si="7"/>
        <v>102.04323344780219</v>
      </c>
      <c r="H157" s="541">
        <f t="shared" si="8"/>
        <v>12238.228801373625</v>
      </c>
      <c r="I157" s="446"/>
    </row>
    <row r="158" spans="2:9" ht="26.1" hidden="1" customHeight="1" thickTop="1" thickBot="1" x14ac:dyDescent="0.4">
      <c r="B158" s="366"/>
      <c r="C158" s="452">
        <v>45848</v>
      </c>
      <c r="D158" s="451">
        <v>143</v>
      </c>
      <c r="E158" s="454" t="s">
        <v>907</v>
      </c>
      <c r="F158" s="539">
        <f t="shared" si="6"/>
        <v>1233.1421732142855</v>
      </c>
      <c r="G158" s="540">
        <f t="shared" si="7"/>
        <v>102.76184776785713</v>
      </c>
      <c r="H158" s="541">
        <f t="shared" si="8"/>
        <v>12246.852173214285</v>
      </c>
      <c r="I158" s="446"/>
    </row>
    <row r="159" spans="2:9" ht="26.1" hidden="1" customHeight="1" thickTop="1" thickBot="1" x14ac:dyDescent="0.4">
      <c r="B159" s="366"/>
      <c r="C159" s="452">
        <v>45849</v>
      </c>
      <c r="D159" s="451">
        <v>144</v>
      </c>
      <c r="E159" s="454" t="s">
        <v>908</v>
      </c>
      <c r="F159" s="539">
        <f t="shared" si="6"/>
        <v>1241.7655450549451</v>
      </c>
      <c r="G159" s="540">
        <f t="shared" si="7"/>
        <v>103.48046208791209</v>
      </c>
      <c r="H159" s="541">
        <f t="shared" si="8"/>
        <v>12255.475545054944</v>
      </c>
      <c r="I159" s="446"/>
    </row>
    <row r="160" spans="2:9" ht="26.1" hidden="1" customHeight="1" thickTop="1" thickBot="1" x14ac:dyDescent="0.4">
      <c r="B160" s="366"/>
      <c r="C160" s="452">
        <v>45850</v>
      </c>
      <c r="D160" s="451">
        <v>145</v>
      </c>
      <c r="E160" s="454" t="s">
        <v>909</v>
      </c>
      <c r="F160" s="539">
        <f t="shared" si="6"/>
        <v>1250.3889168956043</v>
      </c>
      <c r="G160" s="540">
        <f t="shared" si="7"/>
        <v>104.19907640796703</v>
      </c>
      <c r="H160" s="541">
        <f t="shared" si="8"/>
        <v>12264.098916895604</v>
      </c>
      <c r="I160" s="446"/>
    </row>
    <row r="161" spans="2:9" ht="26.1" hidden="1" customHeight="1" thickTop="1" thickBot="1" x14ac:dyDescent="0.4">
      <c r="B161" s="366"/>
      <c r="C161" s="452">
        <v>45851</v>
      </c>
      <c r="D161" s="451">
        <v>146</v>
      </c>
      <c r="E161" s="454" t="s">
        <v>910</v>
      </c>
      <c r="F161" s="539">
        <f t="shared" si="6"/>
        <v>1259.0122887362636</v>
      </c>
      <c r="G161" s="540">
        <f t="shared" si="7"/>
        <v>104.91769072802197</v>
      </c>
      <c r="H161" s="541">
        <f t="shared" si="8"/>
        <v>12272.722288736262</v>
      </c>
      <c r="I161" s="446"/>
    </row>
    <row r="162" spans="2:9" ht="26.1" hidden="1" customHeight="1" thickTop="1" thickBot="1" x14ac:dyDescent="0.4">
      <c r="B162" s="366"/>
      <c r="C162" s="452">
        <v>45852</v>
      </c>
      <c r="D162" s="451">
        <v>147</v>
      </c>
      <c r="E162" s="454" t="s">
        <v>904</v>
      </c>
      <c r="F162" s="539">
        <f t="shared" si="6"/>
        <v>1267.6356605769229</v>
      </c>
      <c r="G162" s="540">
        <f t="shared" si="7"/>
        <v>105.63630504807691</v>
      </c>
      <c r="H162" s="541">
        <f t="shared" si="8"/>
        <v>12281.345660576922</v>
      </c>
      <c r="I162" s="446"/>
    </row>
    <row r="163" spans="2:9" ht="26.1" hidden="1" customHeight="1" thickTop="1" thickBot="1" x14ac:dyDescent="0.4">
      <c r="B163" s="366"/>
      <c r="C163" s="452">
        <v>45853</v>
      </c>
      <c r="D163" s="451">
        <v>148</v>
      </c>
      <c r="E163" s="454" t="s">
        <v>905</v>
      </c>
      <c r="F163" s="539">
        <f t="shared" si="6"/>
        <v>1276.2590324175824</v>
      </c>
      <c r="G163" s="540">
        <f t="shared" si="7"/>
        <v>106.35491936813186</v>
      </c>
      <c r="H163" s="541">
        <f t="shared" si="8"/>
        <v>12289.969032417581</v>
      </c>
      <c r="I163" s="446"/>
    </row>
    <row r="164" spans="2:9" ht="26.1" hidden="1" customHeight="1" thickTop="1" thickBot="1" x14ac:dyDescent="0.4">
      <c r="B164" s="366"/>
      <c r="C164" s="452">
        <v>45854</v>
      </c>
      <c r="D164" s="451">
        <v>149</v>
      </c>
      <c r="E164" s="454" t="s">
        <v>906</v>
      </c>
      <c r="F164" s="539">
        <f t="shared" si="6"/>
        <v>1284.8824042582416</v>
      </c>
      <c r="G164" s="540">
        <f t="shared" si="7"/>
        <v>107.0735336881868</v>
      </c>
      <c r="H164" s="541">
        <f t="shared" si="8"/>
        <v>12298.592404258241</v>
      </c>
      <c r="I164" s="446"/>
    </row>
    <row r="165" spans="2:9" ht="26.1" hidden="1" customHeight="1" thickTop="1" thickBot="1" x14ac:dyDescent="0.4">
      <c r="B165" s="366"/>
      <c r="C165" s="452">
        <v>45855</v>
      </c>
      <c r="D165" s="451">
        <v>150</v>
      </c>
      <c r="E165" s="454" t="s">
        <v>907</v>
      </c>
      <c r="F165" s="539">
        <f t="shared" si="6"/>
        <v>1293.5057760989009</v>
      </c>
      <c r="G165" s="540">
        <f t="shared" si="7"/>
        <v>107.79214800824174</v>
      </c>
      <c r="H165" s="541">
        <f t="shared" si="8"/>
        <v>12307.215776098899</v>
      </c>
      <c r="I165" s="446"/>
    </row>
    <row r="166" spans="2:9" ht="26.1" hidden="1" customHeight="1" thickTop="1" thickBot="1" x14ac:dyDescent="0.4">
      <c r="B166" s="366"/>
      <c r="C166" s="452">
        <v>45856</v>
      </c>
      <c r="D166" s="451">
        <v>151</v>
      </c>
      <c r="E166" s="454" t="s">
        <v>908</v>
      </c>
      <c r="F166" s="539">
        <f t="shared" si="6"/>
        <v>1302.1291479395604</v>
      </c>
      <c r="G166" s="540">
        <f t="shared" si="7"/>
        <v>108.51076232829671</v>
      </c>
      <c r="H166" s="541">
        <f t="shared" si="8"/>
        <v>12315.83914793956</v>
      </c>
      <c r="I166" s="446"/>
    </row>
    <row r="167" spans="2:9" ht="26.1" hidden="1" customHeight="1" thickTop="1" thickBot="1" x14ac:dyDescent="0.4">
      <c r="B167" s="366"/>
      <c r="C167" s="452">
        <v>45857</v>
      </c>
      <c r="D167" s="451">
        <v>152</v>
      </c>
      <c r="E167" s="454" t="s">
        <v>909</v>
      </c>
      <c r="F167" s="539">
        <f t="shared" si="6"/>
        <v>1310.7525197802197</v>
      </c>
      <c r="G167" s="540">
        <f t="shared" si="7"/>
        <v>109.22937664835165</v>
      </c>
      <c r="H167" s="541">
        <f t="shared" si="8"/>
        <v>12324.46251978022</v>
      </c>
      <c r="I167" s="446"/>
    </row>
    <row r="168" spans="2:9" ht="26.1" hidden="1" customHeight="1" thickTop="1" thickBot="1" x14ac:dyDescent="0.4">
      <c r="B168" s="366"/>
      <c r="C168" s="452">
        <v>45858</v>
      </c>
      <c r="D168" s="451">
        <v>153</v>
      </c>
      <c r="E168" s="454" t="s">
        <v>910</v>
      </c>
      <c r="F168" s="539">
        <f t="shared" si="6"/>
        <v>1319.375891620879</v>
      </c>
      <c r="G168" s="540">
        <f t="shared" si="7"/>
        <v>109.94799096840659</v>
      </c>
      <c r="H168" s="541">
        <f t="shared" si="8"/>
        <v>12333.085891620878</v>
      </c>
      <c r="I168" s="446"/>
    </row>
    <row r="169" spans="2:9" ht="26.1" hidden="1" customHeight="1" thickTop="1" thickBot="1" x14ac:dyDescent="0.4">
      <c r="B169" s="366"/>
      <c r="C169" s="452">
        <v>45859</v>
      </c>
      <c r="D169" s="451">
        <v>154</v>
      </c>
      <c r="E169" s="454" t="s">
        <v>904</v>
      </c>
      <c r="F169" s="539">
        <f t="shared" si="6"/>
        <v>1327.9992634615385</v>
      </c>
      <c r="G169" s="540">
        <f t="shared" si="7"/>
        <v>110.66660528846154</v>
      </c>
      <c r="H169" s="541">
        <f t="shared" si="8"/>
        <v>12341.709263461538</v>
      </c>
      <c r="I169" s="446"/>
    </row>
    <row r="170" spans="2:9" ht="26.1" hidden="1" customHeight="1" thickTop="1" thickBot="1" x14ac:dyDescent="0.4">
      <c r="B170" s="366"/>
      <c r="C170" s="452">
        <v>45860</v>
      </c>
      <c r="D170" s="451">
        <v>155</v>
      </c>
      <c r="E170" s="454" t="s">
        <v>905</v>
      </c>
      <c r="F170" s="539">
        <f t="shared" si="6"/>
        <v>1336.6226353021978</v>
      </c>
      <c r="G170" s="540">
        <f t="shared" si="7"/>
        <v>111.38521960851648</v>
      </c>
      <c r="H170" s="541">
        <f t="shared" si="8"/>
        <v>12350.332635302197</v>
      </c>
      <c r="I170" s="446"/>
    </row>
    <row r="171" spans="2:9" ht="26.1" hidden="1" customHeight="1" thickTop="1" thickBot="1" x14ac:dyDescent="0.4">
      <c r="B171" s="366"/>
      <c r="C171" s="452">
        <v>45861</v>
      </c>
      <c r="D171" s="451">
        <v>156</v>
      </c>
      <c r="E171" s="454" t="s">
        <v>906</v>
      </c>
      <c r="F171" s="539">
        <f t="shared" si="6"/>
        <v>1345.246007142857</v>
      </c>
      <c r="G171" s="540">
        <f t="shared" si="7"/>
        <v>112.10383392857142</v>
      </c>
      <c r="H171" s="541">
        <f t="shared" si="8"/>
        <v>12358.956007142857</v>
      </c>
      <c r="I171" s="446"/>
    </row>
    <row r="172" spans="2:9" ht="26.1" hidden="1" customHeight="1" thickTop="1" thickBot="1" x14ac:dyDescent="0.4">
      <c r="B172" s="366"/>
      <c r="C172" s="452">
        <v>45862</v>
      </c>
      <c r="D172" s="451">
        <v>157</v>
      </c>
      <c r="E172" s="454" t="s">
        <v>907</v>
      </c>
      <c r="F172" s="539">
        <f t="shared" si="6"/>
        <v>1353.8693789835163</v>
      </c>
      <c r="G172" s="540">
        <f t="shared" si="7"/>
        <v>112.82244824862636</v>
      </c>
      <c r="H172" s="541">
        <f t="shared" si="8"/>
        <v>12367.579378983515</v>
      </c>
      <c r="I172" s="446"/>
    </row>
    <row r="173" spans="2:9" ht="26.1" hidden="1" customHeight="1" thickTop="1" thickBot="1" x14ac:dyDescent="0.4">
      <c r="B173" s="366"/>
      <c r="C173" s="452">
        <v>45863</v>
      </c>
      <c r="D173" s="451">
        <v>158</v>
      </c>
      <c r="E173" s="454" t="s">
        <v>908</v>
      </c>
      <c r="F173" s="539">
        <f t="shared" si="6"/>
        <v>1362.4927508241758</v>
      </c>
      <c r="G173" s="540">
        <f t="shared" si="7"/>
        <v>113.54106256868131</v>
      </c>
      <c r="H173" s="541">
        <f t="shared" si="8"/>
        <v>12376.202750824175</v>
      </c>
      <c r="I173" s="446"/>
    </row>
    <row r="174" spans="2:9" ht="26.1" hidden="1" customHeight="1" thickTop="1" thickBot="1" x14ac:dyDescent="0.4">
      <c r="B174" s="366"/>
      <c r="C174" s="452">
        <v>45864</v>
      </c>
      <c r="D174" s="451">
        <v>159</v>
      </c>
      <c r="E174" s="454" t="s">
        <v>909</v>
      </c>
      <c r="F174" s="539">
        <f t="shared" si="6"/>
        <v>1371.1161226648351</v>
      </c>
      <c r="G174" s="540">
        <f t="shared" si="7"/>
        <v>114.25967688873625</v>
      </c>
      <c r="H174" s="541">
        <f t="shared" si="8"/>
        <v>12384.826122664834</v>
      </c>
      <c r="I174" s="446"/>
    </row>
    <row r="175" spans="2:9" ht="26.1" hidden="1" customHeight="1" thickTop="1" thickBot="1" x14ac:dyDescent="0.4">
      <c r="B175" s="366"/>
      <c r="C175" s="452">
        <v>45865</v>
      </c>
      <c r="D175" s="451">
        <v>160</v>
      </c>
      <c r="E175" s="454" t="s">
        <v>910</v>
      </c>
      <c r="F175" s="539">
        <f t="shared" si="6"/>
        <v>1379.7394945054943</v>
      </c>
      <c r="G175" s="540">
        <f t="shared" si="7"/>
        <v>114.97829120879119</v>
      </c>
      <c r="H175" s="541">
        <f t="shared" si="8"/>
        <v>12393.449494505494</v>
      </c>
      <c r="I175" s="446"/>
    </row>
    <row r="176" spans="2:9" ht="26.1" hidden="1" customHeight="1" thickTop="1" thickBot="1" x14ac:dyDescent="0.4">
      <c r="B176" s="366"/>
      <c r="C176" s="452">
        <v>45866</v>
      </c>
      <c r="D176" s="451">
        <v>161</v>
      </c>
      <c r="E176" s="454" t="s">
        <v>904</v>
      </c>
      <c r="F176" s="539">
        <f t="shared" si="6"/>
        <v>1388.3628663461539</v>
      </c>
      <c r="G176" s="540">
        <f t="shared" si="7"/>
        <v>115.69690552884616</v>
      </c>
      <c r="H176" s="541">
        <f t="shared" si="8"/>
        <v>12402.072866346152</v>
      </c>
      <c r="I176" s="446"/>
    </row>
    <row r="177" spans="2:9" ht="26.1" hidden="1" customHeight="1" thickTop="1" thickBot="1" x14ac:dyDescent="0.4">
      <c r="B177" s="366"/>
      <c r="C177" s="452">
        <v>45867</v>
      </c>
      <c r="D177" s="451">
        <v>162</v>
      </c>
      <c r="E177" s="454" t="s">
        <v>905</v>
      </c>
      <c r="F177" s="539">
        <f t="shared" si="6"/>
        <v>1396.9862381868131</v>
      </c>
      <c r="G177" s="540">
        <f t="shared" si="7"/>
        <v>116.4155198489011</v>
      </c>
      <c r="H177" s="541">
        <f t="shared" si="8"/>
        <v>12410.696238186812</v>
      </c>
      <c r="I177" s="446"/>
    </row>
    <row r="178" spans="2:9" ht="26.1" hidden="1" customHeight="1" thickTop="1" thickBot="1" x14ac:dyDescent="0.4">
      <c r="B178" s="366"/>
      <c r="C178" s="452">
        <v>45868</v>
      </c>
      <c r="D178" s="451">
        <v>163</v>
      </c>
      <c r="E178" s="454" t="s">
        <v>906</v>
      </c>
      <c r="F178" s="539">
        <f t="shared" si="6"/>
        <v>1405.6096100274724</v>
      </c>
      <c r="G178" s="540">
        <f t="shared" si="7"/>
        <v>117.13413416895604</v>
      </c>
      <c r="H178" s="541">
        <f t="shared" si="8"/>
        <v>12419.319610027471</v>
      </c>
      <c r="I178" s="446"/>
    </row>
    <row r="179" spans="2:9" ht="26.1" hidden="1" customHeight="1" thickTop="1" thickBot="1" x14ac:dyDescent="0.4">
      <c r="B179" s="366"/>
      <c r="C179" s="452">
        <v>45869</v>
      </c>
      <c r="D179" s="451">
        <v>164</v>
      </c>
      <c r="E179" s="454" t="s">
        <v>907</v>
      </c>
      <c r="F179" s="539">
        <f t="shared" si="6"/>
        <v>1414.2329818681317</v>
      </c>
      <c r="G179" s="540">
        <f t="shared" si="7"/>
        <v>117.85274848901098</v>
      </c>
      <c r="H179" s="541">
        <f t="shared" si="8"/>
        <v>12427.942981868131</v>
      </c>
      <c r="I179" s="446"/>
    </row>
    <row r="180" spans="2:9" ht="26.1" hidden="1" customHeight="1" thickTop="1" thickBot="1" x14ac:dyDescent="0.4">
      <c r="B180" s="366"/>
      <c r="C180" s="452">
        <v>45870</v>
      </c>
      <c r="D180" s="451">
        <v>165</v>
      </c>
      <c r="E180" s="454" t="s">
        <v>908</v>
      </c>
      <c r="F180" s="539">
        <f t="shared" si="6"/>
        <v>1422.8563537087912</v>
      </c>
      <c r="G180" s="540">
        <f t="shared" si="7"/>
        <v>118.57136280906593</v>
      </c>
      <c r="H180" s="541">
        <f t="shared" si="8"/>
        <v>12436.566353708789</v>
      </c>
      <c r="I180" s="446"/>
    </row>
    <row r="181" spans="2:9" ht="26.1" hidden="1" customHeight="1" thickTop="1" thickBot="1" x14ac:dyDescent="0.4">
      <c r="B181" s="366"/>
      <c r="C181" s="452">
        <v>45871</v>
      </c>
      <c r="D181" s="451">
        <v>166</v>
      </c>
      <c r="E181" s="454" t="s">
        <v>909</v>
      </c>
      <c r="F181" s="539">
        <f t="shared" si="6"/>
        <v>1431.4797255494504</v>
      </c>
      <c r="G181" s="540">
        <f t="shared" si="7"/>
        <v>119.28997712912087</v>
      </c>
      <c r="H181" s="541">
        <f t="shared" si="8"/>
        <v>12445.18972554945</v>
      </c>
      <c r="I181" s="446"/>
    </row>
    <row r="182" spans="2:9" ht="26.1" hidden="1" customHeight="1" thickTop="1" thickBot="1" x14ac:dyDescent="0.4">
      <c r="B182" s="366"/>
      <c r="C182" s="452">
        <v>45872</v>
      </c>
      <c r="D182" s="451">
        <v>167</v>
      </c>
      <c r="E182" s="454" t="s">
        <v>910</v>
      </c>
      <c r="F182" s="539">
        <f t="shared" si="6"/>
        <v>1440.1030973901097</v>
      </c>
      <c r="G182" s="540">
        <f t="shared" si="7"/>
        <v>120.00859144917581</v>
      </c>
      <c r="H182" s="541">
        <f t="shared" si="8"/>
        <v>12453.81309739011</v>
      </c>
      <c r="I182" s="446"/>
    </row>
    <row r="183" spans="2:9" ht="26.1" hidden="1" customHeight="1" thickTop="1" thickBot="1" x14ac:dyDescent="0.4">
      <c r="B183" s="366"/>
      <c r="C183" s="452">
        <v>45873</v>
      </c>
      <c r="D183" s="451">
        <v>168</v>
      </c>
      <c r="E183" s="454" t="s">
        <v>904</v>
      </c>
      <c r="F183" s="539">
        <f t="shared" si="6"/>
        <v>1448.7264692307692</v>
      </c>
      <c r="G183" s="540">
        <f t="shared" si="7"/>
        <v>120.72720576923076</v>
      </c>
      <c r="H183" s="541">
        <f t="shared" si="8"/>
        <v>12462.436469230768</v>
      </c>
      <c r="I183" s="446"/>
    </row>
    <row r="184" spans="2:9" ht="26.1" hidden="1" customHeight="1" thickTop="1" thickBot="1" x14ac:dyDescent="0.4">
      <c r="B184" s="366"/>
      <c r="C184" s="452">
        <v>45874</v>
      </c>
      <c r="D184" s="451">
        <v>169</v>
      </c>
      <c r="E184" s="454" t="s">
        <v>905</v>
      </c>
      <c r="F184" s="539">
        <f t="shared" si="6"/>
        <v>1457.3498410714285</v>
      </c>
      <c r="G184" s="540">
        <f t="shared" si="7"/>
        <v>121.4458200892857</v>
      </c>
      <c r="H184" s="541">
        <f t="shared" si="8"/>
        <v>12471.059841071428</v>
      </c>
      <c r="I184" s="446"/>
    </row>
    <row r="185" spans="2:9" ht="26.1" hidden="1" customHeight="1" thickTop="1" thickBot="1" x14ac:dyDescent="0.4">
      <c r="B185" s="366"/>
      <c r="C185" s="452">
        <v>45875</v>
      </c>
      <c r="D185" s="451">
        <v>170</v>
      </c>
      <c r="E185" s="454" t="s">
        <v>906</v>
      </c>
      <c r="F185" s="539">
        <f t="shared" si="6"/>
        <v>1465.9732129120878</v>
      </c>
      <c r="G185" s="540">
        <f t="shared" si="7"/>
        <v>122.16443440934064</v>
      </c>
      <c r="H185" s="541">
        <f t="shared" si="8"/>
        <v>12479.683212912087</v>
      </c>
      <c r="I185" s="446"/>
    </row>
    <row r="186" spans="2:9" ht="26.1" hidden="1" customHeight="1" thickTop="1" thickBot="1" x14ac:dyDescent="0.4">
      <c r="B186" s="366"/>
      <c r="C186" s="452">
        <v>45876</v>
      </c>
      <c r="D186" s="451">
        <v>171</v>
      </c>
      <c r="E186" s="454" t="s">
        <v>907</v>
      </c>
      <c r="F186" s="539">
        <f t="shared" si="6"/>
        <v>1474.596584752747</v>
      </c>
      <c r="G186" s="540">
        <f t="shared" si="7"/>
        <v>122.88304872939558</v>
      </c>
      <c r="H186" s="541">
        <f t="shared" si="8"/>
        <v>12488.306584752747</v>
      </c>
      <c r="I186" s="446"/>
    </row>
    <row r="187" spans="2:9" ht="26.1" hidden="1" customHeight="1" thickTop="1" thickBot="1" x14ac:dyDescent="0.4">
      <c r="B187" s="366"/>
      <c r="C187" s="452">
        <v>45877</v>
      </c>
      <c r="D187" s="451">
        <v>172</v>
      </c>
      <c r="E187" s="454" t="s">
        <v>908</v>
      </c>
      <c r="F187" s="539">
        <f t="shared" si="6"/>
        <v>1483.2199565934066</v>
      </c>
      <c r="G187" s="540">
        <f t="shared" si="7"/>
        <v>123.60166304945055</v>
      </c>
      <c r="H187" s="541">
        <f t="shared" si="8"/>
        <v>12496.929956593405</v>
      </c>
      <c r="I187" s="446"/>
    </row>
    <row r="188" spans="2:9" ht="26.1" hidden="1" customHeight="1" thickTop="1" thickBot="1" x14ac:dyDescent="0.4">
      <c r="B188" s="366"/>
      <c r="C188" s="452">
        <v>45878</v>
      </c>
      <c r="D188" s="451">
        <v>173</v>
      </c>
      <c r="E188" s="454" t="s">
        <v>909</v>
      </c>
      <c r="F188" s="539">
        <f t="shared" si="6"/>
        <v>1491.8433284340658</v>
      </c>
      <c r="G188" s="540">
        <f t="shared" si="7"/>
        <v>124.32027736950549</v>
      </c>
      <c r="H188" s="541">
        <f t="shared" si="8"/>
        <v>12505.553328434065</v>
      </c>
      <c r="I188" s="446"/>
    </row>
    <row r="189" spans="2:9" ht="26.1" hidden="1" customHeight="1" thickTop="1" thickBot="1" x14ac:dyDescent="0.4">
      <c r="B189" s="366"/>
      <c r="C189" s="452">
        <v>45879</v>
      </c>
      <c r="D189" s="451">
        <v>174</v>
      </c>
      <c r="E189" s="454" t="s">
        <v>910</v>
      </c>
      <c r="F189" s="539">
        <f t="shared" si="6"/>
        <v>1500.4667002747251</v>
      </c>
      <c r="G189" s="540">
        <f t="shared" si="7"/>
        <v>125.03889168956043</v>
      </c>
      <c r="H189" s="541">
        <f t="shared" si="8"/>
        <v>12514.176700274724</v>
      </c>
      <c r="I189" s="446"/>
    </row>
    <row r="190" spans="2:9" ht="26.1" hidden="1" customHeight="1" thickTop="1" thickBot="1" x14ac:dyDescent="0.4">
      <c r="B190" s="366"/>
      <c r="C190" s="452">
        <v>45880</v>
      </c>
      <c r="D190" s="451">
        <v>175</v>
      </c>
      <c r="E190" s="454" t="s">
        <v>904</v>
      </c>
      <c r="F190" s="539">
        <f t="shared" si="6"/>
        <v>1509.0900721153846</v>
      </c>
      <c r="G190" s="540">
        <f t="shared" si="7"/>
        <v>125.75750600961538</v>
      </c>
      <c r="H190" s="541">
        <f t="shared" si="8"/>
        <v>12522.800072115384</v>
      </c>
      <c r="I190" s="446"/>
    </row>
    <row r="191" spans="2:9" ht="26.1" hidden="1" customHeight="1" thickTop="1" thickBot="1" x14ac:dyDescent="0.4">
      <c r="B191" s="366"/>
      <c r="C191" s="452">
        <v>45881</v>
      </c>
      <c r="D191" s="451">
        <v>176</v>
      </c>
      <c r="E191" s="454" t="s">
        <v>905</v>
      </c>
      <c r="F191" s="539">
        <f t="shared" si="6"/>
        <v>1517.7134439560439</v>
      </c>
      <c r="G191" s="540">
        <f t="shared" si="7"/>
        <v>126.47612032967032</v>
      </c>
      <c r="H191" s="541">
        <f t="shared" si="8"/>
        <v>12531.423443956042</v>
      </c>
      <c r="I191" s="446"/>
    </row>
    <row r="192" spans="2:9" ht="26.1" hidden="1" customHeight="1" thickTop="1" thickBot="1" x14ac:dyDescent="0.4">
      <c r="B192" s="366"/>
      <c r="C192" s="452">
        <v>45882</v>
      </c>
      <c r="D192" s="451">
        <v>177</v>
      </c>
      <c r="E192" s="454" t="s">
        <v>906</v>
      </c>
      <c r="F192" s="539">
        <f t="shared" si="6"/>
        <v>1526.3368157967031</v>
      </c>
      <c r="G192" s="540">
        <f t="shared" si="7"/>
        <v>127.19473464972526</v>
      </c>
      <c r="H192" s="541">
        <f t="shared" si="8"/>
        <v>12540.046815796703</v>
      </c>
      <c r="I192" s="446"/>
    </row>
    <row r="193" spans="2:9" ht="26.1" hidden="1" customHeight="1" thickTop="1" thickBot="1" x14ac:dyDescent="0.4">
      <c r="B193" s="366"/>
      <c r="C193" s="452">
        <v>45883</v>
      </c>
      <c r="D193" s="451">
        <v>178</v>
      </c>
      <c r="E193" s="454" t="s">
        <v>907</v>
      </c>
      <c r="F193" s="539">
        <f t="shared" si="6"/>
        <v>1534.9601876373624</v>
      </c>
      <c r="G193" s="540">
        <f t="shared" si="7"/>
        <v>127.9133489697802</v>
      </c>
      <c r="H193" s="541">
        <f t="shared" si="8"/>
        <v>12548.670187637361</v>
      </c>
      <c r="I193" s="446"/>
    </row>
    <row r="194" spans="2:9" ht="26.1" hidden="1" customHeight="1" thickTop="1" thickBot="1" x14ac:dyDescent="0.4">
      <c r="B194" s="366"/>
      <c r="C194" s="452">
        <v>45884</v>
      </c>
      <c r="D194" s="451">
        <v>179</v>
      </c>
      <c r="E194" s="454" t="s">
        <v>908</v>
      </c>
      <c r="F194" s="539">
        <f t="shared" si="6"/>
        <v>1543.5835594780219</v>
      </c>
      <c r="G194" s="540">
        <f t="shared" si="7"/>
        <v>128.63196328983517</v>
      </c>
      <c r="H194" s="541">
        <f t="shared" si="8"/>
        <v>12557.293559478021</v>
      </c>
      <c r="I194" s="446"/>
    </row>
    <row r="195" spans="2:9" ht="26.1" hidden="1" customHeight="1" thickTop="1" thickBot="1" x14ac:dyDescent="0.4">
      <c r="B195" s="366"/>
      <c r="C195" s="452">
        <v>45885</v>
      </c>
      <c r="D195" s="451">
        <v>180</v>
      </c>
      <c r="E195" s="454" t="s">
        <v>909</v>
      </c>
      <c r="F195" s="539">
        <f t="shared" si="6"/>
        <v>1552.2069313186812</v>
      </c>
      <c r="G195" s="540">
        <f t="shared" si="7"/>
        <v>129.35057760989011</v>
      </c>
      <c r="H195" s="541">
        <f t="shared" si="8"/>
        <v>12565.916931318679</v>
      </c>
      <c r="I195" s="446"/>
    </row>
    <row r="196" spans="2:9" ht="26.1" hidden="1" customHeight="1" thickTop="1" thickBot="1" x14ac:dyDescent="0.4">
      <c r="B196" s="366"/>
      <c r="C196" s="452">
        <v>45886</v>
      </c>
      <c r="D196" s="451">
        <v>181</v>
      </c>
      <c r="E196" s="454" t="s">
        <v>910</v>
      </c>
      <c r="F196" s="539">
        <f t="shared" si="6"/>
        <v>1560.8303031593405</v>
      </c>
      <c r="G196" s="540">
        <f t="shared" si="7"/>
        <v>130.06919192994505</v>
      </c>
      <c r="H196" s="541">
        <f t="shared" si="8"/>
        <v>12574.54030315934</v>
      </c>
      <c r="I196" s="446"/>
    </row>
    <row r="197" spans="2:9" ht="26.1" hidden="1" customHeight="1" thickTop="1" thickBot="1" x14ac:dyDescent="0.4">
      <c r="B197" s="366"/>
      <c r="C197" s="452">
        <v>45887</v>
      </c>
      <c r="D197" s="451">
        <v>182</v>
      </c>
      <c r="E197" s="454" t="s">
        <v>904</v>
      </c>
      <c r="F197" s="539">
        <f t="shared" si="6"/>
        <v>1569.453675</v>
      </c>
      <c r="G197" s="540">
        <f t="shared" si="7"/>
        <v>130.78780624999999</v>
      </c>
      <c r="H197" s="541">
        <f t="shared" si="8"/>
        <v>12583.163675</v>
      </c>
      <c r="I197" s="446"/>
    </row>
    <row r="198" spans="2:9" ht="26.1" hidden="1" customHeight="1" thickTop="1" thickBot="1" x14ac:dyDescent="0.4">
      <c r="B198" s="366"/>
      <c r="C198" s="452">
        <v>45888</v>
      </c>
      <c r="D198" s="451">
        <v>183</v>
      </c>
      <c r="E198" s="454" t="s">
        <v>905</v>
      </c>
      <c r="F198" s="539">
        <f t="shared" si="6"/>
        <v>1578.0770468406592</v>
      </c>
      <c r="G198" s="540">
        <f t="shared" si="7"/>
        <v>131.50642057005493</v>
      </c>
      <c r="H198" s="541">
        <f t="shared" si="8"/>
        <v>12591.787046840658</v>
      </c>
      <c r="I198" s="446"/>
    </row>
    <row r="199" spans="2:9" ht="26.1" hidden="1" customHeight="1" thickTop="1" thickBot="1" x14ac:dyDescent="0.4">
      <c r="B199" s="366"/>
      <c r="C199" s="452">
        <v>45889</v>
      </c>
      <c r="D199" s="451">
        <v>184</v>
      </c>
      <c r="E199" s="454" t="s">
        <v>906</v>
      </c>
      <c r="F199" s="539">
        <f t="shared" si="6"/>
        <v>1586.7004186813185</v>
      </c>
      <c r="G199" s="540">
        <f t="shared" si="7"/>
        <v>132.22503489010987</v>
      </c>
      <c r="H199" s="541">
        <f t="shared" si="8"/>
        <v>12600.410418681318</v>
      </c>
      <c r="I199" s="446"/>
    </row>
    <row r="200" spans="2:9" ht="26.1" hidden="1" customHeight="1" thickTop="1" thickBot="1" x14ac:dyDescent="0.4">
      <c r="B200" s="366"/>
      <c r="C200" s="452">
        <v>45890</v>
      </c>
      <c r="D200" s="451">
        <v>185</v>
      </c>
      <c r="E200" s="454" t="s">
        <v>907</v>
      </c>
      <c r="F200" s="539">
        <f t="shared" si="6"/>
        <v>1595.3237905219778</v>
      </c>
      <c r="G200" s="540">
        <f t="shared" si="7"/>
        <v>132.94364921016481</v>
      </c>
      <c r="H200" s="541">
        <f t="shared" si="8"/>
        <v>12609.033790521977</v>
      </c>
      <c r="I200" s="446"/>
    </row>
    <row r="201" spans="2:9" ht="26.1" hidden="1" customHeight="1" thickTop="1" thickBot="1" x14ac:dyDescent="0.4">
      <c r="B201" s="366"/>
      <c r="C201" s="452">
        <v>45891</v>
      </c>
      <c r="D201" s="451">
        <v>186</v>
      </c>
      <c r="E201" s="454" t="s">
        <v>908</v>
      </c>
      <c r="F201" s="539">
        <f t="shared" si="6"/>
        <v>1603.9471623626373</v>
      </c>
      <c r="G201" s="540">
        <f t="shared" si="7"/>
        <v>133.66226353021978</v>
      </c>
      <c r="H201" s="541">
        <f t="shared" si="8"/>
        <v>12617.657162362637</v>
      </c>
      <c r="I201" s="446"/>
    </row>
    <row r="202" spans="2:9" ht="26.1" hidden="1" customHeight="1" thickTop="1" thickBot="1" x14ac:dyDescent="0.4">
      <c r="B202" s="366"/>
      <c r="C202" s="452">
        <v>45892</v>
      </c>
      <c r="D202" s="451">
        <v>187</v>
      </c>
      <c r="E202" s="454" t="s">
        <v>909</v>
      </c>
      <c r="F202" s="539">
        <f t="shared" si="6"/>
        <v>1612.5705342032966</v>
      </c>
      <c r="G202" s="540">
        <f t="shared" si="7"/>
        <v>134.38087785027471</v>
      </c>
      <c r="H202" s="541">
        <f t="shared" si="8"/>
        <v>12626.280534203295</v>
      </c>
      <c r="I202" s="446"/>
    </row>
    <row r="203" spans="2:9" ht="26.1" hidden="1" customHeight="1" thickTop="1" thickBot="1" x14ac:dyDescent="0.4">
      <c r="B203" s="366"/>
      <c r="C203" s="452">
        <v>45893</v>
      </c>
      <c r="D203" s="451">
        <v>188</v>
      </c>
      <c r="E203" s="454" t="s">
        <v>910</v>
      </c>
      <c r="F203" s="539">
        <f t="shared" si="6"/>
        <v>1621.1939060439558</v>
      </c>
      <c r="G203" s="540">
        <f t="shared" si="7"/>
        <v>135.09949217032965</v>
      </c>
      <c r="H203" s="541">
        <f t="shared" si="8"/>
        <v>12634.903906043955</v>
      </c>
      <c r="I203" s="446"/>
    </row>
    <row r="204" spans="2:9" ht="26.1" hidden="1" customHeight="1" thickTop="1" thickBot="1" x14ac:dyDescent="0.4">
      <c r="B204" s="366"/>
      <c r="C204" s="452">
        <v>45894</v>
      </c>
      <c r="D204" s="451">
        <v>189</v>
      </c>
      <c r="E204" s="454" t="s">
        <v>904</v>
      </c>
      <c r="F204" s="539">
        <f t="shared" si="6"/>
        <v>1629.8172778846154</v>
      </c>
      <c r="G204" s="540">
        <f t="shared" si="7"/>
        <v>135.81810649038462</v>
      </c>
      <c r="H204" s="541">
        <f t="shared" si="8"/>
        <v>12643.527277884614</v>
      </c>
      <c r="I204" s="446"/>
    </row>
    <row r="205" spans="2:9" ht="26.1" hidden="1" customHeight="1" thickTop="1" thickBot="1" x14ac:dyDescent="0.4">
      <c r="B205" s="366"/>
      <c r="C205" s="452">
        <v>45895</v>
      </c>
      <c r="D205" s="451">
        <v>190</v>
      </c>
      <c r="E205" s="454" t="s">
        <v>905</v>
      </c>
      <c r="F205" s="539">
        <f t="shared" si="6"/>
        <v>1638.4406497252746</v>
      </c>
      <c r="G205" s="540">
        <f t="shared" si="7"/>
        <v>136.53672081043956</v>
      </c>
      <c r="H205" s="541">
        <f t="shared" si="8"/>
        <v>12652.150649725274</v>
      </c>
      <c r="I205" s="446"/>
    </row>
    <row r="206" spans="2:9" ht="26.1" hidden="1" customHeight="1" thickTop="1" thickBot="1" x14ac:dyDescent="0.4">
      <c r="B206" s="366"/>
      <c r="C206" s="452">
        <v>45896</v>
      </c>
      <c r="D206" s="451">
        <v>191</v>
      </c>
      <c r="E206" s="454" t="s">
        <v>906</v>
      </c>
      <c r="F206" s="539">
        <f t="shared" si="6"/>
        <v>1647.0640215659339</v>
      </c>
      <c r="G206" s="540">
        <f t="shared" si="7"/>
        <v>137.2553351304945</v>
      </c>
      <c r="H206" s="541">
        <f t="shared" si="8"/>
        <v>12660.774021565932</v>
      </c>
      <c r="I206" s="446"/>
    </row>
    <row r="207" spans="2:9" ht="26.1" hidden="1" customHeight="1" thickTop="1" thickBot="1" x14ac:dyDescent="0.4">
      <c r="B207" s="366"/>
      <c r="C207" s="452">
        <v>45897</v>
      </c>
      <c r="D207" s="451">
        <v>192</v>
      </c>
      <c r="E207" s="454" t="s">
        <v>907</v>
      </c>
      <c r="F207" s="539">
        <f t="shared" si="6"/>
        <v>1655.6873934065934</v>
      </c>
      <c r="G207" s="540">
        <f t="shared" si="7"/>
        <v>137.97394945054944</v>
      </c>
      <c r="H207" s="541">
        <f t="shared" si="8"/>
        <v>12669.397393406593</v>
      </c>
      <c r="I207" s="446"/>
    </row>
    <row r="208" spans="2:9" ht="26.1" hidden="1" customHeight="1" thickTop="1" thickBot="1" x14ac:dyDescent="0.4">
      <c r="B208" s="366"/>
      <c r="C208" s="452">
        <v>45898</v>
      </c>
      <c r="D208" s="451">
        <v>193</v>
      </c>
      <c r="E208" s="454" t="s">
        <v>908</v>
      </c>
      <c r="F208" s="539">
        <f t="shared" ref="F208:F271" si="9">$E$8/$F$10*D208</f>
        <v>1664.3107652472527</v>
      </c>
      <c r="G208" s="540">
        <f t="shared" ref="G208:G271" si="10">F208/$C$12</f>
        <v>138.69256377060438</v>
      </c>
      <c r="H208" s="541">
        <f t="shared" si="8"/>
        <v>12678.020765247253</v>
      </c>
      <c r="I208" s="446"/>
    </row>
    <row r="209" spans="2:9" ht="26.1" hidden="1" customHeight="1" thickTop="1" thickBot="1" x14ac:dyDescent="0.4">
      <c r="B209" s="366"/>
      <c r="C209" s="452">
        <v>45899</v>
      </c>
      <c r="D209" s="451">
        <v>194</v>
      </c>
      <c r="E209" s="454" t="s">
        <v>909</v>
      </c>
      <c r="F209" s="539">
        <f t="shared" si="9"/>
        <v>1672.9341370879119</v>
      </c>
      <c r="G209" s="540">
        <f t="shared" si="10"/>
        <v>139.41117809065932</v>
      </c>
      <c r="H209" s="541">
        <f t="shared" ref="H209:H272" si="11">$C$8+F209</f>
        <v>12686.644137087911</v>
      </c>
      <c r="I209" s="446"/>
    </row>
    <row r="210" spans="2:9" ht="26.1" hidden="1" customHeight="1" thickTop="1" thickBot="1" x14ac:dyDescent="0.4">
      <c r="B210" s="366"/>
      <c r="C210" s="452">
        <v>45900</v>
      </c>
      <c r="D210" s="451">
        <v>195</v>
      </c>
      <c r="E210" s="454" t="s">
        <v>910</v>
      </c>
      <c r="F210" s="539">
        <f t="shared" si="9"/>
        <v>1681.5575089285712</v>
      </c>
      <c r="G210" s="540">
        <f t="shared" si="10"/>
        <v>140.12979241071426</v>
      </c>
      <c r="H210" s="541">
        <f t="shared" si="11"/>
        <v>12695.267508928569</v>
      </c>
      <c r="I210" s="446"/>
    </row>
    <row r="211" spans="2:9" ht="26.1" hidden="1" customHeight="1" thickTop="1" thickBot="1" x14ac:dyDescent="0.4">
      <c r="B211" s="366"/>
      <c r="C211" s="452">
        <v>45901</v>
      </c>
      <c r="D211" s="451">
        <v>196</v>
      </c>
      <c r="E211" s="454" t="s">
        <v>904</v>
      </c>
      <c r="F211" s="539">
        <f t="shared" si="9"/>
        <v>1690.1808807692307</v>
      </c>
      <c r="G211" s="540">
        <f t="shared" si="10"/>
        <v>140.84840673076923</v>
      </c>
      <c r="H211" s="541">
        <f t="shared" si="11"/>
        <v>12703.89088076923</v>
      </c>
      <c r="I211" s="446"/>
    </row>
    <row r="212" spans="2:9" ht="26.1" hidden="1" customHeight="1" thickTop="1" thickBot="1" x14ac:dyDescent="0.4">
      <c r="B212" s="366"/>
      <c r="C212" s="452">
        <v>45902</v>
      </c>
      <c r="D212" s="451">
        <v>197</v>
      </c>
      <c r="E212" s="454" t="s">
        <v>905</v>
      </c>
      <c r="F212" s="539">
        <f t="shared" si="9"/>
        <v>1698.80425260989</v>
      </c>
      <c r="G212" s="540">
        <f t="shared" si="10"/>
        <v>141.56702105082417</v>
      </c>
      <c r="H212" s="541">
        <f t="shared" si="11"/>
        <v>12712.51425260989</v>
      </c>
      <c r="I212" s="446"/>
    </row>
    <row r="213" spans="2:9" ht="26.1" hidden="1" customHeight="1" thickTop="1" thickBot="1" x14ac:dyDescent="0.4">
      <c r="B213" s="366"/>
      <c r="C213" s="452">
        <v>45903</v>
      </c>
      <c r="D213" s="451">
        <v>198</v>
      </c>
      <c r="E213" s="454" t="s">
        <v>906</v>
      </c>
      <c r="F213" s="539">
        <f t="shared" si="9"/>
        <v>1707.4276244505493</v>
      </c>
      <c r="G213" s="540">
        <f t="shared" si="10"/>
        <v>142.28563537087911</v>
      </c>
      <c r="H213" s="541">
        <f t="shared" si="11"/>
        <v>12721.137624450548</v>
      </c>
      <c r="I213" s="446"/>
    </row>
    <row r="214" spans="2:9" ht="26.1" hidden="1" customHeight="1" thickTop="1" thickBot="1" x14ac:dyDescent="0.4">
      <c r="B214" s="366"/>
      <c r="C214" s="452">
        <v>45904</v>
      </c>
      <c r="D214" s="451">
        <v>199</v>
      </c>
      <c r="E214" s="454" t="s">
        <v>907</v>
      </c>
      <c r="F214" s="539">
        <f t="shared" si="9"/>
        <v>1716.0509962912088</v>
      </c>
      <c r="G214" s="540">
        <f t="shared" si="10"/>
        <v>143.00424969093407</v>
      </c>
      <c r="H214" s="541">
        <f t="shared" si="11"/>
        <v>12729.760996291208</v>
      </c>
      <c r="I214" s="446"/>
    </row>
    <row r="215" spans="2:9" ht="26.1" hidden="1" customHeight="1" thickTop="1" thickBot="1" x14ac:dyDescent="0.4">
      <c r="B215" s="366"/>
      <c r="C215" s="452">
        <v>45905</v>
      </c>
      <c r="D215" s="451">
        <v>200</v>
      </c>
      <c r="E215" s="454" t="s">
        <v>908</v>
      </c>
      <c r="F215" s="539">
        <f t="shared" si="9"/>
        <v>1724.6743681318681</v>
      </c>
      <c r="G215" s="540">
        <f t="shared" si="10"/>
        <v>143.72286401098901</v>
      </c>
      <c r="H215" s="541">
        <f t="shared" si="11"/>
        <v>12738.384368131867</v>
      </c>
      <c r="I215" s="446"/>
    </row>
    <row r="216" spans="2:9" ht="26.1" hidden="1" customHeight="1" thickTop="1" thickBot="1" x14ac:dyDescent="0.4">
      <c r="B216" s="366"/>
      <c r="C216" s="452">
        <v>45906</v>
      </c>
      <c r="D216" s="451">
        <v>201</v>
      </c>
      <c r="E216" s="454" t="s">
        <v>909</v>
      </c>
      <c r="F216" s="539">
        <f t="shared" si="9"/>
        <v>1733.2977399725273</v>
      </c>
      <c r="G216" s="540">
        <f t="shared" si="10"/>
        <v>144.44147833104395</v>
      </c>
      <c r="H216" s="541">
        <f t="shared" si="11"/>
        <v>12747.007739972527</v>
      </c>
      <c r="I216" s="446"/>
    </row>
    <row r="217" spans="2:9" ht="26.1" hidden="1" customHeight="1" thickTop="1" thickBot="1" x14ac:dyDescent="0.4">
      <c r="B217" s="366"/>
      <c r="C217" s="452">
        <v>45907</v>
      </c>
      <c r="D217" s="451">
        <v>202</v>
      </c>
      <c r="E217" s="454" t="s">
        <v>910</v>
      </c>
      <c r="F217" s="539">
        <f t="shared" si="9"/>
        <v>1741.9211118131866</v>
      </c>
      <c r="G217" s="540">
        <f t="shared" si="10"/>
        <v>145.16009265109889</v>
      </c>
      <c r="H217" s="541">
        <f t="shared" si="11"/>
        <v>12755.631111813185</v>
      </c>
      <c r="I217" s="446"/>
    </row>
    <row r="218" spans="2:9" ht="26.1" hidden="1" customHeight="1" thickTop="1" thickBot="1" x14ac:dyDescent="0.4">
      <c r="B218" s="366"/>
      <c r="C218" s="452">
        <v>45908</v>
      </c>
      <c r="D218" s="451">
        <v>203</v>
      </c>
      <c r="E218" s="454" t="s">
        <v>904</v>
      </c>
      <c r="F218" s="539">
        <f t="shared" si="9"/>
        <v>1750.5444836538461</v>
      </c>
      <c r="G218" s="540">
        <f t="shared" si="10"/>
        <v>145.87870697115383</v>
      </c>
      <c r="H218" s="541">
        <f t="shared" si="11"/>
        <v>12764.254483653845</v>
      </c>
      <c r="I218" s="446"/>
    </row>
    <row r="219" spans="2:9" ht="26.1" hidden="1" customHeight="1" thickTop="1" thickBot="1" x14ac:dyDescent="0.4">
      <c r="B219" s="366"/>
      <c r="C219" s="452">
        <v>45909</v>
      </c>
      <c r="D219" s="451">
        <v>204</v>
      </c>
      <c r="E219" s="454" t="s">
        <v>905</v>
      </c>
      <c r="F219" s="539">
        <f t="shared" si="9"/>
        <v>1759.1678554945054</v>
      </c>
      <c r="G219" s="540">
        <f t="shared" si="10"/>
        <v>146.59732129120877</v>
      </c>
      <c r="H219" s="541">
        <f t="shared" si="11"/>
        <v>12772.877855494504</v>
      </c>
      <c r="I219" s="446"/>
    </row>
    <row r="220" spans="2:9" ht="26.1" hidden="1" customHeight="1" thickTop="1" thickBot="1" x14ac:dyDescent="0.4">
      <c r="B220" s="366"/>
      <c r="C220" s="452">
        <v>45910</v>
      </c>
      <c r="D220" s="451">
        <v>205</v>
      </c>
      <c r="E220" s="454" t="s">
        <v>906</v>
      </c>
      <c r="F220" s="539">
        <f t="shared" si="9"/>
        <v>1767.7912273351646</v>
      </c>
      <c r="G220" s="540">
        <f t="shared" si="10"/>
        <v>147.31593561126371</v>
      </c>
      <c r="H220" s="541">
        <f t="shared" si="11"/>
        <v>12781.501227335164</v>
      </c>
      <c r="I220" s="446"/>
    </row>
    <row r="221" spans="2:9" ht="26.1" hidden="1" customHeight="1" thickTop="1" thickBot="1" x14ac:dyDescent="0.4">
      <c r="B221" s="366"/>
      <c r="C221" s="452">
        <v>45911</v>
      </c>
      <c r="D221" s="451">
        <v>206</v>
      </c>
      <c r="E221" s="454" t="s">
        <v>907</v>
      </c>
      <c r="F221" s="539">
        <f t="shared" si="9"/>
        <v>1776.4145991758242</v>
      </c>
      <c r="G221" s="540">
        <f t="shared" si="10"/>
        <v>148.03454993131868</v>
      </c>
      <c r="H221" s="541">
        <f t="shared" si="11"/>
        <v>12790.124599175822</v>
      </c>
      <c r="I221" s="446"/>
    </row>
    <row r="222" spans="2:9" ht="26.1" hidden="1" customHeight="1" thickTop="1" thickBot="1" x14ac:dyDescent="0.4">
      <c r="B222" s="366"/>
      <c r="C222" s="452">
        <v>45912</v>
      </c>
      <c r="D222" s="451">
        <v>207</v>
      </c>
      <c r="E222" s="454" t="s">
        <v>908</v>
      </c>
      <c r="F222" s="539">
        <f t="shared" si="9"/>
        <v>1785.0379710164834</v>
      </c>
      <c r="G222" s="540">
        <f t="shared" si="10"/>
        <v>148.75316425137362</v>
      </c>
      <c r="H222" s="541">
        <f t="shared" si="11"/>
        <v>12798.747971016483</v>
      </c>
      <c r="I222" s="446"/>
    </row>
    <row r="223" spans="2:9" ht="26.1" hidden="1" customHeight="1" thickTop="1" thickBot="1" x14ac:dyDescent="0.4">
      <c r="B223" s="366"/>
      <c r="C223" s="452">
        <v>45913</v>
      </c>
      <c r="D223" s="451">
        <v>208</v>
      </c>
      <c r="E223" s="454" t="s">
        <v>909</v>
      </c>
      <c r="F223" s="539">
        <f t="shared" si="9"/>
        <v>1793.6613428571427</v>
      </c>
      <c r="G223" s="540">
        <f t="shared" si="10"/>
        <v>149.47177857142856</v>
      </c>
      <c r="H223" s="541">
        <f t="shared" si="11"/>
        <v>12807.371342857143</v>
      </c>
      <c r="I223" s="446"/>
    </row>
    <row r="224" spans="2:9" ht="26.1" hidden="1" customHeight="1" thickTop="1" thickBot="1" x14ac:dyDescent="0.4">
      <c r="B224" s="366"/>
      <c r="C224" s="452">
        <v>45914</v>
      </c>
      <c r="D224" s="451">
        <v>209</v>
      </c>
      <c r="E224" s="454" t="s">
        <v>910</v>
      </c>
      <c r="F224" s="539">
        <f t="shared" si="9"/>
        <v>1802.284714697802</v>
      </c>
      <c r="G224" s="540">
        <f t="shared" si="10"/>
        <v>150.1903928914835</v>
      </c>
      <c r="H224" s="541">
        <f t="shared" si="11"/>
        <v>12815.994714697801</v>
      </c>
      <c r="I224" s="446"/>
    </row>
    <row r="225" spans="2:9" ht="26.1" hidden="1" customHeight="1" thickTop="1" thickBot="1" x14ac:dyDescent="0.4">
      <c r="B225" s="366"/>
      <c r="C225" s="452">
        <v>45915</v>
      </c>
      <c r="D225" s="451">
        <v>210</v>
      </c>
      <c r="E225" s="454" t="s">
        <v>904</v>
      </c>
      <c r="F225" s="539">
        <f t="shared" si="9"/>
        <v>1810.9080865384615</v>
      </c>
      <c r="G225" s="540">
        <f t="shared" si="10"/>
        <v>150.90900721153847</v>
      </c>
      <c r="H225" s="541">
        <f t="shared" si="11"/>
        <v>12824.618086538461</v>
      </c>
      <c r="I225" s="446"/>
    </row>
    <row r="226" spans="2:9" ht="26.1" hidden="1" customHeight="1" thickTop="1" thickBot="1" x14ac:dyDescent="0.4">
      <c r="B226" s="366"/>
      <c r="C226" s="452">
        <v>45916</v>
      </c>
      <c r="D226" s="451">
        <v>211</v>
      </c>
      <c r="E226" s="454" t="s">
        <v>905</v>
      </c>
      <c r="F226" s="539">
        <f t="shared" si="9"/>
        <v>1819.5314583791207</v>
      </c>
      <c r="G226" s="540">
        <f t="shared" si="10"/>
        <v>151.62762153159341</v>
      </c>
      <c r="H226" s="541">
        <f t="shared" si="11"/>
        <v>12833.24145837912</v>
      </c>
      <c r="I226" s="446"/>
    </row>
    <row r="227" spans="2:9" ht="26.1" hidden="1" customHeight="1" thickTop="1" thickBot="1" x14ac:dyDescent="0.4">
      <c r="B227" s="366"/>
      <c r="C227" s="452">
        <v>45917</v>
      </c>
      <c r="D227" s="451">
        <v>212</v>
      </c>
      <c r="E227" s="454" t="s">
        <v>906</v>
      </c>
      <c r="F227" s="539">
        <f t="shared" si="9"/>
        <v>1828.15483021978</v>
      </c>
      <c r="G227" s="540">
        <f t="shared" si="10"/>
        <v>152.34623585164834</v>
      </c>
      <c r="H227" s="541">
        <f t="shared" si="11"/>
        <v>12841.86483021978</v>
      </c>
      <c r="I227" s="446"/>
    </row>
    <row r="228" spans="2:9" ht="26.1" hidden="1" customHeight="1" thickTop="1" thickBot="1" x14ac:dyDescent="0.4">
      <c r="B228" s="366"/>
      <c r="C228" s="452">
        <v>45918</v>
      </c>
      <c r="D228" s="451">
        <v>213</v>
      </c>
      <c r="E228" s="454" t="s">
        <v>907</v>
      </c>
      <c r="F228" s="539">
        <f t="shared" si="9"/>
        <v>1836.7782020604395</v>
      </c>
      <c r="G228" s="540">
        <f t="shared" si="10"/>
        <v>153.06485017170328</v>
      </c>
      <c r="H228" s="541">
        <f t="shared" si="11"/>
        <v>12850.488202060438</v>
      </c>
      <c r="I228" s="446"/>
    </row>
    <row r="229" spans="2:9" ht="26.1" hidden="1" customHeight="1" thickTop="1" thickBot="1" x14ac:dyDescent="0.4">
      <c r="B229" s="366"/>
      <c r="C229" s="452">
        <v>45919</v>
      </c>
      <c r="D229" s="451">
        <v>214</v>
      </c>
      <c r="E229" s="454" t="s">
        <v>908</v>
      </c>
      <c r="F229" s="539">
        <f t="shared" si="9"/>
        <v>1845.4015739010988</v>
      </c>
      <c r="G229" s="540">
        <f t="shared" si="10"/>
        <v>153.78346449175822</v>
      </c>
      <c r="H229" s="541">
        <f t="shared" si="11"/>
        <v>12859.111573901098</v>
      </c>
      <c r="I229" s="446"/>
    </row>
    <row r="230" spans="2:9" ht="26.1" hidden="1" customHeight="1" thickTop="1" thickBot="1" x14ac:dyDescent="0.4">
      <c r="B230" s="366"/>
      <c r="C230" s="452">
        <v>45920</v>
      </c>
      <c r="D230" s="451">
        <v>215</v>
      </c>
      <c r="E230" s="454" t="s">
        <v>909</v>
      </c>
      <c r="F230" s="539">
        <f t="shared" si="9"/>
        <v>1854.0249457417581</v>
      </c>
      <c r="G230" s="540">
        <f t="shared" si="10"/>
        <v>154.50207881181316</v>
      </c>
      <c r="H230" s="541">
        <f t="shared" si="11"/>
        <v>12867.734945741757</v>
      </c>
      <c r="I230" s="446"/>
    </row>
    <row r="231" spans="2:9" ht="26.1" hidden="1" customHeight="1" thickTop="1" thickBot="1" x14ac:dyDescent="0.4">
      <c r="B231" s="366"/>
      <c r="C231" s="452">
        <v>45921</v>
      </c>
      <c r="D231" s="451">
        <v>216</v>
      </c>
      <c r="E231" s="454" t="s">
        <v>910</v>
      </c>
      <c r="F231" s="539">
        <f t="shared" si="9"/>
        <v>1862.6483175824173</v>
      </c>
      <c r="G231" s="540">
        <f t="shared" si="10"/>
        <v>155.2206931318681</v>
      </c>
      <c r="H231" s="541">
        <f t="shared" si="11"/>
        <v>12876.358317582417</v>
      </c>
      <c r="I231" s="446"/>
    </row>
    <row r="232" spans="2:9" ht="26.1" hidden="1" customHeight="1" thickTop="1" thickBot="1" x14ac:dyDescent="0.4">
      <c r="B232" s="366"/>
      <c r="C232" s="452">
        <v>45922</v>
      </c>
      <c r="D232" s="451">
        <v>217</v>
      </c>
      <c r="E232" s="454" t="s">
        <v>904</v>
      </c>
      <c r="F232" s="539">
        <f t="shared" si="9"/>
        <v>1871.2716894230769</v>
      </c>
      <c r="G232" s="540">
        <f t="shared" si="10"/>
        <v>155.93930745192307</v>
      </c>
      <c r="H232" s="541">
        <f t="shared" si="11"/>
        <v>12884.981689423075</v>
      </c>
      <c r="I232" s="446"/>
    </row>
    <row r="233" spans="2:9" ht="26.1" hidden="1" customHeight="1" thickTop="1" thickBot="1" x14ac:dyDescent="0.4">
      <c r="B233" s="366"/>
      <c r="C233" s="452">
        <v>45923</v>
      </c>
      <c r="D233" s="451">
        <v>218</v>
      </c>
      <c r="E233" s="454" t="s">
        <v>905</v>
      </c>
      <c r="F233" s="539">
        <f t="shared" si="9"/>
        <v>1879.8950612637361</v>
      </c>
      <c r="G233" s="540">
        <f t="shared" si="10"/>
        <v>156.65792177197801</v>
      </c>
      <c r="H233" s="541">
        <f t="shared" si="11"/>
        <v>12893.605061263735</v>
      </c>
      <c r="I233" s="446"/>
    </row>
    <row r="234" spans="2:9" ht="26.1" hidden="1" customHeight="1" thickTop="1" thickBot="1" x14ac:dyDescent="0.4">
      <c r="B234" s="366"/>
      <c r="C234" s="452">
        <v>45924</v>
      </c>
      <c r="D234" s="451">
        <v>219</v>
      </c>
      <c r="E234" s="454" t="s">
        <v>906</v>
      </c>
      <c r="F234" s="539">
        <f t="shared" si="9"/>
        <v>1888.5184331043954</v>
      </c>
      <c r="G234" s="540">
        <f t="shared" si="10"/>
        <v>157.37653609203295</v>
      </c>
      <c r="H234" s="541">
        <f t="shared" si="11"/>
        <v>12902.228433104394</v>
      </c>
      <c r="I234" s="446"/>
    </row>
    <row r="235" spans="2:9" ht="26.1" hidden="1" customHeight="1" thickTop="1" thickBot="1" x14ac:dyDescent="0.4">
      <c r="B235" s="366"/>
      <c r="C235" s="452">
        <v>45925</v>
      </c>
      <c r="D235" s="451">
        <v>220</v>
      </c>
      <c r="E235" s="454" t="s">
        <v>907</v>
      </c>
      <c r="F235" s="539">
        <f t="shared" si="9"/>
        <v>1897.1418049450549</v>
      </c>
      <c r="G235" s="540">
        <f t="shared" si="10"/>
        <v>158.09515041208792</v>
      </c>
      <c r="H235" s="541">
        <f t="shared" si="11"/>
        <v>12910.851804945054</v>
      </c>
      <c r="I235" s="446"/>
    </row>
    <row r="236" spans="2:9" ht="26.1" hidden="1" customHeight="1" thickTop="1" thickBot="1" x14ac:dyDescent="0.4">
      <c r="B236" s="366"/>
      <c r="C236" s="452">
        <v>45926</v>
      </c>
      <c r="D236" s="451">
        <v>221</v>
      </c>
      <c r="E236" s="454" t="s">
        <v>908</v>
      </c>
      <c r="F236" s="539">
        <f t="shared" si="9"/>
        <v>1905.7651767857142</v>
      </c>
      <c r="G236" s="540">
        <f t="shared" si="10"/>
        <v>158.81376473214286</v>
      </c>
      <c r="H236" s="541">
        <f t="shared" si="11"/>
        <v>12919.475176785712</v>
      </c>
      <c r="I236" s="446"/>
    </row>
    <row r="237" spans="2:9" ht="26.1" hidden="1" customHeight="1" thickTop="1" thickBot="1" x14ac:dyDescent="0.4">
      <c r="B237" s="366"/>
      <c r="C237" s="452">
        <v>45927</v>
      </c>
      <c r="D237" s="451">
        <v>222</v>
      </c>
      <c r="E237" s="454" t="s">
        <v>909</v>
      </c>
      <c r="F237" s="539">
        <f t="shared" si="9"/>
        <v>1914.3885486263734</v>
      </c>
      <c r="G237" s="540">
        <f t="shared" si="10"/>
        <v>159.5323790521978</v>
      </c>
      <c r="H237" s="541">
        <f t="shared" si="11"/>
        <v>12928.098548626373</v>
      </c>
      <c r="I237" s="446"/>
    </row>
    <row r="238" spans="2:9" ht="26.1" hidden="1" customHeight="1" thickTop="1" thickBot="1" x14ac:dyDescent="0.4">
      <c r="B238" s="366"/>
      <c r="C238" s="452">
        <v>45928</v>
      </c>
      <c r="D238" s="451">
        <v>223</v>
      </c>
      <c r="E238" s="454" t="s">
        <v>910</v>
      </c>
      <c r="F238" s="539">
        <f t="shared" si="9"/>
        <v>1923.0119204670327</v>
      </c>
      <c r="G238" s="540">
        <f t="shared" si="10"/>
        <v>160.25099337225274</v>
      </c>
      <c r="H238" s="541">
        <f t="shared" si="11"/>
        <v>12936.721920467033</v>
      </c>
      <c r="I238" s="446"/>
    </row>
    <row r="239" spans="2:9" ht="26.1" hidden="1" customHeight="1" thickTop="1" thickBot="1" x14ac:dyDescent="0.4">
      <c r="B239" s="366"/>
      <c r="C239" s="452">
        <v>45929</v>
      </c>
      <c r="D239" s="451">
        <v>224</v>
      </c>
      <c r="E239" s="454" t="s">
        <v>904</v>
      </c>
      <c r="F239" s="539">
        <f t="shared" si="9"/>
        <v>1931.6352923076922</v>
      </c>
      <c r="G239" s="540">
        <f t="shared" si="10"/>
        <v>160.96960769230768</v>
      </c>
      <c r="H239" s="541">
        <f t="shared" si="11"/>
        <v>12945.345292307691</v>
      </c>
      <c r="I239" s="446"/>
    </row>
    <row r="240" spans="2:9" ht="26.1" hidden="1" customHeight="1" thickTop="1" thickBot="1" x14ac:dyDescent="0.4">
      <c r="B240" s="366"/>
      <c r="C240" s="452">
        <v>45930</v>
      </c>
      <c r="D240" s="451">
        <v>225</v>
      </c>
      <c r="E240" s="454" t="s">
        <v>905</v>
      </c>
      <c r="F240" s="539">
        <f t="shared" si="9"/>
        <v>1940.2586641483515</v>
      </c>
      <c r="G240" s="540">
        <f t="shared" si="10"/>
        <v>161.68822201236262</v>
      </c>
      <c r="H240" s="541">
        <f t="shared" si="11"/>
        <v>12953.968664148351</v>
      </c>
      <c r="I240" s="446"/>
    </row>
    <row r="241" spans="2:9" ht="26.1" hidden="1" customHeight="1" thickTop="1" thickBot="1" x14ac:dyDescent="0.4">
      <c r="B241" s="366"/>
      <c r="C241" s="452">
        <v>45931</v>
      </c>
      <c r="D241" s="451">
        <v>226</v>
      </c>
      <c r="E241" s="454" t="s">
        <v>906</v>
      </c>
      <c r="F241" s="539">
        <f t="shared" si="9"/>
        <v>1948.8820359890108</v>
      </c>
      <c r="G241" s="540">
        <f t="shared" si="10"/>
        <v>162.40683633241756</v>
      </c>
      <c r="H241" s="541">
        <f t="shared" si="11"/>
        <v>12962.59203598901</v>
      </c>
      <c r="I241" s="446"/>
    </row>
    <row r="242" spans="2:9" ht="26.1" hidden="1" customHeight="1" thickTop="1" thickBot="1" x14ac:dyDescent="0.4">
      <c r="B242" s="366"/>
      <c r="C242" s="452">
        <v>45932</v>
      </c>
      <c r="D242" s="451">
        <v>227</v>
      </c>
      <c r="E242" s="454" t="s">
        <v>907</v>
      </c>
      <c r="F242" s="539">
        <f t="shared" si="9"/>
        <v>1957.5054078296703</v>
      </c>
      <c r="G242" s="540">
        <f t="shared" si="10"/>
        <v>163.12545065247252</v>
      </c>
      <c r="H242" s="541">
        <f t="shared" si="11"/>
        <v>12971.21540782967</v>
      </c>
      <c r="I242" s="446"/>
    </row>
    <row r="243" spans="2:9" ht="26.1" hidden="1" customHeight="1" thickTop="1" thickBot="1" x14ac:dyDescent="0.4">
      <c r="B243" s="366"/>
      <c r="C243" s="452">
        <v>45933</v>
      </c>
      <c r="D243" s="451">
        <v>228</v>
      </c>
      <c r="E243" s="454" t="s">
        <v>908</v>
      </c>
      <c r="F243" s="539">
        <f t="shared" si="9"/>
        <v>1966.1287796703295</v>
      </c>
      <c r="G243" s="540">
        <f t="shared" si="10"/>
        <v>163.84406497252746</v>
      </c>
      <c r="H243" s="541">
        <f t="shared" si="11"/>
        <v>12979.838779670328</v>
      </c>
      <c r="I243" s="446"/>
    </row>
    <row r="244" spans="2:9" ht="26.1" hidden="1" customHeight="1" thickTop="1" thickBot="1" x14ac:dyDescent="0.4">
      <c r="B244" s="366"/>
      <c r="C244" s="452">
        <v>45934</v>
      </c>
      <c r="D244" s="451">
        <v>229</v>
      </c>
      <c r="E244" s="454" t="s">
        <v>909</v>
      </c>
      <c r="F244" s="539">
        <f t="shared" si="9"/>
        <v>1974.7521515109888</v>
      </c>
      <c r="G244" s="540">
        <f t="shared" si="10"/>
        <v>164.5626792925824</v>
      </c>
      <c r="H244" s="541">
        <f t="shared" si="11"/>
        <v>12988.462151510988</v>
      </c>
      <c r="I244" s="446"/>
    </row>
    <row r="245" spans="2:9" ht="26.1" hidden="1" customHeight="1" thickTop="1" thickBot="1" x14ac:dyDescent="0.4">
      <c r="B245" s="366"/>
      <c r="C245" s="452">
        <v>45935</v>
      </c>
      <c r="D245" s="451">
        <v>230</v>
      </c>
      <c r="E245" s="454" t="s">
        <v>910</v>
      </c>
      <c r="F245" s="539">
        <f t="shared" si="9"/>
        <v>1983.3755233516481</v>
      </c>
      <c r="G245" s="540">
        <f t="shared" si="10"/>
        <v>165.28129361263734</v>
      </c>
      <c r="H245" s="541">
        <f t="shared" si="11"/>
        <v>12997.085523351647</v>
      </c>
      <c r="I245" s="446"/>
    </row>
    <row r="246" spans="2:9" ht="26.1" hidden="1" customHeight="1" thickTop="1" thickBot="1" x14ac:dyDescent="0.4">
      <c r="B246" s="366"/>
      <c r="C246" s="452">
        <v>45936</v>
      </c>
      <c r="D246" s="451">
        <v>231</v>
      </c>
      <c r="E246" s="454" t="s">
        <v>904</v>
      </c>
      <c r="F246" s="539">
        <f t="shared" si="9"/>
        <v>1991.9988951923076</v>
      </c>
      <c r="G246" s="540">
        <f t="shared" si="10"/>
        <v>165.99990793269231</v>
      </c>
      <c r="H246" s="541">
        <f t="shared" si="11"/>
        <v>13005.708895192307</v>
      </c>
      <c r="I246" s="446"/>
    </row>
    <row r="247" spans="2:9" ht="26.1" hidden="1" customHeight="1" thickTop="1" thickBot="1" x14ac:dyDescent="0.4">
      <c r="B247" s="366"/>
      <c r="C247" s="452">
        <v>45937</v>
      </c>
      <c r="D247" s="451">
        <v>232</v>
      </c>
      <c r="E247" s="454" t="s">
        <v>905</v>
      </c>
      <c r="F247" s="539">
        <f t="shared" si="9"/>
        <v>2000.6222670329669</v>
      </c>
      <c r="G247" s="540">
        <f t="shared" si="10"/>
        <v>166.71852225274725</v>
      </c>
      <c r="H247" s="541">
        <f t="shared" si="11"/>
        <v>13014.332267032965</v>
      </c>
      <c r="I247" s="446"/>
    </row>
    <row r="248" spans="2:9" ht="26.1" hidden="1" customHeight="1" thickTop="1" thickBot="1" x14ac:dyDescent="0.4">
      <c r="B248" s="366"/>
      <c r="C248" s="452">
        <v>45938</v>
      </c>
      <c r="D248" s="451">
        <v>233</v>
      </c>
      <c r="E248" s="454" t="s">
        <v>906</v>
      </c>
      <c r="F248" s="539">
        <f t="shared" si="9"/>
        <v>2009.2456388736261</v>
      </c>
      <c r="G248" s="540">
        <f t="shared" si="10"/>
        <v>167.43713657280219</v>
      </c>
      <c r="H248" s="541">
        <f t="shared" si="11"/>
        <v>13022.955638873626</v>
      </c>
      <c r="I248" s="446"/>
    </row>
    <row r="249" spans="2:9" ht="26.1" hidden="1" customHeight="1" thickTop="1" thickBot="1" x14ac:dyDescent="0.4">
      <c r="B249" s="366"/>
      <c r="C249" s="452">
        <v>45939</v>
      </c>
      <c r="D249" s="451">
        <v>234</v>
      </c>
      <c r="E249" s="454" t="s">
        <v>907</v>
      </c>
      <c r="F249" s="539">
        <f t="shared" si="9"/>
        <v>2017.8690107142857</v>
      </c>
      <c r="G249" s="540">
        <f t="shared" si="10"/>
        <v>168.15575089285713</v>
      </c>
      <c r="H249" s="541">
        <f t="shared" si="11"/>
        <v>13031.579010714286</v>
      </c>
      <c r="I249" s="446"/>
    </row>
    <row r="250" spans="2:9" ht="26.1" hidden="1" customHeight="1" thickTop="1" thickBot="1" x14ac:dyDescent="0.4">
      <c r="B250" s="366"/>
      <c r="C250" s="452">
        <v>45940</v>
      </c>
      <c r="D250" s="451">
        <v>235</v>
      </c>
      <c r="E250" s="454" t="s">
        <v>908</v>
      </c>
      <c r="F250" s="539">
        <f t="shared" si="9"/>
        <v>2026.4923825549449</v>
      </c>
      <c r="G250" s="540">
        <f t="shared" si="10"/>
        <v>168.87436521291207</v>
      </c>
      <c r="H250" s="541">
        <f t="shared" si="11"/>
        <v>13040.202382554944</v>
      </c>
      <c r="I250" s="446"/>
    </row>
    <row r="251" spans="2:9" ht="26.1" hidden="1" customHeight="1" thickTop="1" thickBot="1" x14ac:dyDescent="0.4">
      <c r="B251" s="366"/>
      <c r="C251" s="452">
        <v>45941</v>
      </c>
      <c r="D251" s="451">
        <v>236</v>
      </c>
      <c r="E251" s="454" t="s">
        <v>909</v>
      </c>
      <c r="F251" s="539">
        <f t="shared" si="9"/>
        <v>2035.1157543956042</v>
      </c>
      <c r="G251" s="540">
        <f t="shared" si="10"/>
        <v>169.59297953296701</v>
      </c>
      <c r="H251" s="541">
        <f t="shared" si="11"/>
        <v>13048.825754395602</v>
      </c>
      <c r="I251" s="446"/>
    </row>
    <row r="252" spans="2:9" ht="26.1" hidden="1" customHeight="1" thickTop="1" thickBot="1" x14ac:dyDescent="0.4">
      <c r="B252" s="366"/>
      <c r="C252" s="452">
        <v>45942</v>
      </c>
      <c r="D252" s="451">
        <v>237</v>
      </c>
      <c r="E252" s="454" t="s">
        <v>910</v>
      </c>
      <c r="F252" s="539">
        <f t="shared" si="9"/>
        <v>2043.7391262362637</v>
      </c>
      <c r="G252" s="540">
        <f t="shared" si="10"/>
        <v>170.31159385302198</v>
      </c>
      <c r="H252" s="541">
        <f t="shared" si="11"/>
        <v>13057.449126236263</v>
      </c>
      <c r="I252" s="446"/>
    </row>
    <row r="253" spans="2:9" ht="26.1" hidden="1" customHeight="1" thickTop="1" thickBot="1" x14ac:dyDescent="0.4">
      <c r="B253" s="366"/>
      <c r="C253" s="452">
        <v>45943</v>
      </c>
      <c r="D253" s="451">
        <v>238</v>
      </c>
      <c r="E253" s="454" t="s">
        <v>904</v>
      </c>
      <c r="F253" s="539">
        <f t="shared" si="9"/>
        <v>2052.3624980769227</v>
      </c>
      <c r="G253" s="540">
        <f t="shared" si="10"/>
        <v>171.03020817307689</v>
      </c>
      <c r="H253" s="541">
        <f t="shared" si="11"/>
        <v>13066.072498076923</v>
      </c>
      <c r="I253" s="446"/>
    </row>
    <row r="254" spans="2:9" ht="26.1" hidden="1" customHeight="1" thickTop="1" thickBot="1" x14ac:dyDescent="0.4">
      <c r="B254" s="366"/>
      <c r="C254" s="452">
        <v>45944</v>
      </c>
      <c r="D254" s="451">
        <v>239</v>
      </c>
      <c r="E254" s="454" t="s">
        <v>905</v>
      </c>
      <c r="F254" s="539">
        <f t="shared" si="9"/>
        <v>2060.9858699175825</v>
      </c>
      <c r="G254" s="540">
        <f t="shared" si="10"/>
        <v>171.74882249313188</v>
      </c>
      <c r="H254" s="541">
        <f t="shared" si="11"/>
        <v>13074.695869917581</v>
      </c>
      <c r="I254" s="446"/>
    </row>
    <row r="255" spans="2:9" ht="26.1" hidden="1" customHeight="1" thickTop="1" thickBot="1" x14ac:dyDescent="0.4">
      <c r="B255" s="366"/>
      <c r="C255" s="452">
        <v>45945</v>
      </c>
      <c r="D255" s="451">
        <v>240</v>
      </c>
      <c r="E255" s="454" t="s">
        <v>906</v>
      </c>
      <c r="F255" s="539">
        <f t="shared" si="9"/>
        <v>2069.6092417582418</v>
      </c>
      <c r="G255" s="540">
        <f t="shared" si="10"/>
        <v>172.46743681318682</v>
      </c>
      <c r="H255" s="541">
        <f t="shared" si="11"/>
        <v>13083.319241758241</v>
      </c>
      <c r="I255" s="446"/>
    </row>
    <row r="256" spans="2:9" ht="26.1" hidden="1" customHeight="1" thickTop="1" thickBot="1" x14ac:dyDescent="0.4">
      <c r="B256" s="366"/>
      <c r="C256" s="452">
        <v>45946</v>
      </c>
      <c r="D256" s="451">
        <v>241</v>
      </c>
      <c r="E256" s="454" t="s">
        <v>907</v>
      </c>
      <c r="F256" s="539">
        <f t="shared" si="9"/>
        <v>2078.232613598901</v>
      </c>
      <c r="G256" s="540">
        <f t="shared" si="10"/>
        <v>173.18605113324176</v>
      </c>
      <c r="H256" s="541">
        <f t="shared" si="11"/>
        <v>13091.9426135989</v>
      </c>
      <c r="I256" s="446"/>
    </row>
    <row r="257" spans="2:9" ht="26.1" hidden="1" customHeight="1" thickTop="1" thickBot="1" x14ac:dyDescent="0.4">
      <c r="B257" s="366"/>
      <c r="C257" s="452">
        <v>45947</v>
      </c>
      <c r="D257" s="451">
        <v>242</v>
      </c>
      <c r="E257" s="454" t="s">
        <v>908</v>
      </c>
      <c r="F257" s="539">
        <f t="shared" si="9"/>
        <v>2086.8559854395603</v>
      </c>
      <c r="G257" s="540">
        <f t="shared" si="10"/>
        <v>173.9046654532967</v>
      </c>
      <c r="H257" s="541">
        <f t="shared" si="11"/>
        <v>13100.56598543956</v>
      </c>
      <c r="I257" s="446"/>
    </row>
    <row r="258" spans="2:9" ht="26.1" hidden="1" customHeight="1" thickTop="1" thickBot="1" x14ac:dyDescent="0.4">
      <c r="B258" s="366"/>
      <c r="C258" s="452">
        <v>45948</v>
      </c>
      <c r="D258" s="451">
        <v>243</v>
      </c>
      <c r="E258" s="454" t="s">
        <v>909</v>
      </c>
      <c r="F258" s="539">
        <f t="shared" si="9"/>
        <v>2095.4793572802196</v>
      </c>
      <c r="G258" s="540">
        <f t="shared" si="10"/>
        <v>174.62327977335164</v>
      </c>
      <c r="H258" s="541">
        <f t="shared" si="11"/>
        <v>13109.189357280218</v>
      </c>
      <c r="I258" s="446"/>
    </row>
    <row r="259" spans="2:9" ht="26.1" hidden="1" customHeight="1" thickTop="1" thickBot="1" x14ac:dyDescent="0.4">
      <c r="B259" s="366"/>
      <c r="C259" s="452">
        <v>45949</v>
      </c>
      <c r="D259" s="451">
        <v>244</v>
      </c>
      <c r="E259" s="454" t="s">
        <v>910</v>
      </c>
      <c r="F259" s="539">
        <f t="shared" si="9"/>
        <v>2104.1027291208788</v>
      </c>
      <c r="G259" s="540">
        <f t="shared" si="10"/>
        <v>175.34189409340658</v>
      </c>
      <c r="H259" s="541">
        <f t="shared" si="11"/>
        <v>13117.812729120878</v>
      </c>
      <c r="I259" s="446"/>
    </row>
    <row r="260" spans="2:9" ht="26.1" hidden="1" customHeight="1" thickTop="1" thickBot="1" x14ac:dyDescent="0.4">
      <c r="B260" s="366"/>
      <c r="C260" s="452">
        <v>45950</v>
      </c>
      <c r="D260" s="451">
        <v>245</v>
      </c>
      <c r="E260" s="454" t="s">
        <v>904</v>
      </c>
      <c r="F260" s="539">
        <f t="shared" si="9"/>
        <v>2112.7261009615381</v>
      </c>
      <c r="G260" s="540">
        <f t="shared" si="10"/>
        <v>176.06050841346152</v>
      </c>
      <c r="H260" s="541">
        <f t="shared" si="11"/>
        <v>13126.436100961537</v>
      </c>
      <c r="I260" s="446"/>
    </row>
    <row r="261" spans="2:9" ht="26.1" hidden="1" customHeight="1" thickTop="1" thickBot="1" x14ac:dyDescent="0.4">
      <c r="B261" s="366"/>
      <c r="C261" s="452">
        <v>45951</v>
      </c>
      <c r="D261" s="451">
        <v>246</v>
      </c>
      <c r="E261" s="454" t="s">
        <v>905</v>
      </c>
      <c r="F261" s="539">
        <f t="shared" si="9"/>
        <v>2121.3494728021979</v>
      </c>
      <c r="G261" s="540">
        <f t="shared" si="10"/>
        <v>176.77912273351649</v>
      </c>
      <c r="H261" s="541">
        <f t="shared" si="11"/>
        <v>13135.059472802197</v>
      </c>
      <c r="I261" s="446"/>
    </row>
    <row r="262" spans="2:9" ht="26.1" hidden="1" customHeight="1" thickTop="1" thickBot="1" x14ac:dyDescent="0.4">
      <c r="B262" s="366"/>
      <c r="C262" s="452">
        <v>45952</v>
      </c>
      <c r="D262" s="451">
        <v>247</v>
      </c>
      <c r="E262" s="454" t="s">
        <v>906</v>
      </c>
      <c r="F262" s="539">
        <f t="shared" si="9"/>
        <v>2129.9728446428571</v>
      </c>
      <c r="G262" s="540">
        <f t="shared" si="10"/>
        <v>177.49773705357143</v>
      </c>
      <c r="H262" s="541">
        <f t="shared" si="11"/>
        <v>13143.682844642855</v>
      </c>
      <c r="I262" s="446"/>
    </row>
    <row r="263" spans="2:9" ht="26.1" hidden="1" customHeight="1" thickTop="1" thickBot="1" x14ac:dyDescent="0.4">
      <c r="B263" s="366"/>
      <c r="C263" s="452">
        <v>45953</v>
      </c>
      <c r="D263" s="451">
        <v>248</v>
      </c>
      <c r="E263" s="454" t="s">
        <v>907</v>
      </c>
      <c r="F263" s="539">
        <f t="shared" si="9"/>
        <v>2138.5962164835164</v>
      </c>
      <c r="G263" s="540">
        <f t="shared" si="10"/>
        <v>178.21635137362637</v>
      </c>
      <c r="H263" s="541">
        <f t="shared" si="11"/>
        <v>13152.306216483516</v>
      </c>
      <c r="I263" s="446"/>
    </row>
    <row r="264" spans="2:9" ht="26.1" hidden="1" customHeight="1" thickTop="1" thickBot="1" x14ac:dyDescent="0.4">
      <c r="B264" s="366"/>
      <c r="C264" s="452">
        <v>45954</v>
      </c>
      <c r="D264" s="451">
        <v>249</v>
      </c>
      <c r="E264" s="454" t="s">
        <v>908</v>
      </c>
      <c r="F264" s="539">
        <f t="shared" si="9"/>
        <v>2147.2195883241757</v>
      </c>
      <c r="G264" s="540">
        <f t="shared" si="10"/>
        <v>178.93496569368131</v>
      </c>
      <c r="H264" s="541">
        <f t="shared" si="11"/>
        <v>13160.929588324176</v>
      </c>
      <c r="I264" s="446"/>
    </row>
    <row r="265" spans="2:9" ht="26.1" hidden="1" customHeight="1" thickTop="1" thickBot="1" x14ac:dyDescent="0.4">
      <c r="B265" s="366"/>
      <c r="C265" s="452">
        <v>45955</v>
      </c>
      <c r="D265" s="451">
        <v>250</v>
      </c>
      <c r="E265" s="454" t="s">
        <v>909</v>
      </c>
      <c r="F265" s="539">
        <f t="shared" si="9"/>
        <v>2155.8429601648349</v>
      </c>
      <c r="G265" s="540">
        <f t="shared" si="10"/>
        <v>179.65358001373625</v>
      </c>
      <c r="H265" s="541">
        <f t="shared" si="11"/>
        <v>13169.552960164834</v>
      </c>
      <c r="I265" s="446"/>
    </row>
    <row r="266" spans="2:9" ht="26.1" hidden="1" customHeight="1" thickTop="1" thickBot="1" x14ac:dyDescent="0.4">
      <c r="B266" s="366"/>
      <c r="C266" s="452">
        <v>45956</v>
      </c>
      <c r="D266" s="451">
        <v>251</v>
      </c>
      <c r="E266" s="454" t="s">
        <v>910</v>
      </c>
      <c r="F266" s="539">
        <f t="shared" si="9"/>
        <v>2164.4663320054942</v>
      </c>
      <c r="G266" s="540">
        <f t="shared" si="10"/>
        <v>180.37219433379119</v>
      </c>
      <c r="H266" s="541">
        <f t="shared" si="11"/>
        <v>13178.176332005492</v>
      </c>
      <c r="I266" s="446"/>
    </row>
    <row r="267" spans="2:9" ht="26.1" hidden="1" customHeight="1" thickTop="1" thickBot="1" x14ac:dyDescent="0.4">
      <c r="B267" s="366"/>
      <c r="C267" s="452">
        <v>45957</v>
      </c>
      <c r="D267" s="451">
        <v>252</v>
      </c>
      <c r="E267" s="454" t="s">
        <v>904</v>
      </c>
      <c r="F267" s="539">
        <f t="shared" si="9"/>
        <v>2173.0897038461535</v>
      </c>
      <c r="G267" s="540">
        <f t="shared" si="10"/>
        <v>181.09080865384612</v>
      </c>
      <c r="H267" s="541">
        <f t="shared" si="11"/>
        <v>13186.799703846153</v>
      </c>
      <c r="I267" s="446"/>
    </row>
    <row r="268" spans="2:9" ht="26.1" hidden="1" customHeight="1" thickTop="1" thickBot="1" x14ac:dyDescent="0.4">
      <c r="B268" s="366"/>
      <c r="C268" s="452">
        <v>45958</v>
      </c>
      <c r="D268" s="451">
        <v>253</v>
      </c>
      <c r="E268" s="454" t="s">
        <v>905</v>
      </c>
      <c r="F268" s="539">
        <f t="shared" si="9"/>
        <v>2181.7130756868132</v>
      </c>
      <c r="G268" s="540">
        <f t="shared" si="10"/>
        <v>181.80942297390109</v>
      </c>
      <c r="H268" s="541">
        <f t="shared" si="11"/>
        <v>13195.423075686813</v>
      </c>
      <c r="I268" s="446"/>
    </row>
    <row r="269" spans="2:9" ht="26.1" hidden="1" customHeight="1" thickTop="1" thickBot="1" x14ac:dyDescent="0.4">
      <c r="B269" s="366"/>
      <c r="C269" s="452">
        <v>45959</v>
      </c>
      <c r="D269" s="451">
        <v>254</v>
      </c>
      <c r="E269" s="454" t="s">
        <v>906</v>
      </c>
      <c r="F269" s="539">
        <f t="shared" si="9"/>
        <v>2190.3364475274725</v>
      </c>
      <c r="G269" s="540">
        <f t="shared" si="10"/>
        <v>182.52803729395603</v>
      </c>
      <c r="H269" s="541">
        <f t="shared" si="11"/>
        <v>13204.046447527471</v>
      </c>
      <c r="I269" s="446"/>
    </row>
    <row r="270" spans="2:9" ht="26.1" hidden="1" customHeight="1" thickTop="1" thickBot="1" x14ac:dyDescent="0.4">
      <c r="B270" s="366"/>
      <c r="C270" s="452">
        <v>45960</v>
      </c>
      <c r="D270" s="451">
        <v>255</v>
      </c>
      <c r="E270" s="454" t="s">
        <v>907</v>
      </c>
      <c r="F270" s="539">
        <f t="shared" si="9"/>
        <v>2198.9598193681318</v>
      </c>
      <c r="G270" s="540">
        <f t="shared" si="10"/>
        <v>183.24665161401097</v>
      </c>
      <c r="H270" s="541">
        <f t="shared" si="11"/>
        <v>13212.669819368131</v>
      </c>
      <c r="I270" s="446"/>
    </row>
    <row r="271" spans="2:9" ht="26.1" hidden="1" customHeight="1" thickTop="1" thickBot="1" x14ac:dyDescent="0.4">
      <c r="B271" s="366"/>
      <c r="C271" s="452">
        <v>45961</v>
      </c>
      <c r="D271" s="451">
        <v>256</v>
      </c>
      <c r="E271" s="454" t="s">
        <v>908</v>
      </c>
      <c r="F271" s="539">
        <f t="shared" si="9"/>
        <v>2207.583191208791</v>
      </c>
      <c r="G271" s="540">
        <f t="shared" si="10"/>
        <v>183.96526593406591</v>
      </c>
      <c r="H271" s="541">
        <f t="shared" si="11"/>
        <v>13221.29319120879</v>
      </c>
      <c r="I271" s="446"/>
    </row>
    <row r="272" spans="2:9" ht="26.1" hidden="1" customHeight="1" thickTop="1" thickBot="1" x14ac:dyDescent="0.4">
      <c r="B272" s="366"/>
      <c r="C272" s="452">
        <v>45962</v>
      </c>
      <c r="D272" s="451">
        <v>257</v>
      </c>
      <c r="E272" s="454" t="s">
        <v>909</v>
      </c>
      <c r="F272" s="539">
        <f t="shared" ref="F272:F335" si="12">$E$8/$F$10*D272</f>
        <v>2216.2065630494503</v>
      </c>
      <c r="G272" s="540">
        <f t="shared" ref="G272:G335" si="13">F272/$C$12</f>
        <v>184.68388025412085</v>
      </c>
      <c r="H272" s="541">
        <f t="shared" si="11"/>
        <v>13229.91656304945</v>
      </c>
      <c r="I272" s="446"/>
    </row>
    <row r="273" spans="2:9" ht="26.1" hidden="1" customHeight="1" thickTop="1" thickBot="1" x14ac:dyDescent="0.4">
      <c r="B273" s="366"/>
      <c r="C273" s="452">
        <v>45963</v>
      </c>
      <c r="D273" s="451">
        <v>258</v>
      </c>
      <c r="E273" s="454" t="s">
        <v>910</v>
      </c>
      <c r="F273" s="539">
        <f t="shared" si="12"/>
        <v>2224.8299348901096</v>
      </c>
      <c r="G273" s="540">
        <f t="shared" si="13"/>
        <v>185.40249457417579</v>
      </c>
      <c r="H273" s="541">
        <f t="shared" ref="H273:H336" si="14">$C$8+F273</f>
        <v>13238.539934890108</v>
      </c>
      <c r="I273" s="446"/>
    </row>
    <row r="274" spans="2:9" ht="26.1" hidden="1" customHeight="1" thickTop="1" thickBot="1" x14ac:dyDescent="0.4">
      <c r="B274" s="366"/>
      <c r="C274" s="452">
        <v>45964</v>
      </c>
      <c r="D274" s="451">
        <v>259</v>
      </c>
      <c r="E274" s="454" t="s">
        <v>904</v>
      </c>
      <c r="F274" s="539">
        <f t="shared" si="12"/>
        <v>2233.4533067307689</v>
      </c>
      <c r="G274" s="540">
        <f t="shared" si="13"/>
        <v>186.12110889423073</v>
      </c>
      <c r="H274" s="541">
        <f t="shared" si="14"/>
        <v>13247.163306730768</v>
      </c>
      <c r="I274" s="446"/>
    </row>
    <row r="275" spans="2:9" ht="26.1" hidden="1" customHeight="1" thickTop="1" thickBot="1" x14ac:dyDescent="0.4">
      <c r="B275" s="366"/>
      <c r="C275" s="452">
        <v>45965</v>
      </c>
      <c r="D275" s="451">
        <v>260</v>
      </c>
      <c r="E275" s="454" t="s">
        <v>905</v>
      </c>
      <c r="F275" s="539">
        <f t="shared" si="12"/>
        <v>2242.0766785714286</v>
      </c>
      <c r="G275" s="540">
        <f t="shared" si="13"/>
        <v>186.83972321428573</v>
      </c>
      <c r="H275" s="541">
        <f t="shared" si="14"/>
        <v>13255.786678571429</v>
      </c>
      <c r="I275" s="446"/>
    </row>
    <row r="276" spans="2:9" ht="26.1" hidden="1" customHeight="1" thickTop="1" thickBot="1" x14ac:dyDescent="0.4">
      <c r="B276" s="366"/>
      <c r="C276" s="452">
        <v>45966</v>
      </c>
      <c r="D276" s="451">
        <v>261</v>
      </c>
      <c r="E276" s="454" t="s">
        <v>906</v>
      </c>
      <c r="F276" s="539">
        <f t="shared" si="12"/>
        <v>2250.7000504120879</v>
      </c>
      <c r="G276" s="540">
        <f t="shared" si="13"/>
        <v>187.55833753434067</v>
      </c>
      <c r="H276" s="541">
        <f t="shared" si="14"/>
        <v>13264.410050412087</v>
      </c>
      <c r="I276" s="446"/>
    </row>
    <row r="277" spans="2:9" ht="26.1" hidden="1" customHeight="1" thickTop="1" thickBot="1" x14ac:dyDescent="0.4">
      <c r="B277" s="366"/>
      <c r="C277" s="452">
        <v>45967</v>
      </c>
      <c r="D277" s="451">
        <v>262</v>
      </c>
      <c r="E277" s="454" t="s">
        <v>907</v>
      </c>
      <c r="F277" s="539">
        <f t="shared" si="12"/>
        <v>2259.3234222527472</v>
      </c>
      <c r="G277" s="540">
        <f t="shared" si="13"/>
        <v>188.27695185439561</v>
      </c>
      <c r="H277" s="541">
        <f t="shared" si="14"/>
        <v>13273.033422252745</v>
      </c>
      <c r="I277" s="446"/>
    </row>
    <row r="278" spans="2:9" ht="26.1" hidden="1" customHeight="1" thickTop="1" thickBot="1" x14ac:dyDescent="0.4">
      <c r="B278" s="366"/>
      <c r="C278" s="452">
        <v>45968</v>
      </c>
      <c r="D278" s="451">
        <v>263</v>
      </c>
      <c r="E278" s="454" t="s">
        <v>908</v>
      </c>
      <c r="F278" s="539">
        <f t="shared" si="12"/>
        <v>2267.9467940934064</v>
      </c>
      <c r="G278" s="540">
        <f t="shared" si="13"/>
        <v>188.99556617445054</v>
      </c>
      <c r="H278" s="541">
        <f t="shared" si="14"/>
        <v>13281.656794093406</v>
      </c>
      <c r="I278" s="446"/>
    </row>
    <row r="279" spans="2:9" ht="26.1" hidden="1" customHeight="1" thickTop="1" thickBot="1" x14ac:dyDescent="0.4">
      <c r="B279" s="366"/>
      <c r="C279" s="452">
        <v>45969</v>
      </c>
      <c r="D279" s="451">
        <v>264</v>
      </c>
      <c r="E279" s="454" t="s">
        <v>909</v>
      </c>
      <c r="F279" s="539">
        <f t="shared" si="12"/>
        <v>2276.5701659340657</v>
      </c>
      <c r="G279" s="540">
        <f t="shared" si="13"/>
        <v>189.71418049450548</v>
      </c>
      <c r="H279" s="541">
        <f t="shared" si="14"/>
        <v>13290.280165934066</v>
      </c>
      <c r="I279" s="446"/>
    </row>
    <row r="280" spans="2:9" ht="26.1" hidden="1" customHeight="1" thickTop="1" thickBot="1" x14ac:dyDescent="0.4">
      <c r="B280" s="366"/>
      <c r="C280" s="452">
        <v>45970</v>
      </c>
      <c r="D280" s="451">
        <v>265</v>
      </c>
      <c r="E280" s="454" t="s">
        <v>910</v>
      </c>
      <c r="F280" s="539">
        <f t="shared" si="12"/>
        <v>2285.193537774725</v>
      </c>
      <c r="G280" s="540">
        <f t="shared" si="13"/>
        <v>190.43279481456042</v>
      </c>
      <c r="H280" s="541">
        <f t="shared" si="14"/>
        <v>13298.903537774724</v>
      </c>
      <c r="I280" s="446"/>
    </row>
    <row r="281" spans="2:9" ht="26.1" hidden="1" customHeight="1" thickTop="1" thickBot="1" x14ac:dyDescent="0.4">
      <c r="B281" s="366"/>
      <c r="C281" s="452">
        <v>45971</v>
      </c>
      <c r="D281" s="451">
        <v>266</v>
      </c>
      <c r="E281" s="454" t="s">
        <v>904</v>
      </c>
      <c r="F281" s="539">
        <f t="shared" si="12"/>
        <v>2293.8169096153842</v>
      </c>
      <c r="G281" s="540">
        <f t="shared" si="13"/>
        <v>191.15140913461536</v>
      </c>
      <c r="H281" s="541">
        <f t="shared" si="14"/>
        <v>13307.526909615382</v>
      </c>
      <c r="I281" s="446"/>
    </row>
    <row r="282" spans="2:9" ht="26.1" hidden="1" customHeight="1" thickTop="1" thickBot="1" x14ac:dyDescent="0.4">
      <c r="B282" s="366"/>
      <c r="C282" s="452">
        <v>45972</v>
      </c>
      <c r="D282" s="451">
        <v>267</v>
      </c>
      <c r="E282" s="454" t="s">
        <v>905</v>
      </c>
      <c r="F282" s="539">
        <f t="shared" si="12"/>
        <v>2302.440281456044</v>
      </c>
      <c r="G282" s="540">
        <f t="shared" si="13"/>
        <v>191.87002345467033</v>
      </c>
      <c r="H282" s="541">
        <f t="shared" si="14"/>
        <v>13316.150281456043</v>
      </c>
      <c r="I282" s="446"/>
    </row>
    <row r="283" spans="2:9" ht="26.1" hidden="1" customHeight="1" thickTop="1" thickBot="1" x14ac:dyDescent="0.4">
      <c r="B283" s="366"/>
      <c r="C283" s="452">
        <v>45973</v>
      </c>
      <c r="D283" s="451">
        <v>268</v>
      </c>
      <c r="E283" s="454" t="s">
        <v>906</v>
      </c>
      <c r="F283" s="539">
        <f t="shared" si="12"/>
        <v>2311.0636532967033</v>
      </c>
      <c r="G283" s="540">
        <f t="shared" si="13"/>
        <v>192.58863777472527</v>
      </c>
      <c r="H283" s="541">
        <f t="shared" si="14"/>
        <v>13324.773653296703</v>
      </c>
      <c r="I283" s="446"/>
    </row>
    <row r="284" spans="2:9" ht="26.1" hidden="1" customHeight="1" thickTop="1" thickBot="1" x14ac:dyDescent="0.4">
      <c r="B284" s="366"/>
      <c r="C284" s="452">
        <v>45974</v>
      </c>
      <c r="D284" s="451">
        <v>269</v>
      </c>
      <c r="E284" s="454" t="s">
        <v>907</v>
      </c>
      <c r="F284" s="539">
        <f t="shared" si="12"/>
        <v>2319.6870251373625</v>
      </c>
      <c r="G284" s="540">
        <f t="shared" si="13"/>
        <v>193.30725209478021</v>
      </c>
      <c r="H284" s="541">
        <f t="shared" si="14"/>
        <v>13333.397025137361</v>
      </c>
      <c r="I284" s="446"/>
    </row>
    <row r="285" spans="2:9" ht="26.1" hidden="1" customHeight="1" thickTop="1" thickBot="1" x14ac:dyDescent="0.4">
      <c r="B285" s="366"/>
      <c r="C285" s="452">
        <v>45975</v>
      </c>
      <c r="D285" s="451">
        <v>270</v>
      </c>
      <c r="E285" s="454" t="s">
        <v>908</v>
      </c>
      <c r="F285" s="539">
        <f t="shared" si="12"/>
        <v>2328.3103969780218</v>
      </c>
      <c r="G285" s="540">
        <f t="shared" si="13"/>
        <v>194.02586641483515</v>
      </c>
      <c r="H285" s="541">
        <f t="shared" si="14"/>
        <v>13342.020396978021</v>
      </c>
      <c r="I285" s="446"/>
    </row>
    <row r="286" spans="2:9" ht="26.1" hidden="1" customHeight="1" thickTop="1" thickBot="1" x14ac:dyDescent="0.4">
      <c r="B286" s="366"/>
      <c r="C286" s="452">
        <v>45976</v>
      </c>
      <c r="D286" s="451">
        <v>271</v>
      </c>
      <c r="E286" s="454" t="s">
        <v>909</v>
      </c>
      <c r="F286" s="539">
        <f t="shared" si="12"/>
        <v>2336.9337688186811</v>
      </c>
      <c r="G286" s="540">
        <f t="shared" si="13"/>
        <v>194.74448073489009</v>
      </c>
      <c r="H286" s="541">
        <f t="shared" si="14"/>
        <v>13350.64376881868</v>
      </c>
      <c r="I286" s="446"/>
    </row>
    <row r="287" spans="2:9" ht="26.1" hidden="1" customHeight="1" thickTop="1" thickBot="1" x14ac:dyDescent="0.4">
      <c r="B287" s="366"/>
      <c r="C287" s="452">
        <v>45977</v>
      </c>
      <c r="D287" s="451">
        <v>272</v>
      </c>
      <c r="E287" s="454" t="s">
        <v>910</v>
      </c>
      <c r="F287" s="539">
        <f t="shared" si="12"/>
        <v>2345.5571406593403</v>
      </c>
      <c r="G287" s="540">
        <f t="shared" si="13"/>
        <v>195.46309505494503</v>
      </c>
      <c r="H287" s="541">
        <f t="shared" si="14"/>
        <v>13359.26714065934</v>
      </c>
      <c r="I287" s="446"/>
    </row>
    <row r="288" spans="2:9" ht="26.1" hidden="1" customHeight="1" thickTop="1" thickBot="1" x14ac:dyDescent="0.4">
      <c r="B288" s="366"/>
      <c r="C288" s="452">
        <v>45978</v>
      </c>
      <c r="D288" s="451">
        <v>273</v>
      </c>
      <c r="E288" s="454" t="s">
        <v>904</v>
      </c>
      <c r="F288" s="539">
        <f t="shared" si="12"/>
        <v>2354.1805124999996</v>
      </c>
      <c r="G288" s="540">
        <f t="shared" si="13"/>
        <v>196.18170937499997</v>
      </c>
      <c r="H288" s="541">
        <f t="shared" si="14"/>
        <v>13367.890512499998</v>
      </c>
      <c r="I288" s="446"/>
    </row>
    <row r="289" spans="2:9" ht="26.1" hidden="1" customHeight="1" thickTop="1" thickBot="1" x14ac:dyDescent="0.4">
      <c r="B289" s="366"/>
      <c r="C289" s="452">
        <v>45979</v>
      </c>
      <c r="D289" s="451">
        <v>274</v>
      </c>
      <c r="E289" s="454" t="s">
        <v>905</v>
      </c>
      <c r="F289" s="539">
        <f t="shared" si="12"/>
        <v>2362.8038843406594</v>
      </c>
      <c r="G289" s="540">
        <f t="shared" si="13"/>
        <v>196.90032369505494</v>
      </c>
      <c r="H289" s="541">
        <f t="shared" si="14"/>
        <v>13376.513884340658</v>
      </c>
      <c r="I289" s="446"/>
    </row>
    <row r="290" spans="2:9" ht="26.1" hidden="1" customHeight="1" thickTop="1" thickBot="1" x14ac:dyDescent="0.4">
      <c r="B290" s="366"/>
      <c r="C290" s="452">
        <v>45980</v>
      </c>
      <c r="D290" s="451">
        <v>275</v>
      </c>
      <c r="E290" s="454" t="s">
        <v>906</v>
      </c>
      <c r="F290" s="539">
        <f t="shared" si="12"/>
        <v>2371.4272561813186</v>
      </c>
      <c r="G290" s="540">
        <f t="shared" si="13"/>
        <v>197.61893801510988</v>
      </c>
      <c r="H290" s="541">
        <f t="shared" si="14"/>
        <v>13385.137256181319</v>
      </c>
      <c r="I290" s="446"/>
    </row>
    <row r="291" spans="2:9" ht="26.1" hidden="1" customHeight="1" thickTop="1" thickBot="1" x14ac:dyDescent="0.4">
      <c r="B291" s="366"/>
      <c r="C291" s="452">
        <v>45981</v>
      </c>
      <c r="D291" s="451">
        <v>276</v>
      </c>
      <c r="E291" s="454" t="s">
        <v>907</v>
      </c>
      <c r="F291" s="539">
        <f t="shared" si="12"/>
        <v>2380.0506280219779</v>
      </c>
      <c r="G291" s="540">
        <f t="shared" si="13"/>
        <v>198.33755233516482</v>
      </c>
      <c r="H291" s="541">
        <f t="shared" si="14"/>
        <v>13393.760628021977</v>
      </c>
      <c r="I291" s="446"/>
    </row>
    <row r="292" spans="2:9" ht="26.1" hidden="1" customHeight="1" thickTop="1" thickBot="1" x14ac:dyDescent="0.4">
      <c r="B292" s="366"/>
      <c r="C292" s="452">
        <v>45982</v>
      </c>
      <c r="D292" s="451">
        <v>277</v>
      </c>
      <c r="E292" s="454" t="s">
        <v>908</v>
      </c>
      <c r="F292" s="539">
        <f t="shared" si="12"/>
        <v>2388.6739998626372</v>
      </c>
      <c r="G292" s="540">
        <f t="shared" si="13"/>
        <v>199.05616665521976</v>
      </c>
      <c r="H292" s="541">
        <f t="shared" si="14"/>
        <v>13402.383999862635</v>
      </c>
      <c r="I292" s="446"/>
    </row>
    <row r="293" spans="2:9" ht="26.1" hidden="1" customHeight="1" thickTop="1" thickBot="1" x14ac:dyDescent="0.4">
      <c r="B293" s="366"/>
      <c r="C293" s="452">
        <v>45983</v>
      </c>
      <c r="D293" s="451">
        <v>278</v>
      </c>
      <c r="E293" s="454" t="s">
        <v>909</v>
      </c>
      <c r="F293" s="539">
        <f t="shared" si="12"/>
        <v>2397.2973717032964</v>
      </c>
      <c r="G293" s="540">
        <f t="shared" si="13"/>
        <v>199.77478097527469</v>
      </c>
      <c r="H293" s="541">
        <f t="shared" si="14"/>
        <v>13411.007371703296</v>
      </c>
      <c r="I293" s="446"/>
    </row>
    <row r="294" spans="2:9" ht="26.1" hidden="1" customHeight="1" thickTop="1" thickBot="1" x14ac:dyDescent="0.4">
      <c r="B294" s="366"/>
      <c r="C294" s="452">
        <v>45984</v>
      </c>
      <c r="D294" s="451">
        <v>279</v>
      </c>
      <c r="E294" s="454" t="s">
        <v>910</v>
      </c>
      <c r="F294" s="539">
        <f t="shared" si="12"/>
        <v>2405.9207435439557</v>
      </c>
      <c r="G294" s="540">
        <f t="shared" si="13"/>
        <v>200.49339529532963</v>
      </c>
      <c r="H294" s="541">
        <f t="shared" si="14"/>
        <v>13419.630743543956</v>
      </c>
      <c r="I294" s="446"/>
    </row>
    <row r="295" spans="2:9" ht="26.1" hidden="1" customHeight="1" thickTop="1" thickBot="1" x14ac:dyDescent="0.4">
      <c r="B295" s="366"/>
      <c r="C295" s="452">
        <v>45985</v>
      </c>
      <c r="D295" s="451">
        <v>280</v>
      </c>
      <c r="E295" s="454" t="s">
        <v>904</v>
      </c>
      <c r="F295" s="539">
        <f t="shared" si="12"/>
        <v>2414.544115384615</v>
      </c>
      <c r="G295" s="540">
        <f t="shared" si="13"/>
        <v>201.21200961538457</v>
      </c>
      <c r="H295" s="541">
        <f t="shared" si="14"/>
        <v>13428.254115384614</v>
      </c>
      <c r="I295" s="446"/>
    </row>
    <row r="296" spans="2:9" ht="26.1" hidden="1" customHeight="1" thickTop="1" thickBot="1" x14ac:dyDescent="0.4">
      <c r="B296" s="366"/>
      <c r="C296" s="452">
        <v>45986</v>
      </c>
      <c r="D296" s="451">
        <v>281</v>
      </c>
      <c r="E296" s="454" t="s">
        <v>905</v>
      </c>
      <c r="F296" s="539">
        <f t="shared" si="12"/>
        <v>2423.1674872252747</v>
      </c>
      <c r="G296" s="540">
        <f t="shared" si="13"/>
        <v>201.93062393543957</v>
      </c>
      <c r="H296" s="541">
        <f t="shared" si="14"/>
        <v>13436.877487225274</v>
      </c>
      <c r="I296" s="446"/>
    </row>
    <row r="297" spans="2:9" ht="26.1" hidden="1" customHeight="1" thickTop="1" thickBot="1" x14ac:dyDescent="0.4">
      <c r="B297" s="366"/>
      <c r="C297" s="452">
        <v>45987</v>
      </c>
      <c r="D297" s="451">
        <v>282</v>
      </c>
      <c r="E297" s="454" t="s">
        <v>906</v>
      </c>
      <c r="F297" s="539">
        <f t="shared" si="12"/>
        <v>2431.790859065934</v>
      </c>
      <c r="G297" s="540">
        <f t="shared" si="13"/>
        <v>202.64923825549451</v>
      </c>
      <c r="H297" s="541">
        <f t="shared" si="14"/>
        <v>13445.500859065933</v>
      </c>
      <c r="I297" s="446"/>
    </row>
    <row r="298" spans="2:9" ht="26.1" hidden="1" customHeight="1" thickTop="1" thickBot="1" x14ac:dyDescent="0.4">
      <c r="B298" s="366"/>
      <c r="C298" s="452">
        <v>45988</v>
      </c>
      <c r="D298" s="451">
        <v>283</v>
      </c>
      <c r="E298" s="454" t="s">
        <v>907</v>
      </c>
      <c r="F298" s="539">
        <f t="shared" si="12"/>
        <v>2440.4142309065933</v>
      </c>
      <c r="G298" s="540">
        <f t="shared" si="13"/>
        <v>203.36785257554945</v>
      </c>
      <c r="H298" s="541">
        <f t="shared" si="14"/>
        <v>13454.124230906593</v>
      </c>
      <c r="I298" s="446"/>
    </row>
    <row r="299" spans="2:9" ht="26.1" hidden="1" customHeight="1" thickTop="1" thickBot="1" x14ac:dyDescent="0.4">
      <c r="B299" s="366"/>
      <c r="C299" s="452">
        <v>45989</v>
      </c>
      <c r="D299" s="451">
        <v>284</v>
      </c>
      <c r="E299" s="454" t="s">
        <v>908</v>
      </c>
      <c r="F299" s="539">
        <f t="shared" si="12"/>
        <v>2449.0376027472525</v>
      </c>
      <c r="G299" s="540">
        <f t="shared" si="13"/>
        <v>204.08646689560439</v>
      </c>
      <c r="H299" s="541">
        <f t="shared" si="14"/>
        <v>13462.747602747251</v>
      </c>
      <c r="I299" s="446"/>
    </row>
    <row r="300" spans="2:9" ht="26.1" hidden="1" customHeight="1" thickTop="1" thickBot="1" x14ac:dyDescent="0.4">
      <c r="B300" s="366"/>
      <c r="C300" s="452">
        <v>45990</v>
      </c>
      <c r="D300" s="451">
        <v>285</v>
      </c>
      <c r="E300" s="454" t="s">
        <v>909</v>
      </c>
      <c r="F300" s="539">
        <f t="shared" si="12"/>
        <v>2457.6609745879118</v>
      </c>
      <c r="G300" s="540">
        <f t="shared" si="13"/>
        <v>204.80508121565933</v>
      </c>
      <c r="H300" s="541">
        <f t="shared" si="14"/>
        <v>13471.370974587911</v>
      </c>
      <c r="I300" s="446"/>
    </row>
    <row r="301" spans="2:9" ht="26.1" hidden="1" customHeight="1" thickTop="1" thickBot="1" x14ac:dyDescent="0.4">
      <c r="B301" s="366"/>
      <c r="C301" s="452">
        <v>45991</v>
      </c>
      <c r="D301" s="451">
        <v>286</v>
      </c>
      <c r="E301" s="454" t="s">
        <v>910</v>
      </c>
      <c r="F301" s="539">
        <f t="shared" si="12"/>
        <v>2466.2843464285711</v>
      </c>
      <c r="G301" s="540">
        <f t="shared" si="13"/>
        <v>205.52369553571427</v>
      </c>
      <c r="H301" s="541">
        <f t="shared" si="14"/>
        <v>13479.99434642857</v>
      </c>
      <c r="I301" s="446"/>
    </row>
    <row r="302" spans="2:9" ht="26.1" hidden="1" customHeight="1" thickTop="1" thickBot="1" x14ac:dyDescent="0.4">
      <c r="B302" s="366"/>
      <c r="C302" s="452">
        <v>45992</v>
      </c>
      <c r="D302" s="451">
        <v>287</v>
      </c>
      <c r="E302" s="454" t="s">
        <v>904</v>
      </c>
      <c r="F302" s="539">
        <f t="shared" si="12"/>
        <v>2474.9077182692304</v>
      </c>
      <c r="G302" s="540">
        <f t="shared" si="13"/>
        <v>206.24230985576921</v>
      </c>
      <c r="H302" s="541">
        <f t="shared" si="14"/>
        <v>13488.61771826923</v>
      </c>
      <c r="I302" s="446"/>
    </row>
    <row r="303" spans="2:9" ht="26.1" hidden="1" customHeight="1" thickTop="1" thickBot="1" x14ac:dyDescent="0.4">
      <c r="B303" s="366"/>
      <c r="C303" s="452">
        <v>45993</v>
      </c>
      <c r="D303" s="451">
        <v>288</v>
      </c>
      <c r="E303" s="454" t="s">
        <v>905</v>
      </c>
      <c r="F303" s="539">
        <f t="shared" si="12"/>
        <v>2483.5310901098901</v>
      </c>
      <c r="G303" s="540">
        <f t="shared" si="13"/>
        <v>206.96092417582418</v>
      </c>
      <c r="H303" s="541">
        <f t="shared" si="14"/>
        <v>13497.241090109888</v>
      </c>
      <c r="I303" s="446"/>
    </row>
    <row r="304" spans="2:9" ht="26.1" hidden="1" customHeight="1" thickTop="1" thickBot="1" x14ac:dyDescent="0.4">
      <c r="B304" s="366"/>
      <c r="C304" s="452">
        <v>45994</v>
      </c>
      <c r="D304" s="451">
        <v>289</v>
      </c>
      <c r="E304" s="454" t="s">
        <v>906</v>
      </c>
      <c r="F304" s="539">
        <f t="shared" si="12"/>
        <v>2492.1544619505494</v>
      </c>
      <c r="G304" s="540">
        <f t="shared" si="13"/>
        <v>207.67953849587911</v>
      </c>
      <c r="H304" s="541">
        <f t="shared" si="14"/>
        <v>13505.864461950549</v>
      </c>
      <c r="I304" s="446"/>
    </row>
    <row r="305" spans="2:9" ht="26.1" hidden="1" customHeight="1" thickTop="1" thickBot="1" x14ac:dyDescent="0.4">
      <c r="B305" s="366"/>
      <c r="C305" s="452">
        <v>45995</v>
      </c>
      <c r="D305" s="451">
        <v>290</v>
      </c>
      <c r="E305" s="454" t="s">
        <v>907</v>
      </c>
      <c r="F305" s="539">
        <f t="shared" si="12"/>
        <v>2500.7778337912086</v>
      </c>
      <c r="G305" s="540">
        <f t="shared" si="13"/>
        <v>208.39815281593405</v>
      </c>
      <c r="H305" s="541">
        <f t="shared" si="14"/>
        <v>13514.487833791209</v>
      </c>
      <c r="I305" s="446"/>
    </row>
    <row r="306" spans="2:9" ht="26.1" hidden="1" customHeight="1" thickTop="1" thickBot="1" x14ac:dyDescent="0.4">
      <c r="B306" s="366"/>
      <c r="C306" s="452">
        <v>45996</v>
      </c>
      <c r="D306" s="451">
        <v>291</v>
      </c>
      <c r="E306" s="454" t="s">
        <v>908</v>
      </c>
      <c r="F306" s="539">
        <f t="shared" si="12"/>
        <v>2509.4012056318679</v>
      </c>
      <c r="G306" s="540">
        <f t="shared" si="13"/>
        <v>209.11676713598899</v>
      </c>
      <c r="H306" s="541">
        <f t="shared" si="14"/>
        <v>13523.111205631867</v>
      </c>
      <c r="I306" s="446"/>
    </row>
    <row r="307" spans="2:9" ht="26.1" hidden="1" customHeight="1" thickTop="1" thickBot="1" x14ac:dyDescent="0.4">
      <c r="B307" s="366"/>
      <c r="C307" s="452">
        <v>45997</v>
      </c>
      <c r="D307" s="451">
        <v>292</v>
      </c>
      <c r="E307" s="454" t="s">
        <v>909</v>
      </c>
      <c r="F307" s="539">
        <f t="shared" si="12"/>
        <v>2518.0245774725272</v>
      </c>
      <c r="G307" s="540">
        <f t="shared" si="13"/>
        <v>209.83538145604393</v>
      </c>
      <c r="H307" s="541">
        <f t="shared" si="14"/>
        <v>13531.734577472525</v>
      </c>
      <c r="I307" s="446"/>
    </row>
    <row r="308" spans="2:9" ht="26.1" hidden="1" customHeight="1" thickTop="1" thickBot="1" x14ac:dyDescent="0.4">
      <c r="B308" s="366"/>
      <c r="C308" s="452">
        <v>45998</v>
      </c>
      <c r="D308" s="451">
        <v>293</v>
      </c>
      <c r="E308" s="454" t="s">
        <v>910</v>
      </c>
      <c r="F308" s="539">
        <f t="shared" si="12"/>
        <v>2526.6479493131865</v>
      </c>
      <c r="G308" s="540">
        <f t="shared" si="13"/>
        <v>210.55399577609887</v>
      </c>
      <c r="H308" s="541">
        <f t="shared" si="14"/>
        <v>13540.357949313186</v>
      </c>
      <c r="I308" s="446"/>
    </row>
    <row r="309" spans="2:9" ht="26.1" hidden="1" customHeight="1" thickTop="1" thickBot="1" x14ac:dyDescent="0.4">
      <c r="B309" s="366"/>
      <c r="C309" s="452">
        <v>45999</v>
      </c>
      <c r="D309" s="451">
        <v>294</v>
      </c>
      <c r="E309" s="454" t="s">
        <v>904</v>
      </c>
      <c r="F309" s="539">
        <f t="shared" si="12"/>
        <v>2535.2713211538457</v>
      </c>
      <c r="G309" s="540">
        <f t="shared" si="13"/>
        <v>211.27261009615381</v>
      </c>
      <c r="H309" s="541">
        <f t="shared" si="14"/>
        <v>13548.981321153846</v>
      </c>
      <c r="I309" s="446"/>
    </row>
    <row r="310" spans="2:9" ht="26.1" hidden="1" customHeight="1" thickTop="1" thickBot="1" x14ac:dyDescent="0.4">
      <c r="B310" s="366"/>
      <c r="C310" s="452">
        <v>46000</v>
      </c>
      <c r="D310" s="451">
        <v>295</v>
      </c>
      <c r="E310" s="454" t="s">
        <v>905</v>
      </c>
      <c r="F310" s="539">
        <f t="shared" si="12"/>
        <v>2543.8946929945055</v>
      </c>
      <c r="G310" s="540">
        <f t="shared" si="13"/>
        <v>211.99122441620878</v>
      </c>
      <c r="H310" s="541">
        <f t="shared" si="14"/>
        <v>13557.604692994504</v>
      </c>
      <c r="I310" s="446"/>
    </row>
    <row r="311" spans="2:9" ht="26.1" hidden="1" customHeight="1" thickTop="1" thickBot="1" x14ac:dyDescent="0.4">
      <c r="B311" s="366"/>
      <c r="C311" s="452">
        <v>46001</v>
      </c>
      <c r="D311" s="451">
        <v>296</v>
      </c>
      <c r="E311" s="454" t="s">
        <v>906</v>
      </c>
      <c r="F311" s="539">
        <f t="shared" si="12"/>
        <v>2552.5180648351648</v>
      </c>
      <c r="G311" s="540">
        <f t="shared" si="13"/>
        <v>212.70983873626372</v>
      </c>
      <c r="H311" s="541">
        <f t="shared" si="14"/>
        <v>13566.228064835164</v>
      </c>
      <c r="I311" s="446"/>
    </row>
    <row r="312" spans="2:9" ht="26.1" hidden="1" customHeight="1" thickTop="1" thickBot="1" x14ac:dyDescent="0.4">
      <c r="B312" s="366"/>
      <c r="C312" s="452">
        <v>46002</v>
      </c>
      <c r="D312" s="451">
        <v>297</v>
      </c>
      <c r="E312" s="454" t="s">
        <v>907</v>
      </c>
      <c r="F312" s="539">
        <f t="shared" si="12"/>
        <v>2561.141436675824</v>
      </c>
      <c r="G312" s="540">
        <f t="shared" si="13"/>
        <v>213.42845305631866</v>
      </c>
      <c r="H312" s="541">
        <f t="shared" si="14"/>
        <v>13574.851436675823</v>
      </c>
      <c r="I312" s="446"/>
    </row>
    <row r="313" spans="2:9" ht="26.1" hidden="1" customHeight="1" thickTop="1" thickBot="1" x14ac:dyDescent="0.4">
      <c r="B313" s="366"/>
      <c r="C313" s="452">
        <v>46003</v>
      </c>
      <c r="D313" s="451">
        <v>298</v>
      </c>
      <c r="E313" s="454" t="s">
        <v>908</v>
      </c>
      <c r="F313" s="539">
        <f t="shared" si="12"/>
        <v>2569.7648085164833</v>
      </c>
      <c r="G313" s="540">
        <f t="shared" si="13"/>
        <v>214.1470673763736</v>
      </c>
      <c r="H313" s="541">
        <f t="shared" si="14"/>
        <v>13583.474808516483</v>
      </c>
      <c r="I313" s="446"/>
    </row>
    <row r="314" spans="2:9" ht="26.1" hidden="1" customHeight="1" thickTop="1" thickBot="1" x14ac:dyDescent="0.4">
      <c r="B314" s="366"/>
      <c r="C314" s="452">
        <v>46004</v>
      </c>
      <c r="D314" s="451">
        <v>299</v>
      </c>
      <c r="E314" s="454" t="s">
        <v>909</v>
      </c>
      <c r="F314" s="539">
        <f t="shared" si="12"/>
        <v>2578.3881803571426</v>
      </c>
      <c r="G314" s="540">
        <f t="shared" si="13"/>
        <v>214.86568169642854</v>
      </c>
      <c r="H314" s="541">
        <f t="shared" si="14"/>
        <v>13592.098180357141</v>
      </c>
      <c r="I314" s="446"/>
    </row>
    <row r="315" spans="2:9" ht="26.1" hidden="1" customHeight="1" thickTop="1" thickBot="1" x14ac:dyDescent="0.4">
      <c r="B315" s="366"/>
      <c r="C315" s="452">
        <v>46005</v>
      </c>
      <c r="D315" s="451">
        <v>300</v>
      </c>
      <c r="E315" s="454" t="s">
        <v>910</v>
      </c>
      <c r="F315" s="539">
        <f t="shared" si="12"/>
        <v>2587.0115521978018</v>
      </c>
      <c r="G315" s="540">
        <f t="shared" si="13"/>
        <v>215.58429601648348</v>
      </c>
      <c r="H315" s="541">
        <f t="shared" si="14"/>
        <v>13600.721552197801</v>
      </c>
      <c r="I315" s="446"/>
    </row>
    <row r="316" spans="2:9" ht="26.1" hidden="1" customHeight="1" thickTop="1" thickBot="1" x14ac:dyDescent="0.4">
      <c r="B316" s="366"/>
      <c r="C316" s="452">
        <v>46006</v>
      </c>
      <c r="D316" s="451">
        <v>301</v>
      </c>
      <c r="E316" s="454" t="s">
        <v>904</v>
      </c>
      <c r="F316" s="539">
        <f t="shared" si="12"/>
        <v>2595.6349240384616</v>
      </c>
      <c r="G316" s="540">
        <f t="shared" si="13"/>
        <v>216.30291033653847</v>
      </c>
      <c r="H316" s="541">
        <f t="shared" si="14"/>
        <v>13609.344924038462</v>
      </c>
      <c r="I316" s="446"/>
    </row>
    <row r="317" spans="2:9" ht="26.1" hidden="1" customHeight="1" thickTop="1" thickBot="1" x14ac:dyDescent="0.4">
      <c r="B317" s="366"/>
      <c r="C317" s="452">
        <v>46007</v>
      </c>
      <c r="D317" s="451">
        <v>302</v>
      </c>
      <c r="E317" s="454" t="s">
        <v>905</v>
      </c>
      <c r="F317" s="539">
        <f t="shared" si="12"/>
        <v>2604.2582958791209</v>
      </c>
      <c r="G317" s="540">
        <f t="shared" si="13"/>
        <v>217.02152465659341</v>
      </c>
      <c r="H317" s="541">
        <f t="shared" si="14"/>
        <v>13617.96829587912</v>
      </c>
      <c r="I317" s="446"/>
    </row>
    <row r="318" spans="2:9" ht="26.1" hidden="1" customHeight="1" thickTop="1" thickBot="1" x14ac:dyDescent="0.4">
      <c r="B318" s="366"/>
      <c r="C318" s="452">
        <v>46008</v>
      </c>
      <c r="D318" s="451">
        <v>303</v>
      </c>
      <c r="E318" s="454" t="s">
        <v>906</v>
      </c>
      <c r="F318" s="539">
        <f t="shared" si="12"/>
        <v>2612.8816677197801</v>
      </c>
      <c r="G318" s="540">
        <f t="shared" si="13"/>
        <v>217.74013897664835</v>
      </c>
      <c r="H318" s="541">
        <f t="shared" si="14"/>
        <v>13626.591667719778</v>
      </c>
      <c r="I318" s="446"/>
    </row>
    <row r="319" spans="2:9" ht="26.1" hidden="1" customHeight="1" thickTop="1" thickBot="1" x14ac:dyDescent="0.4">
      <c r="B319" s="366"/>
      <c r="C319" s="452">
        <v>46009</v>
      </c>
      <c r="D319" s="451">
        <v>304</v>
      </c>
      <c r="E319" s="454" t="s">
        <v>907</v>
      </c>
      <c r="F319" s="539">
        <f t="shared" si="12"/>
        <v>2621.5050395604394</v>
      </c>
      <c r="G319" s="540">
        <f t="shared" si="13"/>
        <v>218.45875329670329</v>
      </c>
      <c r="H319" s="541">
        <f t="shared" si="14"/>
        <v>13635.215039560439</v>
      </c>
      <c r="I319" s="446"/>
    </row>
    <row r="320" spans="2:9" ht="26.1" hidden="1" customHeight="1" thickTop="1" thickBot="1" x14ac:dyDescent="0.4">
      <c r="B320" s="366"/>
      <c r="C320" s="452">
        <v>46010</v>
      </c>
      <c r="D320" s="451">
        <v>305</v>
      </c>
      <c r="E320" s="454" t="s">
        <v>908</v>
      </c>
      <c r="F320" s="539">
        <f t="shared" si="12"/>
        <v>2630.1284114010987</v>
      </c>
      <c r="G320" s="540">
        <f t="shared" si="13"/>
        <v>219.17736761675823</v>
      </c>
      <c r="H320" s="541">
        <f t="shared" si="14"/>
        <v>13643.838411401099</v>
      </c>
      <c r="I320" s="446"/>
    </row>
    <row r="321" spans="2:9" ht="26.1" hidden="1" customHeight="1" thickTop="1" thickBot="1" x14ac:dyDescent="0.4">
      <c r="B321" s="366"/>
      <c r="C321" s="452">
        <v>46011</v>
      </c>
      <c r="D321" s="451">
        <v>306</v>
      </c>
      <c r="E321" s="454" t="s">
        <v>909</v>
      </c>
      <c r="F321" s="539">
        <f t="shared" si="12"/>
        <v>2638.7517832417579</v>
      </c>
      <c r="G321" s="540">
        <f t="shared" si="13"/>
        <v>219.89598193681317</v>
      </c>
      <c r="H321" s="541">
        <f t="shared" si="14"/>
        <v>13652.461783241757</v>
      </c>
      <c r="I321" s="446"/>
    </row>
    <row r="322" spans="2:9" ht="26.1" hidden="1" customHeight="1" thickTop="1" thickBot="1" x14ac:dyDescent="0.4">
      <c r="B322" s="366"/>
      <c r="C322" s="452">
        <v>46012</v>
      </c>
      <c r="D322" s="451">
        <v>307</v>
      </c>
      <c r="E322" s="454" t="s">
        <v>910</v>
      </c>
      <c r="F322" s="539">
        <f t="shared" si="12"/>
        <v>2647.3751550824172</v>
      </c>
      <c r="G322" s="540">
        <f t="shared" si="13"/>
        <v>220.61459625686811</v>
      </c>
      <c r="H322" s="541">
        <f t="shared" si="14"/>
        <v>13661.085155082415</v>
      </c>
      <c r="I322" s="446"/>
    </row>
    <row r="323" spans="2:9" ht="26.1" hidden="1" customHeight="1" thickTop="1" thickBot="1" x14ac:dyDescent="0.4">
      <c r="B323" s="366"/>
      <c r="C323" s="452">
        <v>46013</v>
      </c>
      <c r="D323" s="451">
        <v>308</v>
      </c>
      <c r="E323" s="454" t="s">
        <v>904</v>
      </c>
      <c r="F323" s="539">
        <f t="shared" si="12"/>
        <v>2655.998526923077</v>
      </c>
      <c r="G323" s="540">
        <f t="shared" si="13"/>
        <v>221.33321057692308</v>
      </c>
      <c r="H323" s="541">
        <f t="shared" si="14"/>
        <v>13669.708526923076</v>
      </c>
      <c r="I323" s="446"/>
    </row>
    <row r="324" spans="2:9" ht="26.1" hidden="1" customHeight="1" thickTop="1" thickBot="1" x14ac:dyDescent="0.4">
      <c r="B324" s="366"/>
      <c r="C324" s="452">
        <v>46014</v>
      </c>
      <c r="D324" s="451">
        <v>309</v>
      </c>
      <c r="E324" s="454" t="s">
        <v>905</v>
      </c>
      <c r="F324" s="539">
        <f t="shared" si="12"/>
        <v>2664.6218987637362</v>
      </c>
      <c r="G324" s="540">
        <f t="shared" si="13"/>
        <v>222.05182489697802</v>
      </c>
      <c r="H324" s="541">
        <f t="shared" si="14"/>
        <v>13678.331898763736</v>
      </c>
      <c r="I324" s="446"/>
    </row>
    <row r="325" spans="2:9" ht="26.1" hidden="1" customHeight="1" thickTop="1" thickBot="1" x14ac:dyDescent="0.4">
      <c r="B325" s="366"/>
      <c r="C325" s="452">
        <v>46015</v>
      </c>
      <c r="D325" s="451">
        <v>310</v>
      </c>
      <c r="E325" s="454" t="s">
        <v>906</v>
      </c>
      <c r="F325" s="539">
        <f t="shared" si="12"/>
        <v>2673.2452706043955</v>
      </c>
      <c r="G325" s="540">
        <f t="shared" si="13"/>
        <v>222.77043921703296</v>
      </c>
      <c r="H325" s="541">
        <f t="shared" si="14"/>
        <v>13686.955270604394</v>
      </c>
      <c r="I325" s="446"/>
    </row>
    <row r="326" spans="2:9" ht="26.1" hidden="1" customHeight="1" thickTop="1" thickBot="1" x14ac:dyDescent="0.4">
      <c r="B326" s="366"/>
      <c r="C326" s="452">
        <v>46016</v>
      </c>
      <c r="D326" s="451">
        <v>311</v>
      </c>
      <c r="E326" s="454" t="s">
        <v>907</v>
      </c>
      <c r="F326" s="539">
        <f t="shared" si="12"/>
        <v>2681.8686424450548</v>
      </c>
      <c r="G326" s="540">
        <f t="shared" si="13"/>
        <v>223.4890535370879</v>
      </c>
      <c r="H326" s="541">
        <f t="shared" si="14"/>
        <v>13695.578642445054</v>
      </c>
      <c r="I326" s="446"/>
    </row>
    <row r="327" spans="2:9" ht="26.1" hidden="1" customHeight="1" thickTop="1" thickBot="1" x14ac:dyDescent="0.4">
      <c r="B327" s="366"/>
      <c r="C327" s="452">
        <v>46017</v>
      </c>
      <c r="D327" s="451">
        <v>312</v>
      </c>
      <c r="E327" s="454" t="s">
        <v>908</v>
      </c>
      <c r="F327" s="539">
        <f t="shared" si="12"/>
        <v>2690.492014285714</v>
      </c>
      <c r="G327" s="540">
        <f t="shared" si="13"/>
        <v>224.20766785714284</v>
      </c>
      <c r="H327" s="541">
        <f t="shared" si="14"/>
        <v>13704.202014285713</v>
      </c>
      <c r="I327" s="446"/>
    </row>
    <row r="328" spans="2:9" ht="26.1" hidden="1" customHeight="1" thickTop="1" thickBot="1" x14ac:dyDescent="0.4">
      <c r="B328" s="366"/>
      <c r="C328" s="452">
        <v>46018</v>
      </c>
      <c r="D328" s="451">
        <v>313</v>
      </c>
      <c r="E328" s="454" t="s">
        <v>909</v>
      </c>
      <c r="F328" s="539">
        <f t="shared" si="12"/>
        <v>2699.1153861263733</v>
      </c>
      <c r="G328" s="540">
        <f t="shared" si="13"/>
        <v>224.92628217719778</v>
      </c>
      <c r="H328" s="541">
        <f t="shared" si="14"/>
        <v>13712.825386126373</v>
      </c>
      <c r="I328" s="446"/>
    </row>
    <row r="329" spans="2:9" ht="26.1" hidden="1" customHeight="1" thickTop="1" thickBot="1" x14ac:dyDescent="0.4">
      <c r="B329" s="366"/>
      <c r="C329" s="452">
        <v>46019</v>
      </c>
      <c r="D329" s="451">
        <v>314</v>
      </c>
      <c r="E329" s="454" t="s">
        <v>910</v>
      </c>
      <c r="F329" s="539">
        <f t="shared" si="12"/>
        <v>2707.7387579670326</v>
      </c>
      <c r="G329" s="540">
        <f t="shared" si="13"/>
        <v>225.64489649725272</v>
      </c>
      <c r="H329" s="541">
        <f t="shared" si="14"/>
        <v>13721.448757967031</v>
      </c>
      <c r="I329" s="446"/>
    </row>
    <row r="330" spans="2:9" ht="26.1" hidden="1" customHeight="1" thickTop="1" thickBot="1" x14ac:dyDescent="0.4">
      <c r="B330" s="366"/>
      <c r="C330" s="452">
        <v>46020</v>
      </c>
      <c r="D330" s="451">
        <v>315</v>
      </c>
      <c r="E330" s="454" t="s">
        <v>904</v>
      </c>
      <c r="F330" s="539">
        <f t="shared" si="12"/>
        <v>2716.3621298076923</v>
      </c>
      <c r="G330" s="540">
        <f t="shared" si="13"/>
        <v>226.36351081730768</v>
      </c>
      <c r="H330" s="541">
        <f t="shared" si="14"/>
        <v>13730.072129807691</v>
      </c>
      <c r="I330" s="446"/>
    </row>
    <row r="331" spans="2:9" ht="26.1" hidden="1" customHeight="1" thickTop="1" thickBot="1" x14ac:dyDescent="0.4">
      <c r="B331" s="366"/>
      <c r="C331" s="452">
        <v>46021</v>
      </c>
      <c r="D331" s="451">
        <v>316</v>
      </c>
      <c r="E331" s="454" t="s">
        <v>905</v>
      </c>
      <c r="F331" s="539">
        <f t="shared" si="12"/>
        <v>2724.9855016483516</v>
      </c>
      <c r="G331" s="540">
        <f t="shared" si="13"/>
        <v>227.08212513736262</v>
      </c>
      <c r="H331" s="541">
        <f t="shared" si="14"/>
        <v>13738.695501648352</v>
      </c>
      <c r="I331" s="446"/>
    </row>
    <row r="332" spans="2:9" ht="26.1" hidden="1" customHeight="1" thickTop="1" thickBot="1" x14ac:dyDescent="0.4">
      <c r="B332" s="366"/>
      <c r="C332" s="452">
        <v>46022</v>
      </c>
      <c r="D332" s="451">
        <v>317</v>
      </c>
      <c r="E332" s="454" t="s">
        <v>906</v>
      </c>
      <c r="F332" s="539">
        <f t="shared" si="12"/>
        <v>2733.6088734890109</v>
      </c>
      <c r="G332" s="540">
        <f t="shared" si="13"/>
        <v>227.80073945741756</v>
      </c>
      <c r="H332" s="541">
        <f t="shared" si="14"/>
        <v>13747.31887348901</v>
      </c>
      <c r="I332" s="446"/>
    </row>
    <row r="333" spans="2:9" ht="26.1" hidden="1" customHeight="1" thickTop="1" thickBot="1" x14ac:dyDescent="0.4">
      <c r="B333" s="366"/>
      <c r="C333" s="452">
        <v>46023</v>
      </c>
      <c r="D333" s="451">
        <v>318</v>
      </c>
      <c r="E333" s="454" t="s">
        <v>907</v>
      </c>
      <c r="F333" s="539">
        <f t="shared" si="12"/>
        <v>2742.2322453296701</v>
      </c>
      <c r="G333" s="540">
        <f t="shared" si="13"/>
        <v>228.5193537774725</v>
      </c>
      <c r="H333" s="541">
        <f t="shared" si="14"/>
        <v>13755.942245329668</v>
      </c>
      <c r="I333" s="446"/>
    </row>
    <row r="334" spans="2:9" ht="26.1" hidden="1" customHeight="1" thickTop="1" thickBot="1" x14ac:dyDescent="0.4">
      <c r="B334" s="366"/>
      <c r="C334" s="452">
        <v>46024</v>
      </c>
      <c r="D334" s="451">
        <v>319</v>
      </c>
      <c r="E334" s="454" t="s">
        <v>908</v>
      </c>
      <c r="F334" s="539">
        <f t="shared" si="12"/>
        <v>2750.8556171703294</v>
      </c>
      <c r="G334" s="540">
        <f t="shared" si="13"/>
        <v>229.23796809752744</v>
      </c>
      <c r="H334" s="541">
        <f t="shared" si="14"/>
        <v>13764.565617170329</v>
      </c>
      <c r="I334" s="446"/>
    </row>
    <row r="335" spans="2:9" ht="26.1" hidden="1" customHeight="1" thickTop="1" thickBot="1" x14ac:dyDescent="0.4">
      <c r="B335" s="366"/>
      <c r="C335" s="452">
        <v>46025</v>
      </c>
      <c r="D335" s="451">
        <v>320</v>
      </c>
      <c r="E335" s="454" t="s">
        <v>909</v>
      </c>
      <c r="F335" s="539">
        <f t="shared" si="12"/>
        <v>2759.4789890109887</v>
      </c>
      <c r="G335" s="540">
        <f t="shared" si="13"/>
        <v>229.95658241758238</v>
      </c>
      <c r="H335" s="541">
        <f t="shared" si="14"/>
        <v>13773.188989010989</v>
      </c>
      <c r="I335" s="446"/>
    </row>
    <row r="336" spans="2:9" ht="26.1" hidden="1" customHeight="1" thickTop="1" thickBot="1" x14ac:dyDescent="0.4">
      <c r="B336" s="366"/>
      <c r="C336" s="452">
        <v>46026</v>
      </c>
      <c r="D336" s="451">
        <v>321</v>
      </c>
      <c r="E336" s="454" t="s">
        <v>910</v>
      </c>
      <c r="F336" s="539">
        <f t="shared" ref="F336:F379" si="15">$E$8/$F$10*D336</f>
        <v>2768.102360851648</v>
      </c>
      <c r="G336" s="540">
        <f t="shared" ref="G336:G379" si="16">F336/$C$12</f>
        <v>230.67519673763732</v>
      </c>
      <c r="H336" s="541">
        <f t="shared" si="14"/>
        <v>13781.812360851647</v>
      </c>
      <c r="I336" s="446"/>
    </row>
    <row r="337" spans="2:9" ht="26.1" hidden="1" customHeight="1" thickTop="1" thickBot="1" x14ac:dyDescent="0.4">
      <c r="B337" s="366"/>
      <c r="C337" s="452">
        <v>46027</v>
      </c>
      <c r="D337" s="451">
        <v>322</v>
      </c>
      <c r="E337" s="454" t="s">
        <v>904</v>
      </c>
      <c r="F337" s="539">
        <f t="shared" si="15"/>
        <v>2776.7257326923077</v>
      </c>
      <c r="G337" s="540">
        <f t="shared" si="16"/>
        <v>231.39381105769232</v>
      </c>
      <c r="H337" s="541">
        <f t="shared" ref="H337:H379" si="17">$C$8+F337</f>
        <v>13790.435732692307</v>
      </c>
      <c r="I337" s="446"/>
    </row>
    <row r="338" spans="2:9" ht="26.1" hidden="1" customHeight="1" thickTop="1" thickBot="1" x14ac:dyDescent="0.4">
      <c r="B338" s="366"/>
      <c r="C338" s="452">
        <v>46028</v>
      </c>
      <c r="D338" s="451">
        <v>323</v>
      </c>
      <c r="E338" s="454" t="s">
        <v>905</v>
      </c>
      <c r="F338" s="539">
        <f t="shared" si="15"/>
        <v>2785.349104532967</v>
      </c>
      <c r="G338" s="540">
        <f t="shared" si="16"/>
        <v>232.11242537774726</v>
      </c>
      <c r="H338" s="541">
        <f t="shared" si="17"/>
        <v>13799.059104532966</v>
      </c>
      <c r="I338" s="446"/>
    </row>
    <row r="339" spans="2:9" ht="26.1" hidden="1" customHeight="1" thickTop="1" thickBot="1" x14ac:dyDescent="0.4">
      <c r="B339" s="366"/>
      <c r="C339" s="452">
        <v>46029</v>
      </c>
      <c r="D339" s="451">
        <v>324</v>
      </c>
      <c r="E339" s="454" t="s">
        <v>906</v>
      </c>
      <c r="F339" s="539">
        <f t="shared" si="15"/>
        <v>2793.9724763736263</v>
      </c>
      <c r="G339" s="540">
        <f t="shared" si="16"/>
        <v>232.8310396978022</v>
      </c>
      <c r="H339" s="541">
        <f t="shared" si="17"/>
        <v>13807.682476373626</v>
      </c>
      <c r="I339" s="446"/>
    </row>
    <row r="340" spans="2:9" ht="26.1" hidden="1" customHeight="1" thickTop="1" thickBot="1" x14ac:dyDescent="0.4">
      <c r="B340" s="366"/>
      <c r="C340" s="452">
        <v>46030</v>
      </c>
      <c r="D340" s="451">
        <v>325</v>
      </c>
      <c r="E340" s="454" t="s">
        <v>907</v>
      </c>
      <c r="F340" s="539">
        <f t="shared" si="15"/>
        <v>2802.5958482142855</v>
      </c>
      <c r="G340" s="540">
        <f t="shared" si="16"/>
        <v>233.54965401785714</v>
      </c>
      <c r="H340" s="541">
        <f t="shared" si="17"/>
        <v>13816.305848214284</v>
      </c>
      <c r="I340" s="446"/>
    </row>
    <row r="341" spans="2:9" ht="26.1" hidden="1" customHeight="1" thickTop="1" thickBot="1" x14ac:dyDescent="0.4">
      <c r="B341" s="366"/>
      <c r="C341" s="452">
        <v>46031</v>
      </c>
      <c r="D341" s="451">
        <v>326</v>
      </c>
      <c r="E341" s="454" t="s">
        <v>908</v>
      </c>
      <c r="F341" s="539">
        <f t="shared" si="15"/>
        <v>2811.2192200549448</v>
      </c>
      <c r="G341" s="540">
        <f t="shared" si="16"/>
        <v>234.26826833791208</v>
      </c>
      <c r="H341" s="541">
        <f t="shared" si="17"/>
        <v>13824.929220054944</v>
      </c>
      <c r="I341" s="446"/>
    </row>
    <row r="342" spans="2:9" ht="26.1" hidden="1" customHeight="1" thickTop="1" thickBot="1" x14ac:dyDescent="0.4">
      <c r="B342" s="366"/>
      <c r="C342" s="452">
        <v>46032</v>
      </c>
      <c r="D342" s="451">
        <v>327</v>
      </c>
      <c r="E342" s="454" t="s">
        <v>909</v>
      </c>
      <c r="F342" s="539">
        <f t="shared" si="15"/>
        <v>2819.8425918956041</v>
      </c>
      <c r="G342" s="540">
        <f t="shared" si="16"/>
        <v>234.98688265796702</v>
      </c>
      <c r="H342" s="541">
        <f t="shared" si="17"/>
        <v>13833.552591895603</v>
      </c>
      <c r="I342" s="446"/>
    </row>
    <row r="343" spans="2:9" ht="26.1" hidden="1" customHeight="1" thickTop="1" thickBot="1" x14ac:dyDescent="0.4">
      <c r="B343" s="366"/>
      <c r="C343" s="452">
        <v>46033</v>
      </c>
      <c r="D343" s="451">
        <v>328</v>
      </c>
      <c r="E343" s="454" t="s">
        <v>910</v>
      </c>
      <c r="F343" s="539">
        <f t="shared" si="15"/>
        <v>2828.4659637362633</v>
      </c>
      <c r="G343" s="540">
        <f t="shared" si="16"/>
        <v>235.70549697802196</v>
      </c>
      <c r="H343" s="541">
        <f t="shared" si="17"/>
        <v>13842.175963736263</v>
      </c>
      <c r="I343" s="446"/>
    </row>
    <row r="344" spans="2:9" ht="26.1" hidden="1" customHeight="1" thickTop="1" thickBot="1" x14ac:dyDescent="0.4">
      <c r="B344" s="366"/>
      <c r="C344" s="452">
        <v>46034</v>
      </c>
      <c r="D344" s="451">
        <v>329</v>
      </c>
      <c r="E344" s="454" t="s">
        <v>904</v>
      </c>
      <c r="F344" s="539">
        <f t="shared" si="15"/>
        <v>2837.0893355769231</v>
      </c>
      <c r="G344" s="540">
        <f t="shared" si="16"/>
        <v>236.42411129807692</v>
      </c>
      <c r="H344" s="541">
        <f t="shared" si="17"/>
        <v>13850.799335576921</v>
      </c>
      <c r="I344" s="446"/>
    </row>
    <row r="345" spans="2:9" ht="26.1" hidden="1" customHeight="1" thickTop="1" thickBot="1" x14ac:dyDescent="0.4">
      <c r="B345" s="366"/>
      <c r="C345" s="452">
        <v>46035</v>
      </c>
      <c r="D345" s="451">
        <v>330</v>
      </c>
      <c r="E345" s="454" t="s">
        <v>905</v>
      </c>
      <c r="F345" s="539">
        <f t="shared" si="15"/>
        <v>2845.7127074175824</v>
      </c>
      <c r="G345" s="540">
        <f t="shared" si="16"/>
        <v>237.14272561813186</v>
      </c>
      <c r="H345" s="541">
        <f t="shared" si="17"/>
        <v>13859.422707417581</v>
      </c>
      <c r="I345" s="446"/>
    </row>
    <row r="346" spans="2:9" ht="26.1" hidden="1" customHeight="1" thickTop="1" thickBot="1" x14ac:dyDescent="0.4">
      <c r="B346" s="366"/>
      <c r="C346" s="452">
        <v>46036</v>
      </c>
      <c r="D346" s="451">
        <v>331</v>
      </c>
      <c r="E346" s="454" t="s">
        <v>906</v>
      </c>
      <c r="F346" s="539">
        <f t="shared" si="15"/>
        <v>2854.3360792582416</v>
      </c>
      <c r="G346" s="540">
        <f t="shared" si="16"/>
        <v>237.8613399381868</v>
      </c>
      <c r="H346" s="541">
        <f t="shared" si="17"/>
        <v>13868.046079258242</v>
      </c>
      <c r="I346" s="446"/>
    </row>
    <row r="347" spans="2:9" ht="26.1" hidden="1" customHeight="1" thickTop="1" thickBot="1" x14ac:dyDescent="0.4">
      <c r="B347" s="366"/>
      <c r="C347" s="452">
        <v>46037</v>
      </c>
      <c r="D347" s="451">
        <v>332</v>
      </c>
      <c r="E347" s="454" t="s">
        <v>907</v>
      </c>
      <c r="F347" s="539">
        <f t="shared" si="15"/>
        <v>2862.9594510989009</v>
      </c>
      <c r="G347" s="540">
        <f t="shared" si="16"/>
        <v>238.57995425824174</v>
      </c>
      <c r="H347" s="541">
        <f t="shared" si="17"/>
        <v>13876.6694510989</v>
      </c>
      <c r="I347" s="446"/>
    </row>
    <row r="348" spans="2:9" ht="26.1" hidden="1" customHeight="1" thickTop="1" thickBot="1" x14ac:dyDescent="0.4">
      <c r="B348" s="366"/>
      <c r="C348" s="452">
        <v>46038</v>
      </c>
      <c r="D348" s="451">
        <v>333</v>
      </c>
      <c r="E348" s="454" t="s">
        <v>908</v>
      </c>
      <c r="F348" s="539">
        <f t="shared" si="15"/>
        <v>2871.5828229395602</v>
      </c>
      <c r="G348" s="540">
        <f t="shared" si="16"/>
        <v>239.29856857829668</v>
      </c>
      <c r="H348" s="541">
        <f t="shared" si="17"/>
        <v>13885.292822939558</v>
      </c>
      <c r="I348" s="446"/>
    </row>
    <row r="349" spans="2:9" ht="26.1" hidden="1" customHeight="1" thickTop="1" thickBot="1" x14ac:dyDescent="0.4">
      <c r="B349" s="366"/>
      <c r="C349" s="452">
        <v>46039</v>
      </c>
      <c r="D349" s="451">
        <v>334</v>
      </c>
      <c r="E349" s="454" t="s">
        <v>909</v>
      </c>
      <c r="F349" s="539">
        <f t="shared" si="15"/>
        <v>2880.2061947802194</v>
      </c>
      <c r="G349" s="540">
        <f t="shared" si="16"/>
        <v>240.01718289835162</v>
      </c>
      <c r="H349" s="541">
        <f t="shared" si="17"/>
        <v>13893.916194780219</v>
      </c>
      <c r="I349" s="446"/>
    </row>
    <row r="350" spans="2:9" ht="26.1" hidden="1" customHeight="1" thickTop="1" thickBot="1" x14ac:dyDescent="0.4">
      <c r="B350" s="366"/>
      <c r="C350" s="452">
        <v>46040</v>
      </c>
      <c r="D350" s="451">
        <v>335</v>
      </c>
      <c r="E350" s="454" t="s">
        <v>910</v>
      </c>
      <c r="F350" s="539">
        <f t="shared" si="15"/>
        <v>2888.8295666208787</v>
      </c>
      <c r="G350" s="540">
        <f t="shared" si="16"/>
        <v>240.73579721840656</v>
      </c>
      <c r="H350" s="541">
        <f t="shared" si="17"/>
        <v>13902.539566620879</v>
      </c>
      <c r="I350" s="446"/>
    </row>
    <row r="351" spans="2:9" ht="26.1" hidden="1" customHeight="1" thickTop="1" thickBot="1" x14ac:dyDescent="0.4">
      <c r="B351" s="366"/>
      <c r="C351" s="452">
        <v>46041</v>
      </c>
      <c r="D351" s="451">
        <v>336</v>
      </c>
      <c r="E351" s="454" t="s">
        <v>904</v>
      </c>
      <c r="F351" s="539">
        <f t="shared" si="15"/>
        <v>2897.4529384615385</v>
      </c>
      <c r="G351" s="540">
        <f t="shared" si="16"/>
        <v>241.45441153846153</v>
      </c>
      <c r="H351" s="541">
        <f t="shared" si="17"/>
        <v>13911.162938461537</v>
      </c>
      <c r="I351" s="446"/>
    </row>
    <row r="352" spans="2:9" ht="26.1" hidden="1" customHeight="1" thickTop="1" thickBot="1" x14ac:dyDescent="0.4">
      <c r="B352" s="366"/>
      <c r="C352" s="452">
        <v>46042</v>
      </c>
      <c r="D352" s="451">
        <v>337</v>
      </c>
      <c r="E352" s="454" t="s">
        <v>905</v>
      </c>
      <c r="F352" s="539">
        <f t="shared" si="15"/>
        <v>2906.0763103021977</v>
      </c>
      <c r="G352" s="540">
        <f t="shared" si="16"/>
        <v>242.17302585851647</v>
      </c>
      <c r="H352" s="541">
        <f t="shared" si="17"/>
        <v>13919.786310302197</v>
      </c>
      <c r="I352" s="446"/>
    </row>
    <row r="353" spans="2:9" ht="26.1" hidden="1" customHeight="1" thickTop="1" thickBot="1" x14ac:dyDescent="0.4">
      <c r="B353" s="366"/>
      <c r="C353" s="452">
        <v>46043</v>
      </c>
      <c r="D353" s="451">
        <v>338</v>
      </c>
      <c r="E353" s="454" t="s">
        <v>906</v>
      </c>
      <c r="F353" s="539">
        <f t="shared" si="15"/>
        <v>2914.699682142857</v>
      </c>
      <c r="G353" s="540">
        <f t="shared" si="16"/>
        <v>242.89164017857141</v>
      </c>
      <c r="H353" s="541">
        <f t="shared" si="17"/>
        <v>13928.409682142856</v>
      </c>
      <c r="I353" s="446"/>
    </row>
    <row r="354" spans="2:9" ht="26.1" hidden="1" customHeight="1" thickTop="1" thickBot="1" x14ac:dyDescent="0.4">
      <c r="B354" s="366"/>
      <c r="C354" s="452">
        <v>46044</v>
      </c>
      <c r="D354" s="451">
        <v>339</v>
      </c>
      <c r="E354" s="454" t="s">
        <v>907</v>
      </c>
      <c r="F354" s="539">
        <f t="shared" si="15"/>
        <v>2923.3230539835163</v>
      </c>
      <c r="G354" s="540">
        <f t="shared" si="16"/>
        <v>243.61025449862635</v>
      </c>
      <c r="H354" s="541">
        <f t="shared" si="17"/>
        <v>13937.033053983516</v>
      </c>
      <c r="I354" s="446"/>
    </row>
    <row r="355" spans="2:9" ht="26.1" hidden="1" customHeight="1" thickTop="1" thickBot="1" x14ac:dyDescent="0.4">
      <c r="B355" s="366"/>
      <c r="C355" s="452">
        <v>46045</v>
      </c>
      <c r="D355" s="451">
        <v>340</v>
      </c>
      <c r="E355" s="454" t="s">
        <v>908</v>
      </c>
      <c r="F355" s="539">
        <f t="shared" si="15"/>
        <v>2931.9464258241755</v>
      </c>
      <c r="G355" s="540">
        <f t="shared" si="16"/>
        <v>244.32886881868129</v>
      </c>
      <c r="H355" s="541">
        <f t="shared" si="17"/>
        <v>13945.656425824174</v>
      </c>
      <c r="I355" s="446"/>
    </row>
    <row r="356" spans="2:9" ht="26.1" hidden="1" customHeight="1" thickTop="1" thickBot="1" x14ac:dyDescent="0.4">
      <c r="B356" s="366"/>
      <c r="C356" s="452">
        <v>46046</v>
      </c>
      <c r="D356" s="451">
        <v>341</v>
      </c>
      <c r="E356" s="454" t="s">
        <v>909</v>
      </c>
      <c r="F356" s="539">
        <f t="shared" si="15"/>
        <v>2940.5697976648348</v>
      </c>
      <c r="G356" s="540">
        <f t="shared" si="16"/>
        <v>245.04748313873623</v>
      </c>
      <c r="H356" s="541">
        <f t="shared" si="17"/>
        <v>13954.279797664834</v>
      </c>
      <c r="I356" s="446"/>
    </row>
    <row r="357" spans="2:9" ht="26.1" hidden="1" customHeight="1" thickTop="1" thickBot="1" x14ac:dyDescent="0.4">
      <c r="B357" s="366"/>
      <c r="C357" s="452">
        <v>46047</v>
      </c>
      <c r="D357" s="451">
        <v>342</v>
      </c>
      <c r="E357" s="454" t="s">
        <v>910</v>
      </c>
      <c r="F357" s="539">
        <f t="shared" si="15"/>
        <v>2949.1931695054941</v>
      </c>
      <c r="G357" s="540">
        <f t="shared" si="16"/>
        <v>245.76609745879117</v>
      </c>
      <c r="H357" s="541">
        <f t="shared" si="17"/>
        <v>13962.903169505493</v>
      </c>
      <c r="I357" s="446"/>
    </row>
    <row r="358" spans="2:9" ht="26.1" hidden="1" customHeight="1" thickTop="1" thickBot="1" x14ac:dyDescent="0.4">
      <c r="B358" s="366"/>
      <c r="C358" s="452">
        <v>46048</v>
      </c>
      <c r="D358" s="451">
        <v>343</v>
      </c>
      <c r="E358" s="454" t="s">
        <v>904</v>
      </c>
      <c r="F358" s="539">
        <f t="shared" si="15"/>
        <v>2957.8165413461538</v>
      </c>
      <c r="G358" s="540">
        <f t="shared" si="16"/>
        <v>246.48471177884616</v>
      </c>
      <c r="H358" s="541">
        <f t="shared" si="17"/>
        <v>13971.526541346153</v>
      </c>
      <c r="I358" s="446"/>
    </row>
    <row r="359" spans="2:9" ht="26.1" hidden="1" customHeight="1" thickTop="1" thickBot="1" x14ac:dyDescent="0.4">
      <c r="B359" s="366"/>
      <c r="C359" s="452">
        <v>46049</v>
      </c>
      <c r="D359" s="451">
        <v>344</v>
      </c>
      <c r="E359" s="454" t="s">
        <v>905</v>
      </c>
      <c r="F359" s="539">
        <f t="shared" si="15"/>
        <v>2966.4399131868131</v>
      </c>
      <c r="G359" s="540">
        <f t="shared" si="16"/>
        <v>247.2033260989011</v>
      </c>
      <c r="H359" s="541">
        <f t="shared" si="17"/>
        <v>13980.149913186811</v>
      </c>
      <c r="I359" s="446"/>
    </row>
    <row r="360" spans="2:9" ht="26.1" hidden="1" customHeight="1" thickTop="1" thickBot="1" x14ac:dyDescent="0.4">
      <c r="B360" s="366"/>
      <c r="C360" s="452">
        <v>46050</v>
      </c>
      <c r="D360" s="451">
        <v>345</v>
      </c>
      <c r="E360" s="454" t="s">
        <v>906</v>
      </c>
      <c r="F360" s="539">
        <f t="shared" si="15"/>
        <v>2975.0632850274724</v>
      </c>
      <c r="G360" s="540">
        <f t="shared" si="16"/>
        <v>247.92194041895604</v>
      </c>
      <c r="H360" s="541">
        <f t="shared" si="17"/>
        <v>13988.773285027472</v>
      </c>
      <c r="I360" s="446"/>
    </row>
    <row r="361" spans="2:9" ht="26.1" hidden="1" customHeight="1" thickTop="1" thickBot="1" x14ac:dyDescent="0.4">
      <c r="B361" s="366"/>
      <c r="C361" s="452">
        <v>46051</v>
      </c>
      <c r="D361" s="451">
        <v>346</v>
      </c>
      <c r="E361" s="454" t="s">
        <v>907</v>
      </c>
      <c r="F361" s="539">
        <f t="shared" si="15"/>
        <v>2983.6866568681316</v>
      </c>
      <c r="G361" s="540">
        <f t="shared" si="16"/>
        <v>248.64055473901098</v>
      </c>
      <c r="H361" s="541">
        <f t="shared" si="17"/>
        <v>13997.396656868132</v>
      </c>
      <c r="I361" s="446"/>
    </row>
    <row r="362" spans="2:9" ht="26.1" hidden="1" customHeight="1" thickTop="1" thickBot="1" x14ac:dyDescent="0.4">
      <c r="B362" s="366"/>
      <c r="C362" s="452">
        <v>46052</v>
      </c>
      <c r="D362" s="451">
        <v>347</v>
      </c>
      <c r="E362" s="454" t="s">
        <v>908</v>
      </c>
      <c r="F362" s="539">
        <f t="shared" si="15"/>
        <v>2992.3100287087909</v>
      </c>
      <c r="G362" s="540">
        <f t="shared" si="16"/>
        <v>249.35916905906592</v>
      </c>
      <c r="H362" s="541">
        <f t="shared" si="17"/>
        <v>14006.02002870879</v>
      </c>
      <c r="I362" s="446"/>
    </row>
    <row r="363" spans="2:9" ht="26.1" hidden="1" customHeight="1" thickTop="1" thickBot="1" x14ac:dyDescent="0.4">
      <c r="B363" s="366"/>
      <c r="C363" s="452">
        <v>46053</v>
      </c>
      <c r="D363" s="451">
        <v>348</v>
      </c>
      <c r="E363" s="454" t="s">
        <v>909</v>
      </c>
      <c r="F363" s="539">
        <f t="shared" si="15"/>
        <v>3000.9334005494502</v>
      </c>
      <c r="G363" s="540">
        <f t="shared" si="16"/>
        <v>250.07778337912086</v>
      </c>
      <c r="H363" s="541">
        <f t="shared" si="17"/>
        <v>14014.643400549448</v>
      </c>
      <c r="I363" s="446"/>
    </row>
    <row r="364" spans="2:9" ht="26.1" hidden="1" customHeight="1" thickTop="1" thickBot="1" x14ac:dyDescent="0.4">
      <c r="B364" s="366"/>
      <c r="C364" s="452">
        <v>46054</v>
      </c>
      <c r="D364" s="451">
        <v>349</v>
      </c>
      <c r="E364" s="454" t="s">
        <v>910</v>
      </c>
      <c r="F364" s="539">
        <f t="shared" si="15"/>
        <v>3009.5567723901095</v>
      </c>
      <c r="G364" s="540">
        <f t="shared" si="16"/>
        <v>250.7963976991758</v>
      </c>
      <c r="H364" s="541">
        <f t="shared" si="17"/>
        <v>14023.266772390109</v>
      </c>
      <c r="I364" s="446"/>
    </row>
    <row r="365" spans="2:9" ht="26.1" hidden="1" customHeight="1" thickTop="1" thickBot="1" x14ac:dyDescent="0.4">
      <c r="B365" s="366"/>
      <c r="C365" s="452">
        <v>46055</v>
      </c>
      <c r="D365" s="451">
        <v>350</v>
      </c>
      <c r="E365" s="454" t="s">
        <v>904</v>
      </c>
      <c r="F365" s="539">
        <f t="shared" si="15"/>
        <v>3018.1801442307692</v>
      </c>
      <c r="G365" s="540">
        <f t="shared" si="16"/>
        <v>251.51501201923077</v>
      </c>
      <c r="H365" s="541">
        <f t="shared" si="17"/>
        <v>14031.890144230769</v>
      </c>
      <c r="I365" s="446"/>
    </row>
    <row r="366" spans="2:9" ht="26.1" hidden="1" customHeight="1" thickTop="1" thickBot="1" x14ac:dyDescent="0.4">
      <c r="B366" s="366"/>
      <c r="C366" s="452">
        <v>46056</v>
      </c>
      <c r="D366" s="451">
        <v>351</v>
      </c>
      <c r="E366" s="454" t="s">
        <v>905</v>
      </c>
      <c r="F366" s="539">
        <f t="shared" si="15"/>
        <v>3026.8035160714285</v>
      </c>
      <c r="G366" s="540">
        <f t="shared" si="16"/>
        <v>252.23362633928571</v>
      </c>
      <c r="H366" s="541">
        <f t="shared" si="17"/>
        <v>14040.513516071427</v>
      </c>
      <c r="I366" s="446"/>
    </row>
    <row r="367" spans="2:9" ht="26.1" hidden="1" customHeight="1" thickTop="1" thickBot="1" x14ac:dyDescent="0.4">
      <c r="B367" s="366"/>
      <c r="C367" s="452">
        <v>46057</v>
      </c>
      <c r="D367" s="451">
        <v>352</v>
      </c>
      <c r="E367" s="454" t="s">
        <v>906</v>
      </c>
      <c r="F367" s="539">
        <f t="shared" si="15"/>
        <v>3035.4268879120878</v>
      </c>
      <c r="G367" s="540">
        <f t="shared" si="16"/>
        <v>252.95224065934065</v>
      </c>
      <c r="H367" s="541">
        <f t="shared" si="17"/>
        <v>14049.136887912087</v>
      </c>
      <c r="I367" s="446"/>
    </row>
    <row r="368" spans="2:9" ht="26.1" hidden="1" customHeight="1" thickTop="1" thickBot="1" x14ac:dyDescent="0.4">
      <c r="B368" s="366"/>
      <c r="C368" s="452">
        <v>46058</v>
      </c>
      <c r="D368" s="451">
        <v>353</v>
      </c>
      <c r="E368" s="454" t="s">
        <v>907</v>
      </c>
      <c r="F368" s="539">
        <f t="shared" si="15"/>
        <v>3044.050259752747</v>
      </c>
      <c r="G368" s="540">
        <f t="shared" si="16"/>
        <v>253.67085497939559</v>
      </c>
      <c r="H368" s="541">
        <f t="shared" si="17"/>
        <v>14057.760259752746</v>
      </c>
      <c r="I368" s="446"/>
    </row>
    <row r="369" spans="2:9" ht="26.1" hidden="1" customHeight="1" thickTop="1" thickBot="1" x14ac:dyDescent="0.4">
      <c r="B369" s="366"/>
      <c r="C369" s="452">
        <v>46059</v>
      </c>
      <c r="D369" s="451">
        <v>354</v>
      </c>
      <c r="E369" s="454" t="s">
        <v>908</v>
      </c>
      <c r="F369" s="539">
        <f t="shared" si="15"/>
        <v>3052.6736315934063</v>
      </c>
      <c r="G369" s="540">
        <f t="shared" si="16"/>
        <v>254.38946929945052</v>
      </c>
      <c r="H369" s="541">
        <f t="shared" si="17"/>
        <v>14066.383631593406</v>
      </c>
      <c r="I369" s="446"/>
    </row>
    <row r="370" spans="2:9" ht="26.1" hidden="1" customHeight="1" thickTop="1" thickBot="1" x14ac:dyDescent="0.4">
      <c r="B370" s="366"/>
      <c r="C370" s="452">
        <v>46060</v>
      </c>
      <c r="D370" s="451">
        <v>355</v>
      </c>
      <c r="E370" s="454" t="s">
        <v>909</v>
      </c>
      <c r="F370" s="539">
        <f t="shared" si="15"/>
        <v>3061.2970034340656</v>
      </c>
      <c r="G370" s="540">
        <f t="shared" si="16"/>
        <v>255.10808361950546</v>
      </c>
      <c r="H370" s="541">
        <f t="shared" si="17"/>
        <v>14075.007003434064</v>
      </c>
      <c r="I370" s="446"/>
    </row>
    <row r="371" spans="2:9" ht="26.1" hidden="1" customHeight="1" thickTop="1" thickBot="1" x14ac:dyDescent="0.4">
      <c r="B371" s="366"/>
      <c r="C371" s="452">
        <v>46061</v>
      </c>
      <c r="D371" s="451">
        <v>356</v>
      </c>
      <c r="E371" s="454" t="s">
        <v>910</v>
      </c>
      <c r="F371" s="539">
        <f t="shared" si="15"/>
        <v>3069.9203752747248</v>
      </c>
      <c r="G371" s="540">
        <f t="shared" si="16"/>
        <v>255.8266979395604</v>
      </c>
      <c r="H371" s="541">
        <f t="shared" si="17"/>
        <v>14083.630375274724</v>
      </c>
      <c r="I371" s="446"/>
    </row>
    <row r="372" spans="2:9" ht="26.1" hidden="1" customHeight="1" thickTop="1" thickBot="1" x14ac:dyDescent="0.4">
      <c r="B372" s="366"/>
      <c r="C372" s="452">
        <v>46062</v>
      </c>
      <c r="D372" s="451">
        <v>357</v>
      </c>
      <c r="E372" s="454" t="s">
        <v>904</v>
      </c>
      <c r="F372" s="539">
        <f t="shared" si="15"/>
        <v>3078.5437471153846</v>
      </c>
      <c r="G372" s="540">
        <f t="shared" si="16"/>
        <v>256.5453122596154</v>
      </c>
      <c r="H372" s="541">
        <f t="shared" si="17"/>
        <v>14092.253747115385</v>
      </c>
      <c r="I372" s="446"/>
    </row>
    <row r="373" spans="2:9" ht="26.1" hidden="1" customHeight="1" thickTop="1" thickBot="1" x14ac:dyDescent="0.4">
      <c r="B373" s="366"/>
      <c r="C373" s="452">
        <v>46063</v>
      </c>
      <c r="D373" s="451">
        <v>358</v>
      </c>
      <c r="E373" s="454" t="s">
        <v>905</v>
      </c>
      <c r="F373" s="539">
        <f t="shared" si="15"/>
        <v>3087.1671189560439</v>
      </c>
      <c r="G373" s="540">
        <f t="shared" si="16"/>
        <v>257.26392657967034</v>
      </c>
      <c r="H373" s="541">
        <f t="shared" si="17"/>
        <v>14100.877118956043</v>
      </c>
      <c r="I373" s="446"/>
    </row>
    <row r="374" spans="2:9" ht="26.1" hidden="1" customHeight="1" thickTop="1" thickBot="1" x14ac:dyDescent="0.4">
      <c r="B374" s="366"/>
      <c r="C374" s="452">
        <v>46064</v>
      </c>
      <c r="D374" s="451">
        <v>359</v>
      </c>
      <c r="E374" s="454" t="s">
        <v>906</v>
      </c>
      <c r="F374" s="539">
        <f t="shared" si="15"/>
        <v>3095.7904907967031</v>
      </c>
      <c r="G374" s="540">
        <f t="shared" si="16"/>
        <v>257.98254089972528</v>
      </c>
      <c r="H374" s="541">
        <f t="shared" si="17"/>
        <v>14109.500490796701</v>
      </c>
      <c r="I374" s="446"/>
    </row>
    <row r="375" spans="2:9" ht="26.1" hidden="1" customHeight="1" thickTop="1" thickBot="1" x14ac:dyDescent="0.4">
      <c r="B375" s="366"/>
      <c r="C375" s="452">
        <v>46065</v>
      </c>
      <c r="D375" s="451">
        <v>360</v>
      </c>
      <c r="E375" s="454" t="s">
        <v>907</v>
      </c>
      <c r="F375" s="539">
        <f t="shared" si="15"/>
        <v>3104.4138626373624</v>
      </c>
      <c r="G375" s="540">
        <f t="shared" si="16"/>
        <v>258.70115521978022</v>
      </c>
      <c r="H375" s="541">
        <f t="shared" si="17"/>
        <v>14118.123862637362</v>
      </c>
      <c r="I375" s="446"/>
    </row>
    <row r="376" spans="2:9" ht="26.1" hidden="1" customHeight="1" thickTop="1" thickBot="1" x14ac:dyDescent="0.4">
      <c r="B376" s="366"/>
      <c r="C376" s="452">
        <v>46066</v>
      </c>
      <c r="D376" s="451">
        <v>361</v>
      </c>
      <c r="E376" s="454" t="s">
        <v>908</v>
      </c>
      <c r="F376" s="539">
        <f t="shared" si="15"/>
        <v>3113.0372344780217</v>
      </c>
      <c r="G376" s="540">
        <f t="shared" si="16"/>
        <v>259.41976953983516</v>
      </c>
      <c r="H376" s="541">
        <f t="shared" si="17"/>
        <v>14126.747234478022</v>
      </c>
      <c r="I376" s="446"/>
    </row>
    <row r="377" spans="2:9" ht="26.1" hidden="1" customHeight="1" thickTop="1" thickBot="1" x14ac:dyDescent="0.4">
      <c r="B377" s="366"/>
      <c r="C377" s="452">
        <v>46067</v>
      </c>
      <c r="D377" s="451">
        <v>362</v>
      </c>
      <c r="E377" s="454" t="s">
        <v>909</v>
      </c>
      <c r="F377" s="539">
        <f t="shared" si="15"/>
        <v>3121.6606063186809</v>
      </c>
      <c r="G377" s="540">
        <f t="shared" si="16"/>
        <v>260.1383838598901</v>
      </c>
      <c r="H377" s="541">
        <f t="shared" si="17"/>
        <v>14135.37060631868</v>
      </c>
      <c r="I377" s="446"/>
    </row>
    <row r="378" spans="2:9" ht="26.1" hidden="1" customHeight="1" thickTop="1" thickBot="1" x14ac:dyDescent="0.4">
      <c r="B378" s="366"/>
      <c r="C378" s="452">
        <v>46068</v>
      </c>
      <c r="D378" s="451">
        <v>363</v>
      </c>
      <c r="E378" s="454" t="s">
        <v>910</v>
      </c>
      <c r="F378" s="539">
        <f t="shared" si="15"/>
        <v>3130.2839781593402</v>
      </c>
      <c r="G378" s="540">
        <f t="shared" si="16"/>
        <v>260.85699817994504</v>
      </c>
      <c r="H378" s="541">
        <f t="shared" si="17"/>
        <v>14143.993978159338</v>
      </c>
      <c r="I378" s="446"/>
    </row>
    <row r="379" spans="2:9" ht="26.1" hidden="1" customHeight="1" thickTop="1" thickBot="1" x14ac:dyDescent="0.4">
      <c r="B379" s="366"/>
      <c r="C379" s="452">
        <v>46069</v>
      </c>
      <c r="D379" s="451">
        <v>364</v>
      </c>
      <c r="E379" s="454" t="s">
        <v>904</v>
      </c>
      <c r="F379" s="539">
        <f t="shared" si="15"/>
        <v>3138.90735</v>
      </c>
      <c r="G379" s="540">
        <f t="shared" si="16"/>
        <v>261.57561249999998</v>
      </c>
      <c r="H379" s="541">
        <f t="shared" si="17"/>
        <v>14152.617349999999</v>
      </c>
      <c r="I379" s="447"/>
    </row>
    <row r="380" spans="2:9" ht="5.0999999999999996" hidden="1" customHeight="1" thickTop="1" thickBot="1" x14ac:dyDescent="0.35">
      <c r="B380" s="365"/>
      <c r="C380" s="367"/>
      <c r="D380" s="367"/>
      <c r="E380" s="368"/>
      <c r="F380" s="369"/>
      <c r="G380" s="354"/>
      <c r="H380" s="369"/>
      <c r="I380" s="354"/>
    </row>
    <row r="381" spans="2:9" hidden="1" x14ac:dyDescent="0.3">
      <c r="G381" s="12"/>
    </row>
    <row r="382" spans="2:9" ht="21" thickBot="1" x14ac:dyDescent="0.35">
      <c r="G382" s="12"/>
    </row>
    <row r="383" spans="2:9" ht="5.0999999999999996" customHeight="1" thickBot="1" x14ac:dyDescent="0.35">
      <c r="B383" s="463"/>
      <c r="C383" s="368"/>
      <c r="D383" s="368"/>
      <c r="E383" s="368"/>
      <c r="F383" s="369"/>
      <c r="G383" s="369"/>
      <c r="H383" s="369"/>
      <c r="I383" s="354"/>
    </row>
    <row r="384" spans="2:9" s="383" customFormat="1" ht="70.5" customHeight="1" thickBot="1" x14ac:dyDescent="0.3">
      <c r="B384" s="384"/>
      <c r="C384" s="1107" t="s">
        <v>557</v>
      </c>
      <c r="D384" s="1108"/>
      <c r="E384" s="1108"/>
      <c r="F384" s="1108"/>
      <c r="G384" s="1108"/>
      <c r="H384" s="1108"/>
      <c r="I384" s="588"/>
    </row>
    <row r="385" spans="2:11" s="70" customFormat="1" ht="48" thickTop="1" thickBot="1" x14ac:dyDescent="0.8">
      <c r="B385" s="592"/>
      <c r="C385" s="1109" t="s">
        <v>997</v>
      </c>
      <c r="D385" s="1106"/>
      <c r="E385" s="1106"/>
      <c r="F385" s="1106"/>
      <c r="G385" s="1106"/>
      <c r="H385" s="1110"/>
      <c r="I385" s="590"/>
    </row>
    <row r="386" spans="2:11" ht="5.0999999999999996" customHeight="1" thickBot="1" x14ac:dyDescent="0.35">
      <c r="B386" s="353"/>
      <c r="C386" s="545"/>
      <c r="D386" s="546"/>
      <c r="E386" s="546"/>
      <c r="F386" s="547"/>
      <c r="G386" s="545"/>
      <c r="H386" s="547"/>
      <c r="I386" s="369"/>
    </row>
    <row r="387" spans="2:11" s="355" customFormat="1" ht="48" customHeight="1" thickTop="1" thickBot="1" x14ac:dyDescent="0.3">
      <c r="B387" s="356"/>
      <c r="C387" s="456" t="s">
        <v>919</v>
      </c>
      <c r="D387" s="457" t="s">
        <v>920</v>
      </c>
      <c r="E387" s="538" t="s">
        <v>969</v>
      </c>
      <c r="F387" s="538" t="s">
        <v>991</v>
      </c>
      <c r="G387" s="1100">
        <v>46107</v>
      </c>
      <c r="H387" s="1100"/>
      <c r="I387" s="440"/>
    </row>
    <row r="388" spans="2:11" s="64" customFormat="1" ht="48" customHeight="1" thickTop="1" thickBot="1" x14ac:dyDescent="0.4">
      <c r="B388" s="357"/>
      <c r="C388" s="443">
        <f>F8</f>
        <v>14152.617349999999</v>
      </c>
      <c r="D388" s="444">
        <v>0.105</v>
      </c>
      <c r="E388" s="544">
        <f>C388*D388</f>
        <v>1486.0248217499998</v>
      </c>
      <c r="F388" s="537">
        <f>C388+E388</f>
        <v>15638.642171749998</v>
      </c>
      <c r="G388" s="1101" t="str">
        <f>VLOOKUP($G387,$C$396:$H$759,3,0)</f>
        <v>THURSDAY</v>
      </c>
      <c r="H388" s="1101"/>
      <c r="I388" s="441" t="e">
        <f>B388/#REF!</f>
        <v>#REF!</v>
      </c>
    </row>
    <row r="389" spans="2:11" s="64" customFormat="1" ht="62.25" thickTop="1" thickBot="1" x14ac:dyDescent="0.4">
      <c r="B389" s="357"/>
      <c r="C389" s="459" t="s">
        <v>976</v>
      </c>
      <c r="D389" s="457" t="s">
        <v>973</v>
      </c>
      <c r="E389" s="457" t="s">
        <v>974</v>
      </c>
      <c r="F389" s="538" t="s">
        <v>970</v>
      </c>
      <c r="G389" s="578" t="s">
        <v>943</v>
      </c>
      <c r="H389" s="578" t="s">
        <v>968</v>
      </c>
      <c r="I389" s="441"/>
    </row>
    <row r="390" spans="2:11" s="64" customFormat="1" ht="48" customHeight="1" thickTop="1" thickBot="1" x14ac:dyDescent="0.4">
      <c r="B390" s="357"/>
      <c r="C390" s="567" t="s">
        <v>994</v>
      </c>
      <c r="D390" s="568">
        <f>C396</f>
        <v>46070</v>
      </c>
      <c r="E390" s="568">
        <f>C759</f>
        <v>46433</v>
      </c>
      <c r="F390" s="548">
        <v>364</v>
      </c>
      <c r="G390" s="579">
        <f>VLOOKUP($G387,$C$396:$H$759,2,0)</f>
        <v>38</v>
      </c>
      <c r="H390" s="564">
        <f>F390-G390</f>
        <v>326</v>
      </c>
      <c r="I390" s="441"/>
    </row>
    <row r="391" spans="2:11" s="462" customFormat="1" ht="78" customHeight="1" thickTop="1" thickBot="1" x14ac:dyDescent="0.35">
      <c r="B391" s="460"/>
      <c r="C391" s="553" t="s">
        <v>975</v>
      </c>
      <c r="D391" s="555" t="s">
        <v>987</v>
      </c>
      <c r="E391" s="554" t="s">
        <v>988</v>
      </c>
      <c r="F391" s="580" t="s">
        <v>914</v>
      </c>
      <c r="G391" s="578" t="s">
        <v>993</v>
      </c>
      <c r="H391" s="554" t="s">
        <v>989</v>
      </c>
      <c r="I391" s="461"/>
    </row>
    <row r="392" spans="2:11" ht="51" customHeight="1" thickTop="1" thickBot="1" x14ac:dyDescent="0.35">
      <c r="B392" s="366"/>
      <c r="C392" s="564">
        <f>C12</f>
        <v>12</v>
      </c>
      <c r="D392" s="566">
        <f>VLOOKUP($G387,$C$396:$H$759,4,0)</f>
        <v>155.13445941346151</v>
      </c>
      <c r="E392" s="566">
        <f>VLOOKUP($G387,$C$396:$H$759,5,0)</f>
        <v>12.92787161778846</v>
      </c>
      <c r="F392" s="565">
        <f>$C$388+D392</f>
        <v>14307.751809413459</v>
      </c>
      <c r="G392" s="566">
        <f>G12+E392</f>
        <v>274.50348411778845</v>
      </c>
      <c r="H392" s="565">
        <f>D12+D392</f>
        <v>3294.0418094134616</v>
      </c>
      <c r="I392" s="542"/>
      <c r="K392" s="84"/>
    </row>
    <row r="393" spans="2:11" ht="5.0999999999999996" customHeight="1" thickTop="1" thickBot="1" x14ac:dyDescent="0.35">
      <c r="B393" s="358"/>
      <c r="C393" s="558"/>
      <c r="D393" s="559"/>
      <c r="E393" s="560"/>
      <c r="F393" s="561"/>
      <c r="G393" s="562"/>
      <c r="H393" s="563"/>
      <c r="I393" s="364"/>
    </row>
    <row r="394" spans="2:11" s="383" customFormat="1" ht="70.5" hidden="1" customHeight="1" thickBot="1" x14ac:dyDescent="0.3">
      <c r="B394" s="384"/>
      <c r="C394" s="543" t="s">
        <v>51</v>
      </c>
      <c r="D394" s="543" t="s">
        <v>903</v>
      </c>
      <c r="E394" s="543" t="s">
        <v>921</v>
      </c>
      <c r="F394" s="543" t="s">
        <v>986</v>
      </c>
      <c r="G394" s="543" t="s">
        <v>966</v>
      </c>
      <c r="H394" s="543" t="s">
        <v>1</v>
      </c>
      <c r="I394" s="442"/>
    </row>
    <row r="395" spans="2:11" ht="5.0999999999999996" hidden="1" customHeight="1" thickTop="1" thickBot="1" x14ac:dyDescent="0.35">
      <c r="B395" s="358"/>
      <c r="C395" s="359"/>
      <c r="D395" s="360"/>
      <c r="E395" s="361"/>
      <c r="F395" s="362"/>
      <c r="G395" s="363"/>
      <c r="H395" s="362"/>
      <c r="I395" s="364"/>
    </row>
    <row r="396" spans="2:11" ht="26.1" hidden="1" customHeight="1" thickBot="1" x14ac:dyDescent="0.4">
      <c r="B396" s="366"/>
      <c r="C396" s="452">
        <v>46070</v>
      </c>
      <c r="D396" s="453">
        <v>1</v>
      </c>
      <c r="E396" s="581" t="s">
        <v>905</v>
      </c>
      <c r="F396" s="539">
        <f>$E$388/$F$390*D396</f>
        <v>4.082485774038461</v>
      </c>
      <c r="G396" s="540">
        <f>F396/$C$392</f>
        <v>0.34020714783653844</v>
      </c>
      <c r="H396" s="541">
        <f>$C$388+F396</f>
        <v>14156.699835774038</v>
      </c>
      <c r="I396" s="446"/>
    </row>
    <row r="397" spans="2:11" ht="26.1" hidden="1" customHeight="1" thickTop="1" thickBot="1" x14ac:dyDescent="0.4">
      <c r="B397" s="366"/>
      <c r="C397" s="452">
        <v>46071</v>
      </c>
      <c r="D397" s="451">
        <v>2</v>
      </c>
      <c r="E397" s="581" t="s">
        <v>906</v>
      </c>
      <c r="F397" s="539">
        <f t="shared" ref="F397:F460" si="18">$E$388/$F$390*D397</f>
        <v>8.164971548076922</v>
      </c>
      <c r="G397" s="540">
        <f t="shared" ref="G397:G460" si="19">F397/$C$392</f>
        <v>0.68041429567307687</v>
      </c>
      <c r="H397" s="541">
        <f t="shared" ref="H397:H460" si="20">$C$388+F397</f>
        <v>14160.782321548075</v>
      </c>
      <c r="I397" s="446"/>
    </row>
    <row r="398" spans="2:11" ht="26.1" hidden="1" customHeight="1" thickTop="1" thickBot="1" x14ac:dyDescent="0.4">
      <c r="B398" s="366"/>
      <c r="C398" s="452">
        <v>46072</v>
      </c>
      <c r="D398" s="451">
        <v>3</v>
      </c>
      <c r="E398" s="581" t="s">
        <v>907</v>
      </c>
      <c r="F398" s="539">
        <f t="shared" si="18"/>
        <v>12.247457322115384</v>
      </c>
      <c r="G398" s="540">
        <f t="shared" si="19"/>
        <v>1.0206214435096153</v>
      </c>
      <c r="H398" s="541">
        <f t="shared" si="20"/>
        <v>14164.864807322114</v>
      </c>
      <c r="I398" s="446"/>
    </row>
    <row r="399" spans="2:11" ht="26.1" hidden="1" customHeight="1" thickTop="1" thickBot="1" x14ac:dyDescent="0.4">
      <c r="B399" s="366"/>
      <c r="C399" s="452">
        <v>46073</v>
      </c>
      <c r="D399" s="451">
        <v>4</v>
      </c>
      <c r="E399" s="581" t="s">
        <v>908</v>
      </c>
      <c r="F399" s="539">
        <f t="shared" si="18"/>
        <v>16.329943096153844</v>
      </c>
      <c r="G399" s="540">
        <f t="shared" si="19"/>
        <v>1.3608285913461537</v>
      </c>
      <c r="H399" s="541">
        <f t="shared" si="20"/>
        <v>14168.947293096153</v>
      </c>
      <c r="I399" s="446"/>
    </row>
    <row r="400" spans="2:11" ht="26.1" hidden="1" customHeight="1" thickTop="1" thickBot="1" x14ac:dyDescent="0.4">
      <c r="B400" s="366"/>
      <c r="C400" s="452">
        <v>46074</v>
      </c>
      <c r="D400" s="451">
        <v>5</v>
      </c>
      <c r="E400" s="581" t="s">
        <v>909</v>
      </c>
      <c r="F400" s="539">
        <f t="shared" si="18"/>
        <v>20.412428870192304</v>
      </c>
      <c r="G400" s="540">
        <f t="shared" si="19"/>
        <v>1.701035739182692</v>
      </c>
      <c r="H400" s="541">
        <f t="shared" si="20"/>
        <v>14173.02977887019</v>
      </c>
      <c r="I400" s="446"/>
    </row>
    <row r="401" spans="2:9" ht="26.1" hidden="1" customHeight="1" thickTop="1" thickBot="1" x14ac:dyDescent="0.4">
      <c r="B401" s="366"/>
      <c r="C401" s="452">
        <v>46075</v>
      </c>
      <c r="D401" s="451">
        <v>6</v>
      </c>
      <c r="E401" s="581" t="s">
        <v>910</v>
      </c>
      <c r="F401" s="539">
        <f t="shared" si="18"/>
        <v>24.494914644230768</v>
      </c>
      <c r="G401" s="540">
        <f t="shared" si="19"/>
        <v>2.0412428870192305</v>
      </c>
      <c r="H401" s="541">
        <f t="shared" si="20"/>
        <v>14177.112264644229</v>
      </c>
      <c r="I401" s="446"/>
    </row>
    <row r="402" spans="2:9" ht="26.1" hidden="1" customHeight="1" thickTop="1" thickBot="1" x14ac:dyDescent="0.4">
      <c r="B402" s="366"/>
      <c r="C402" s="452">
        <v>46076</v>
      </c>
      <c r="D402" s="451">
        <v>7</v>
      </c>
      <c r="E402" s="581" t="s">
        <v>904</v>
      </c>
      <c r="F402" s="539">
        <f t="shared" si="18"/>
        <v>28.577400418269228</v>
      </c>
      <c r="G402" s="540">
        <f t="shared" si="19"/>
        <v>2.381450034855769</v>
      </c>
      <c r="H402" s="541">
        <f t="shared" si="20"/>
        <v>14181.194750418268</v>
      </c>
      <c r="I402" s="446"/>
    </row>
    <row r="403" spans="2:9" ht="26.1" hidden="1" customHeight="1" thickTop="1" thickBot="1" x14ac:dyDescent="0.4">
      <c r="B403" s="366"/>
      <c r="C403" s="452">
        <v>46077</v>
      </c>
      <c r="D403" s="451">
        <v>8</v>
      </c>
      <c r="E403" s="581" t="s">
        <v>905</v>
      </c>
      <c r="F403" s="539">
        <f t="shared" si="18"/>
        <v>32.659886192307688</v>
      </c>
      <c r="G403" s="540">
        <f t="shared" si="19"/>
        <v>2.7216571826923075</v>
      </c>
      <c r="H403" s="541">
        <f t="shared" si="20"/>
        <v>14185.277236192307</v>
      </c>
      <c r="I403" s="446"/>
    </row>
    <row r="404" spans="2:9" ht="26.1" hidden="1" customHeight="1" thickTop="1" thickBot="1" x14ac:dyDescent="0.4">
      <c r="B404" s="366"/>
      <c r="C404" s="452">
        <v>46078</v>
      </c>
      <c r="D404" s="451">
        <v>9</v>
      </c>
      <c r="E404" s="581" t="s">
        <v>906</v>
      </c>
      <c r="F404" s="539">
        <f t="shared" si="18"/>
        <v>36.742371966346148</v>
      </c>
      <c r="G404" s="540">
        <f t="shared" si="19"/>
        <v>3.0618643305288455</v>
      </c>
      <c r="H404" s="541">
        <f t="shared" si="20"/>
        <v>14189.359721966344</v>
      </c>
      <c r="I404" s="446"/>
    </row>
    <row r="405" spans="2:9" ht="26.1" hidden="1" customHeight="1" thickTop="1" thickBot="1" x14ac:dyDescent="0.4">
      <c r="B405" s="366"/>
      <c r="C405" s="452">
        <v>46079</v>
      </c>
      <c r="D405" s="451">
        <v>10</v>
      </c>
      <c r="E405" s="581" t="s">
        <v>907</v>
      </c>
      <c r="F405" s="539">
        <f t="shared" si="18"/>
        <v>40.824857740384608</v>
      </c>
      <c r="G405" s="540">
        <f t="shared" si="19"/>
        <v>3.402071478365384</v>
      </c>
      <c r="H405" s="541">
        <f t="shared" si="20"/>
        <v>14193.442207740383</v>
      </c>
      <c r="I405" s="446"/>
    </row>
    <row r="406" spans="2:9" ht="26.1" hidden="1" customHeight="1" thickTop="1" thickBot="1" x14ac:dyDescent="0.4">
      <c r="B406" s="366"/>
      <c r="C406" s="452">
        <v>46080</v>
      </c>
      <c r="D406" s="451">
        <v>11</v>
      </c>
      <c r="E406" s="581" t="s">
        <v>908</v>
      </c>
      <c r="F406" s="539">
        <f t="shared" si="18"/>
        <v>44.907343514423069</v>
      </c>
      <c r="G406" s="540">
        <f t="shared" si="19"/>
        <v>3.7422786262019225</v>
      </c>
      <c r="H406" s="541">
        <f t="shared" si="20"/>
        <v>14197.524693514422</v>
      </c>
      <c r="I406" s="446"/>
    </row>
    <row r="407" spans="2:9" ht="26.1" hidden="1" customHeight="1" thickTop="1" thickBot="1" x14ac:dyDescent="0.4">
      <c r="B407" s="366"/>
      <c r="C407" s="452">
        <v>46081</v>
      </c>
      <c r="D407" s="451">
        <v>12</v>
      </c>
      <c r="E407" s="581" t="s">
        <v>909</v>
      </c>
      <c r="F407" s="539">
        <f t="shared" si="18"/>
        <v>48.989829288461536</v>
      </c>
      <c r="G407" s="540">
        <f t="shared" si="19"/>
        <v>4.082485774038461</v>
      </c>
      <c r="H407" s="541">
        <f t="shared" si="20"/>
        <v>14201.60717928846</v>
      </c>
      <c r="I407" s="446"/>
    </row>
    <row r="408" spans="2:9" ht="26.1" hidden="1" customHeight="1" thickTop="1" thickBot="1" x14ac:dyDescent="0.4">
      <c r="B408" s="366"/>
      <c r="C408" s="452">
        <v>46082</v>
      </c>
      <c r="D408" s="451">
        <v>13</v>
      </c>
      <c r="E408" s="581" t="s">
        <v>910</v>
      </c>
      <c r="F408" s="539">
        <f t="shared" si="18"/>
        <v>53.072315062499996</v>
      </c>
      <c r="G408" s="540">
        <f t="shared" si="19"/>
        <v>4.422692921875</v>
      </c>
      <c r="H408" s="541">
        <f t="shared" si="20"/>
        <v>14205.689665062499</v>
      </c>
      <c r="I408" s="446"/>
    </row>
    <row r="409" spans="2:9" ht="26.1" hidden="1" customHeight="1" thickTop="1" thickBot="1" x14ac:dyDescent="0.4">
      <c r="B409" s="366"/>
      <c r="C409" s="452">
        <v>46083</v>
      </c>
      <c r="D409" s="451">
        <v>14</v>
      </c>
      <c r="E409" s="581" t="s">
        <v>904</v>
      </c>
      <c r="F409" s="539">
        <f t="shared" si="18"/>
        <v>57.154800836538456</v>
      </c>
      <c r="G409" s="540">
        <f t="shared" si="19"/>
        <v>4.762900069711538</v>
      </c>
      <c r="H409" s="541">
        <f t="shared" si="20"/>
        <v>14209.772150836538</v>
      </c>
      <c r="I409" s="446"/>
    </row>
    <row r="410" spans="2:9" ht="26.1" hidden="1" customHeight="1" thickTop="1" thickBot="1" x14ac:dyDescent="0.4">
      <c r="B410" s="366"/>
      <c r="C410" s="452">
        <v>46084</v>
      </c>
      <c r="D410" s="451">
        <v>15</v>
      </c>
      <c r="E410" s="581" t="s">
        <v>905</v>
      </c>
      <c r="F410" s="539">
        <f t="shared" si="18"/>
        <v>61.237286610576916</v>
      </c>
      <c r="G410" s="540">
        <f t="shared" si="19"/>
        <v>5.1031072175480761</v>
      </c>
      <c r="H410" s="541">
        <f t="shared" si="20"/>
        <v>14213.854636610575</v>
      </c>
      <c r="I410" s="446"/>
    </row>
    <row r="411" spans="2:9" ht="26.1" hidden="1" customHeight="1" thickTop="1" thickBot="1" x14ac:dyDescent="0.4">
      <c r="B411" s="366"/>
      <c r="C411" s="452">
        <v>46085</v>
      </c>
      <c r="D411" s="451">
        <v>16</v>
      </c>
      <c r="E411" s="581" t="s">
        <v>906</v>
      </c>
      <c r="F411" s="539">
        <f t="shared" si="18"/>
        <v>65.319772384615376</v>
      </c>
      <c r="G411" s="540">
        <f t="shared" si="19"/>
        <v>5.443314365384615</v>
      </c>
      <c r="H411" s="541">
        <f t="shared" si="20"/>
        <v>14217.937122384614</v>
      </c>
      <c r="I411" s="446"/>
    </row>
    <row r="412" spans="2:9" ht="26.1" hidden="1" customHeight="1" thickTop="1" thickBot="1" x14ac:dyDescent="0.4">
      <c r="B412" s="366"/>
      <c r="C412" s="452">
        <v>46086</v>
      </c>
      <c r="D412" s="451">
        <v>17</v>
      </c>
      <c r="E412" s="581" t="s">
        <v>907</v>
      </c>
      <c r="F412" s="539">
        <f t="shared" si="18"/>
        <v>69.402258158653837</v>
      </c>
      <c r="G412" s="540">
        <f t="shared" si="19"/>
        <v>5.783521513221153</v>
      </c>
      <c r="H412" s="541">
        <f t="shared" si="20"/>
        <v>14222.019608158653</v>
      </c>
      <c r="I412" s="446"/>
    </row>
    <row r="413" spans="2:9" ht="26.1" hidden="1" customHeight="1" thickTop="1" thickBot="1" x14ac:dyDescent="0.4">
      <c r="B413" s="366"/>
      <c r="C413" s="452">
        <v>46087</v>
      </c>
      <c r="D413" s="451">
        <v>18</v>
      </c>
      <c r="E413" s="581" t="s">
        <v>908</v>
      </c>
      <c r="F413" s="539">
        <f t="shared" si="18"/>
        <v>73.484743932692297</v>
      </c>
      <c r="G413" s="540">
        <f t="shared" si="19"/>
        <v>6.1237286610576911</v>
      </c>
      <c r="H413" s="541">
        <f t="shared" si="20"/>
        <v>14226.102093932692</v>
      </c>
      <c r="I413" s="446"/>
    </row>
    <row r="414" spans="2:9" ht="26.1" hidden="1" customHeight="1" thickTop="1" thickBot="1" x14ac:dyDescent="0.4">
      <c r="B414" s="366"/>
      <c r="C414" s="452">
        <v>46088</v>
      </c>
      <c r="D414" s="451">
        <v>19</v>
      </c>
      <c r="E414" s="581" t="s">
        <v>909</v>
      </c>
      <c r="F414" s="539">
        <f t="shared" si="18"/>
        <v>77.567229706730757</v>
      </c>
      <c r="G414" s="540">
        <f t="shared" si="19"/>
        <v>6.46393580889423</v>
      </c>
      <c r="H414" s="541">
        <f t="shared" si="20"/>
        <v>14230.184579706729</v>
      </c>
      <c r="I414" s="446"/>
    </row>
    <row r="415" spans="2:9" ht="26.1" hidden="1" customHeight="1" thickTop="1" thickBot="1" x14ac:dyDescent="0.4">
      <c r="B415" s="366"/>
      <c r="C415" s="452">
        <v>46089</v>
      </c>
      <c r="D415" s="451">
        <v>20</v>
      </c>
      <c r="E415" s="581" t="s">
        <v>910</v>
      </c>
      <c r="F415" s="539">
        <f t="shared" si="18"/>
        <v>81.649715480769217</v>
      </c>
      <c r="G415" s="540">
        <f t="shared" si="19"/>
        <v>6.8041429567307681</v>
      </c>
      <c r="H415" s="541">
        <f t="shared" si="20"/>
        <v>14234.267065480768</v>
      </c>
      <c r="I415" s="446"/>
    </row>
    <row r="416" spans="2:9" ht="26.1" hidden="1" customHeight="1" thickTop="1" thickBot="1" x14ac:dyDescent="0.4">
      <c r="B416" s="366"/>
      <c r="C416" s="452">
        <v>46090</v>
      </c>
      <c r="D416" s="451">
        <v>21</v>
      </c>
      <c r="E416" s="581" t="s">
        <v>904</v>
      </c>
      <c r="F416" s="539">
        <f t="shared" si="18"/>
        <v>85.732201254807677</v>
      </c>
      <c r="G416" s="540">
        <f t="shared" si="19"/>
        <v>7.1443501045673061</v>
      </c>
      <c r="H416" s="541">
        <f t="shared" si="20"/>
        <v>14238.349551254807</v>
      </c>
      <c r="I416" s="446"/>
    </row>
    <row r="417" spans="2:9" ht="26.1" hidden="1" customHeight="1" thickTop="1" thickBot="1" x14ac:dyDescent="0.4">
      <c r="B417" s="366"/>
      <c r="C417" s="452">
        <v>46091</v>
      </c>
      <c r="D417" s="451">
        <v>22</v>
      </c>
      <c r="E417" s="581" t="s">
        <v>905</v>
      </c>
      <c r="F417" s="539">
        <f t="shared" si="18"/>
        <v>89.814687028846137</v>
      </c>
      <c r="G417" s="540">
        <f t="shared" si="19"/>
        <v>7.4845572524038451</v>
      </c>
      <c r="H417" s="541">
        <f t="shared" si="20"/>
        <v>14242.432037028844</v>
      </c>
      <c r="I417" s="446"/>
    </row>
    <row r="418" spans="2:9" ht="26.1" hidden="1" customHeight="1" thickTop="1" thickBot="1" x14ac:dyDescent="0.4">
      <c r="B418" s="366"/>
      <c r="C418" s="452">
        <v>46092</v>
      </c>
      <c r="D418" s="451">
        <v>23</v>
      </c>
      <c r="E418" s="581" t="s">
        <v>906</v>
      </c>
      <c r="F418" s="539">
        <f t="shared" si="18"/>
        <v>93.897172802884597</v>
      </c>
      <c r="G418" s="540">
        <f t="shared" si="19"/>
        <v>7.8247644002403831</v>
      </c>
      <c r="H418" s="541">
        <f t="shared" si="20"/>
        <v>14246.514522802883</v>
      </c>
      <c r="I418" s="446"/>
    </row>
    <row r="419" spans="2:9" ht="26.1" hidden="1" customHeight="1" thickTop="1" thickBot="1" x14ac:dyDescent="0.4">
      <c r="B419" s="366"/>
      <c r="C419" s="452">
        <v>46093</v>
      </c>
      <c r="D419" s="451">
        <v>24</v>
      </c>
      <c r="E419" s="581" t="s">
        <v>907</v>
      </c>
      <c r="F419" s="539">
        <f t="shared" si="18"/>
        <v>97.979658576923072</v>
      </c>
      <c r="G419" s="540">
        <f t="shared" si="19"/>
        <v>8.164971548076922</v>
      </c>
      <c r="H419" s="541">
        <f t="shared" si="20"/>
        <v>14250.597008576922</v>
      </c>
      <c r="I419" s="446"/>
    </row>
    <row r="420" spans="2:9" ht="26.1" hidden="1" customHeight="1" thickTop="1" thickBot="1" x14ac:dyDescent="0.4">
      <c r="B420" s="366"/>
      <c r="C420" s="452">
        <v>46094</v>
      </c>
      <c r="D420" s="451">
        <v>25</v>
      </c>
      <c r="E420" s="581" t="s">
        <v>908</v>
      </c>
      <c r="F420" s="539">
        <f t="shared" si="18"/>
        <v>102.06214435096153</v>
      </c>
      <c r="G420" s="540">
        <f t="shared" si="19"/>
        <v>8.505178695913461</v>
      </c>
      <c r="H420" s="541">
        <f t="shared" si="20"/>
        <v>14254.679494350959</v>
      </c>
      <c r="I420" s="446"/>
    </row>
    <row r="421" spans="2:9" ht="26.1" hidden="1" customHeight="1" thickTop="1" thickBot="1" x14ac:dyDescent="0.4">
      <c r="B421" s="366"/>
      <c r="C421" s="452">
        <v>46095</v>
      </c>
      <c r="D421" s="451">
        <v>26</v>
      </c>
      <c r="E421" s="581" t="s">
        <v>909</v>
      </c>
      <c r="F421" s="539">
        <f t="shared" si="18"/>
        <v>106.14463012499999</v>
      </c>
      <c r="G421" s="540">
        <f t="shared" si="19"/>
        <v>8.8453858437499999</v>
      </c>
      <c r="H421" s="541">
        <f t="shared" si="20"/>
        <v>14258.761980124998</v>
      </c>
      <c r="I421" s="446"/>
    </row>
    <row r="422" spans="2:9" ht="26.1" hidden="1" customHeight="1" thickTop="1" thickBot="1" x14ac:dyDescent="0.4">
      <c r="B422" s="366"/>
      <c r="C422" s="452">
        <v>46096</v>
      </c>
      <c r="D422" s="451">
        <v>27</v>
      </c>
      <c r="E422" s="581" t="s">
        <v>910</v>
      </c>
      <c r="F422" s="539">
        <f t="shared" si="18"/>
        <v>110.22711589903845</v>
      </c>
      <c r="G422" s="540">
        <f t="shared" si="19"/>
        <v>9.1855929915865371</v>
      </c>
      <c r="H422" s="541">
        <f t="shared" si="20"/>
        <v>14262.844465899037</v>
      </c>
      <c r="I422" s="446"/>
    </row>
    <row r="423" spans="2:9" ht="26.1" hidden="1" customHeight="1" thickTop="1" thickBot="1" x14ac:dyDescent="0.4">
      <c r="B423" s="366"/>
      <c r="C423" s="452">
        <v>46097</v>
      </c>
      <c r="D423" s="451">
        <v>28</v>
      </c>
      <c r="E423" s="581" t="s">
        <v>904</v>
      </c>
      <c r="F423" s="539">
        <f t="shared" si="18"/>
        <v>114.30960167307691</v>
      </c>
      <c r="G423" s="540">
        <f t="shared" si="19"/>
        <v>9.525800139423076</v>
      </c>
      <c r="H423" s="541">
        <f t="shared" si="20"/>
        <v>14266.926951673075</v>
      </c>
      <c r="I423" s="446"/>
    </row>
    <row r="424" spans="2:9" ht="26.1" hidden="1" customHeight="1" thickTop="1" thickBot="1" x14ac:dyDescent="0.4">
      <c r="B424" s="366"/>
      <c r="C424" s="452">
        <v>46098</v>
      </c>
      <c r="D424" s="451">
        <v>29</v>
      </c>
      <c r="E424" s="581" t="s">
        <v>905</v>
      </c>
      <c r="F424" s="539">
        <f t="shared" si="18"/>
        <v>118.39208744711537</v>
      </c>
      <c r="G424" s="540">
        <f t="shared" si="19"/>
        <v>9.866007287259615</v>
      </c>
      <c r="H424" s="541">
        <f t="shared" si="20"/>
        <v>14271.009437447114</v>
      </c>
      <c r="I424" s="446"/>
    </row>
    <row r="425" spans="2:9" ht="26.1" hidden="1" customHeight="1" thickTop="1" thickBot="1" x14ac:dyDescent="0.4">
      <c r="B425" s="366"/>
      <c r="C425" s="452">
        <v>46099</v>
      </c>
      <c r="D425" s="451">
        <v>30</v>
      </c>
      <c r="E425" s="581" t="s">
        <v>906</v>
      </c>
      <c r="F425" s="539">
        <f t="shared" si="18"/>
        <v>122.47457322115383</v>
      </c>
      <c r="G425" s="540">
        <f t="shared" si="19"/>
        <v>10.206214435096152</v>
      </c>
      <c r="H425" s="541">
        <f t="shared" si="20"/>
        <v>14275.091923221153</v>
      </c>
      <c r="I425" s="446"/>
    </row>
    <row r="426" spans="2:9" ht="26.1" hidden="1" customHeight="1" thickTop="1" thickBot="1" x14ac:dyDescent="0.4">
      <c r="B426" s="366"/>
      <c r="C426" s="452">
        <v>46100</v>
      </c>
      <c r="D426" s="451">
        <v>31</v>
      </c>
      <c r="E426" s="581" t="s">
        <v>907</v>
      </c>
      <c r="F426" s="539">
        <f t="shared" si="18"/>
        <v>126.55705899519229</v>
      </c>
      <c r="G426" s="540">
        <f t="shared" si="19"/>
        <v>10.546421582932691</v>
      </c>
      <c r="H426" s="541">
        <f t="shared" si="20"/>
        <v>14279.174408995192</v>
      </c>
      <c r="I426" s="446"/>
    </row>
    <row r="427" spans="2:9" ht="26.1" hidden="1" customHeight="1" thickTop="1" thickBot="1" x14ac:dyDescent="0.4">
      <c r="B427" s="366"/>
      <c r="C427" s="452">
        <v>46101</v>
      </c>
      <c r="D427" s="451">
        <v>32</v>
      </c>
      <c r="E427" s="581" t="s">
        <v>908</v>
      </c>
      <c r="F427" s="539">
        <f t="shared" si="18"/>
        <v>130.63954476923075</v>
      </c>
      <c r="G427" s="540">
        <f t="shared" si="19"/>
        <v>10.88662873076923</v>
      </c>
      <c r="H427" s="541">
        <f t="shared" si="20"/>
        <v>14283.256894769229</v>
      </c>
      <c r="I427" s="446"/>
    </row>
    <row r="428" spans="2:9" ht="26.1" hidden="1" customHeight="1" thickTop="1" thickBot="1" x14ac:dyDescent="0.4">
      <c r="B428" s="366"/>
      <c r="C428" s="452">
        <v>46102</v>
      </c>
      <c r="D428" s="451">
        <v>33</v>
      </c>
      <c r="E428" s="581" t="s">
        <v>909</v>
      </c>
      <c r="F428" s="539">
        <f t="shared" si="18"/>
        <v>134.72203054326923</v>
      </c>
      <c r="G428" s="540">
        <f t="shared" si="19"/>
        <v>11.226835878605769</v>
      </c>
      <c r="H428" s="541">
        <f t="shared" si="20"/>
        <v>14287.339380543268</v>
      </c>
      <c r="I428" s="446"/>
    </row>
    <row r="429" spans="2:9" ht="26.1" hidden="1" customHeight="1" thickTop="1" thickBot="1" x14ac:dyDescent="0.4">
      <c r="B429" s="366"/>
      <c r="C429" s="452">
        <v>46103</v>
      </c>
      <c r="D429" s="451">
        <v>34</v>
      </c>
      <c r="E429" s="581" t="s">
        <v>910</v>
      </c>
      <c r="F429" s="539">
        <f t="shared" si="18"/>
        <v>138.80451631730767</v>
      </c>
      <c r="G429" s="540">
        <f t="shared" si="19"/>
        <v>11.567043026442306</v>
      </c>
      <c r="H429" s="541">
        <f t="shared" si="20"/>
        <v>14291.421866317307</v>
      </c>
      <c r="I429" s="446"/>
    </row>
    <row r="430" spans="2:9" ht="26.1" hidden="1" customHeight="1" thickTop="1" thickBot="1" x14ac:dyDescent="0.4">
      <c r="B430" s="366"/>
      <c r="C430" s="452">
        <v>46104</v>
      </c>
      <c r="D430" s="451">
        <v>35</v>
      </c>
      <c r="E430" s="581" t="s">
        <v>904</v>
      </c>
      <c r="F430" s="539">
        <f t="shared" si="18"/>
        <v>142.88700209134615</v>
      </c>
      <c r="G430" s="540">
        <f t="shared" si="19"/>
        <v>11.907250174278845</v>
      </c>
      <c r="H430" s="541">
        <f t="shared" si="20"/>
        <v>14295.504352091344</v>
      </c>
      <c r="I430" s="446"/>
    </row>
    <row r="431" spans="2:9" ht="26.1" hidden="1" customHeight="1" thickTop="1" thickBot="1" x14ac:dyDescent="0.4">
      <c r="B431" s="366"/>
      <c r="C431" s="452">
        <v>46105</v>
      </c>
      <c r="D431" s="451">
        <v>36</v>
      </c>
      <c r="E431" s="581" t="s">
        <v>905</v>
      </c>
      <c r="F431" s="539">
        <f t="shared" si="18"/>
        <v>146.96948786538459</v>
      </c>
      <c r="G431" s="540">
        <f t="shared" si="19"/>
        <v>12.247457322115382</v>
      </c>
      <c r="H431" s="541">
        <f t="shared" si="20"/>
        <v>14299.586837865383</v>
      </c>
      <c r="I431" s="446"/>
    </row>
    <row r="432" spans="2:9" ht="26.1" hidden="1" customHeight="1" thickTop="1" thickBot="1" x14ac:dyDescent="0.4">
      <c r="B432" s="366"/>
      <c r="C432" s="452">
        <v>46106</v>
      </c>
      <c r="D432" s="451">
        <v>37</v>
      </c>
      <c r="E432" s="581" t="s">
        <v>906</v>
      </c>
      <c r="F432" s="539">
        <f t="shared" si="18"/>
        <v>151.05197363942307</v>
      </c>
      <c r="G432" s="540">
        <f t="shared" si="19"/>
        <v>12.587664469951923</v>
      </c>
      <c r="H432" s="541">
        <f t="shared" si="20"/>
        <v>14303.669323639422</v>
      </c>
      <c r="I432" s="446"/>
    </row>
    <row r="433" spans="2:9" ht="26.1" hidden="1" customHeight="1" thickTop="1" thickBot="1" x14ac:dyDescent="0.4">
      <c r="B433" s="366"/>
      <c r="C433" s="452">
        <v>46107</v>
      </c>
      <c r="D433" s="451">
        <v>38</v>
      </c>
      <c r="E433" s="581" t="s">
        <v>907</v>
      </c>
      <c r="F433" s="539">
        <f t="shared" si="18"/>
        <v>155.13445941346151</v>
      </c>
      <c r="G433" s="540">
        <f t="shared" si="19"/>
        <v>12.92787161778846</v>
      </c>
      <c r="H433" s="541">
        <f t="shared" si="20"/>
        <v>14307.751809413459</v>
      </c>
      <c r="I433" s="446"/>
    </row>
    <row r="434" spans="2:9" ht="26.1" hidden="1" customHeight="1" thickTop="1" thickBot="1" x14ac:dyDescent="0.4">
      <c r="B434" s="366"/>
      <c r="C434" s="452">
        <v>46108</v>
      </c>
      <c r="D434" s="451">
        <v>39</v>
      </c>
      <c r="E434" s="581" t="s">
        <v>908</v>
      </c>
      <c r="F434" s="539">
        <f t="shared" si="18"/>
        <v>159.21694518749999</v>
      </c>
      <c r="G434" s="540">
        <f t="shared" si="19"/>
        <v>13.268078765624999</v>
      </c>
      <c r="H434" s="541">
        <f t="shared" si="20"/>
        <v>14311.834295187498</v>
      </c>
      <c r="I434" s="446"/>
    </row>
    <row r="435" spans="2:9" ht="26.1" hidden="1" customHeight="1" thickTop="1" thickBot="1" x14ac:dyDescent="0.4">
      <c r="B435" s="366"/>
      <c r="C435" s="452">
        <v>46109</v>
      </c>
      <c r="D435" s="451">
        <v>40</v>
      </c>
      <c r="E435" s="581" t="s">
        <v>909</v>
      </c>
      <c r="F435" s="539">
        <f t="shared" si="18"/>
        <v>163.29943096153843</v>
      </c>
      <c r="G435" s="540">
        <f t="shared" si="19"/>
        <v>13.608285913461536</v>
      </c>
      <c r="H435" s="541">
        <f t="shared" si="20"/>
        <v>14315.916780961537</v>
      </c>
      <c r="I435" s="446"/>
    </row>
    <row r="436" spans="2:9" ht="26.1" hidden="1" customHeight="1" thickTop="1" thickBot="1" x14ac:dyDescent="0.4">
      <c r="B436" s="366"/>
      <c r="C436" s="452">
        <v>46110</v>
      </c>
      <c r="D436" s="451">
        <v>41</v>
      </c>
      <c r="E436" s="581" t="s">
        <v>910</v>
      </c>
      <c r="F436" s="539">
        <f t="shared" si="18"/>
        <v>167.38191673557691</v>
      </c>
      <c r="G436" s="540">
        <f t="shared" si="19"/>
        <v>13.948493061298075</v>
      </c>
      <c r="H436" s="541">
        <f t="shared" si="20"/>
        <v>14319.999266735576</v>
      </c>
      <c r="I436" s="446"/>
    </row>
    <row r="437" spans="2:9" ht="26.1" hidden="1" customHeight="1" thickTop="1" thickBot="1" x14ac:dyDescent="0.4">
      <c r="B437" s="366"/>
      <c r="C437" s="452">
        <v>46111</v>
      </c>
      <c r="D437" s="451">
        <v>42</v>
      </c>
      <c r="E437" s="581" t="s">
        <v>904</v>
      </c>
      <c r="F437" s="539">
        <f t="shared" si="18"/>
        <v>171.46440250961535</v>
      </c>
      <c r="G437" s="540">
        <f t="shared" si="19"/>
        <v>14.288700209134612</v>
      </c>
      <c r="H437" s="541">
        <f t="shared" si="20"/>
        <v>14324.081752509614</v>
      </c>
      <c r="I437" s="446"/>
    </row>
    <row r="438" spans="2:9" ht="26.1" hidden="1" customHeight="1" thickTop="1" thickBot="1" x14ac:dyDescent="0.4">
      <c r="B438" s="366"/>
      <c r="C438" s="452">
        <v>46112</v>
      </c>
      <c r="D438" s="451">
        <v>43</v>
      </c>
      <c r="E438" s="581" t="s">
        <v>905</v>
      </c>
      <c r="F438" s="539">
        <f t="shared" si="18"/>
        <v>175.54688828365383</v>
      </c>
      <c r="G438" s="540">
        <f t="shared" si="19"/>
        <v>14.628907356971153</v>
      </c>
      <c r="H438" s="541">
        <f t="shared" si="20"/>
        <v>14328.164238283653</v>
      </c>
      <c r="I438" s="446"/>
    </row>
    <row r="439" spans="2:9" ht="26.1" hidden="1" customHeight="1" thickTop="1" thickBot="1" x14ac:dyDescent="0.4">
      <c r="B439" s="366"/>
      <c r="C439" s="452">
        <v>46113</v>
      </c>
      <c r="D439" s="451">
        <v>44</v>
      </c>
      <c r="E439" s="581" t="s">
        <v>906</v>
      </c>
      <c r="F439" s="539">
        <f t="shared" si="18"/>
        <v>179.62937405769227</v>
      </c>
      <c r="G439" s="540">
        <f t="shared" si="19"/>
        <v>14.96911450480769</v>
      </c>
      <c r="H439" s="541">
        <f t="shared" si="20"/>
        <v>14332.246724057692</v>
      </c>
      <c r="I439" s="446"/>
    </row>
    <row r="440" spans="2:9" ht="26.1" hidden="1" customHeight="1" thickTop="1" thickBot="1" x14ac:dyDescent="0.4">
      <c r="B440" s="366"/>
      <c r="C440" s="452">
        <v>46114</v>
      </c>
      <c r="D440" s="451">
        <v>45</v>
      </c>
      <c r="E440" s="581" t="s">
        <v>907</v>
      </c>
      <c r="F440" s="539">
        <f t="shared" si="18"/>
        <v>183.71185983173075</v>
      </c>
      <c r="G440" s="540">
        <f t="shared" si="19"/>
        <v>15.309321652644229</v>
      </c>
      <c r="H440" s="541">
        <f t="shared" si="20"/>
        <v>14336.329209831729</v>
      </c>
      <c r="I440" s="446"/>
    </row>
    <row r="441" spans="2:9" ht="26.1" hidden="1" customHeight="1" thickTop="1" thickBot="1" x14ac:dyDescent="0.4">
      <c r="B441" s="366"/>
      <c r="C441" s="452">
        <v>46115</v>
      </c>
      <c r="D441" s="451">
        <v>46</v>
      </c>
      <c r="E441" s="581" t="s">
        <v>908</v>
      </c>
      <c r="F441" s="539">
        <f t="shared" si="18"/>
        <v>187.79434560576919</v>
      </c>
      <c r="G441" s="540">
        <f t="shared" si="19"/>
        <v>15.649528800480766</v>
      </c>
      <c r="H441" s="541">
        <f t="shared" si="20"/>
        <v>14340.411695605768</v>
      </c>
      <c r="I441" s="446"/>
    </row>
    <row r="442" spans="2:9" ht="26.1" hidden="1" customHeight="1" thickTop="1" thickBot="1" x14ac:dyDescent="0.4">
      <c r="B442" s="366"/>
      <c r="C442" s="452">
        <v>46116</v>
      </c>
      <c r="D442" s="451">
        <v>47</v>
      </c>
      <c r="E442" s="581" t="s">
        <v>909</v>
      </c>
      <c r="F442" s="539">
        <f t="shared" si="18"/>
        <v>191.87683137980767</v>
      </c>
      <c r="G442" s="540">
        <f t="shared" si="19"/>
        <v>15.989735948317305</v>
      </c>
      <c r="H442" s="541">
        <f t="shared" si="20"/>
        <v>14344.494181379807</v>
      </c>
      <c r="I442" s="446"/>
    </row>
    <row r="443" spans="2:9" ht="26.1" hidden="1" customHeight="1" thickTop="1" thickBot="1" x14ac:dyDescent="0.4">
      <c r="B443" s="366"/>
      <c r="C443" s="452">
        <v>46117</v>
      </c>
      <c r="D443" s="451">
        <v>48</v>
      </c>
      <c r="E443" s="581" t="s">
        <v>910</v>
      </c>
      <c r="F443" s="539">
        <f t="shared" si="18"/>
        <v>195.95931715384614</v>
      </c>
      <c r="G443" s="540">
        <f t="shared" si="19"/>
        <v>16.329943096153844</v>
      </c>
      <c r="H443" s="541">
        <f t="shared" si="20"/>
        <v>14348.576667153844</v>
      </c>
      <c r="I443" s="446"/>
    </row>
    <row r="444" spans="2:9" ht="26.1" hidden="1" customHeight="1" thickTop="1" thickBot="1" x14ac:dyDescent="0.4">
      <c r="B444" s="366"/>
      <c r="C444" s="452">
        <v>46118</v>
      </c>
      <c r="D444" s="451">
        <v>49</v>
      </c>
      <c r="E444" s="581" t="s">
        <v>904</v>
      </c>
      <c r="F444" s="539">
        <f t="shared" si="18"/>
        <v>200.04180292788459</v>
      </c>
      <c r="G444" s="540">
        <f t="shared" si="19"/>
        <v>16.670150243990381</v>
      </c>
      <c r="H444" s="541">
        <f t="shared" si="20"/>
        <v>14352.659152927883</v>
      </c>
      <c r="I444" s="446"/>
    </row>
    <row r="445" spans="2:9" ht="26.1" hidden="1" customHeight="1" thickTop="1" thickBot="1" x14ac:dyDescent="0.4">
      <c r="B445" s="366"/>
      <c r="C445" s="452">
        <v>46119</v>
      </c>
      <c r="D445" s="451">
        <v>50</v>
      </c>
      <c r="E445" s="581" t="s">
        <v>905</v>
      </c>
      <c r="F445" s="539">
        <f t="shared" si="18"/>
        <v>204.12428870192306</v>
      </c>
      <c r="G445" s="540">
        <f t="shared" si="19"/>
        <v>17.010357391826922</v>
      </c>
      <c r="H445" s="541">
        <f t="shared" si="20"/>
        <v>14356.741638701922</v>
      </c>
      <c r="I445" s="446"/>
    </row>
    <row r="446" spans="2:9" ht="26.1" hidden="1" customHeight="1" thickTop="1" thickBot="1" x14ac:dyDescent="0.4">
      <c r="B446" s="366"/>
      <c r="C446" s="452">
        <v>46120</v>
      </c>
      <c r="D446" s="451">
        <v>51</v>
      </c>
      <c r="E446" s="581" t="s">
        <v>906</v>
      </c>
      <c r="F446" s="539">
        <f t="shared" si="18"/>
        <v>208.20677447596151</v>
      </c>
      <c r="G446" s="540">
        <f t="shared" si="19"/>
        <v>17.350564539663459</v>
      </c>
      <c r="H446" s="541">
        <f t="shared" si="20"/>
        <v>14360.824124475959</v>
      </c>
      <c r="I446" s="446"/>
    </row>
    <row r="447" spans="2:9" ht="26.1" hidden="1" customHeight="1" thickTop="1" thickBot="1" x14ac:dyDescent="0.4">
      <c r="B447" s="366"/>
      <c r="C447" s="452">
        <v>46121</v>
      </c>
      <c r="D447" s="451">
        <v>52</v>
      </c>
      <c r="E447" s="581" t="s">
        <v>907</v>
      </c>
      <c r="F447" s="539">
        <f t="shared" si="18"/>
        <v>212.28926024999998</v>
      </c>
      <c r="G447" s="540">
        <f t="shared" si="19"/>
        <v>17.6907716875</v>
      </c>
      <c r="H447" s="541">
        <f t="shared" si="20"/>
        <v>14364.906610249998</v>
      </c>
      <c r="I447" s="446"/>
    </row>
    <row r="448" spans="2:9" ht="26.1" hidden="1" customHeight="1" thickTop="1" thickBot="1" x14ac:dyDescent="0.4">
      <c r="B448" s="366"/>
      <c r="C448" s="452">
        <v>46122</v>
      </c>
      <c r="D448" s="451">
        <v>53</v>
      </c>
      <c r="E448" s="581" t="s">
        <v>908</v>
      </c>
      <c r="F448" s="539">
        <f t="shared" si="18"/>
        <v>216.37174602403843</v>
      </c>
      <c r="G448" s="540">
        <f t="shared" si="19"/>
        <v>18.030978835336537</v>
      </c>
      <c r="H448" s="541">
        <f t="shared" si="20"/>
        <v>14368.989096024037</v>
      </c>
      <c r="I448" s="446"/>
    </row>
    <row r="449" spans="2:9" ht="26.1" hidden="1" customHeight="1" thickTop="1" thickBot="1" x14ac:dyDescent="0.4">
      <c r="B449" s="366"/>
      <c r="C449" s="452">
        <v>46123</v>
      </c>
      <c r="D449" s="451">
        <v>54</v>
      </c>
      <c r="E449" s="581" t="s">
        <v>909</v>
      </c>
      <c r="F449" s="539">
        <f t="shared" si="18"/>
        <v>220.4542317980769</v>
      </c>
      <c r="G449" s="540">
        <f t="shared" si="19"/>
        <v>18.371185983173074</v>
      </c>
      <c r="H449" s="541">
        <f t="shared" si="20"/>
        <v>14373.071581798076</v>
      </c>
      <c r="I449" s="446"/>
    </row>
    <row r="450" spans="2:9" ht="26.1" hidden="1" customHeight="1" thickTop="1" thickBot="1" x14ac:dyDescent="0.4">
      <c r="B450" s="366"/>
      <c r="C450" s="452">
        <v>46124</v>
      </c>
      <c r="D450" s="451">
        <v>55</v>
      </c>
      <c r="E450" s="581" t="s">
        <v>910</v>
      </c>
      <c r="F450" s="539">
        <f t="shared" si="18"/>
        <v>224.53671757211535</v>
      </c>
      <c r="G450" s="540">
        <f t="shared" si="19"/>
        <v>18.711393131009611</v>
      </c>
      <c r="H450" s="541">
        <f t="shared" si="20"/>
        <v>14377.154067572113</v>
      </c>
      <c r="I450" s="446"/>
    </row>
    <row r="451" spans="2:9" ht="26.1" hidden="1" customHeight="1" thickTop="1" thickBot="1" x14ac:dyDescent="0.4">
      <c r="B451" s="366"/>
      <c r="C451" s="452">
        <v>46125</v>
      </c>
      <c r="D451" s="451">
        <v>56</v>
      </c>
      <c r="E451" s="581" t="s">
        <v>904</v>
      </c>
      <c r="F451" s="539">
        <f t="shared" si="18"/>
        <v>228.61920334615382</v>
      </c>
      <c r="G451" s="540">
        <f t="shared" si="19"/>
        <v>19.051600278846152</v>
      </c>
      <c r="H451" s="541">
        <f t="shared" si="20"/>
        <v>14381.236553346153</v>
      </c>
      <c r="I451" s="446"/>
    </row>
    <row r="452" spans="2:9" ht="26.1" hidden="1" customHeight="1" thickTop="1" thickBot="1" x14ac:dyDescent="0.4">
      <c r="B452" s="366"/>
      <c r="C452" s="452">
        <v>46126</v>
      </c>
      <c r="D452" s="451">
        <v>57</v>
      </c>
      <c r="E452" s="581" t="s">
        <v>905</v>
      </c>
      <c r="F452" s="539">
        <f t="shared" si="18"/>
        <v>232.70168912019227</v>
      </c>
      <c r="G452" s="540">
        <f t="shared" si="19"/>
        <v>19.391807426682689</v>
      </c>
      <c r="H452" s="541">
        <f t="shared" si="20"/>
        <v>14385.319039120192</v>
      </c>
      <c r="I452" s="446"/>
    </row>
    <row r="453" spans="2:9" ht="26.1" hidden="1" customHeight="1" thickTop="1" thickBot="1" x14ac:dyDescent="0.4">
      <c r="B453" s="366"/>
      <c r="C453" s="452">
        <v>46127</v>
      </c>
      <c r="D453" s="451">
        <v>58</v>
      </c>
      <c r="E453" s="581" t="s">
        <v>906</v>
      </c>
      <c r="F453" s="539">
        <f t="shared" si="18"/>
        <v>236.78417489423074</v>
      </c>
      <c r="G453" s="540">
        <f t="shared" si="19"/>
        <v>19.73201457451923</v>
      </c>
      <c r="H453" s="541">
        <f t="shared" si="20"/>
        <v>14389.401524894229</v>
      </c>
      <c r="I453" s="446"/>
    </row>
    <row r="454" spans="2:9" ht="26.1" hidden="1" customHeight="1" thickTop="1" thickBot="1" x14ac:dyDescent="0.4">
      <c r="B454" s="366"/>
      <c r="C454" s="452">
        <v>46128</v>
      </c>
      <c r="D454" s="451">
        <v>59</v>
      </c>
      <c r="E454" s="581" t="s">
        <v>907</v>
      </c>
      <c r="F454" s="539">
        <f t="shared" si="18"/>
        <v>240.86666066826919</v>
      </c>
      <c r="G454" s="540">
        <f t="shared" si="19"/>
        <v>20.072221722355767</v>
      </c>
      <c r="H454" s="541">
        <f t="shared" si="20"/>
        <v>14393.484010668268</v>
      </c>
      <c r="I454" s="446"/>
    </row>
    <row r="455" spans="2:9" ht="26.1" hidden="1" customHeight="1" thickTop="1" thickBot="1" x14ac:dyDescent="0.4">
      <c r="B455" s="366"/>
      <c r="C455" s="452">
        <v>46129</v>
      </c>
      <c r="D455" s="451">
        <v>60</v>
      </c>
      <c r="E455" s="581" t="s">
        <v>908</v>
      </c>
      <c r="F455" s="539">
        <f t="shared" si="18"/>
        <v>244.94914644230766</v>
      </c>
      <c r="G455" s="540">
        <f t="shared" si="19"/>
        <v>20.412428870192304</v>
      </c>
      <c r="H455" s="541">
        <f t="shared" si="20"/>
        <v>14397.566496442307</v>
      </c>
      <c r="I455" s="446"/>
    </row>
    <row r="456" spans="2:9" ht="26.1" hidden="1" customHeight="1" thickTop="1" thickBot="1" x14ac:dyDescent="0.4">
      <c r="B456" s="366"/>
      <c r="C456" s="452">
        <v>46130</v>
      </c>
      <c r="D456" s="451">
        <v>61</v>
      </c>
      <c r="E456" s="581" t="s">
        <v>909</v>
      </c>
      <c r="F456" s="539">
        <f t="shared" si="18"/>
        <v>249.03163221634611</v>
      </c>
      <c r="G456" s="540">
        <f t="shared" si="19"/>
        <v>20.752636018028841</v>
      </c>
      <c r="H456" s="541">
        <f t="shared" si="20"/>
        <v>14401.648982216344</v>
      </c>
      <c r="I456" s="446"/>
    </row>
    <row r="457" spans="2:9" ht="26.1" hidden="1" customHeight="1" thickTop="1" thickBot="1" x14ac:dyDescent="0.4">
      <c r="B457" s="366"/>
      <c r="C457" s="452">
        <v>46131</v>
      </c>
      <c r="D457" s="451">
        <v>62</v>
      </c>
      <c r="E457" s="581" t="s">
        <v>910</v>
      </c>
      <c r="F457" s="539">
        <f t="shared" si="18"/>
        <v>253.11411799038459</v>
      </c>
      <c r="G457" s="540">
        <f t="shared" si="19"/>
        <v>21.092843165865382</v>
      </c>
      <c r="H457" s="541">
        <f t="shared" si="20"/>
        <v>14405.731467990383</v>
      </c>
      <c r="I457" s="446"/>
    </row>
    <row r="458" spans="2:9" ht="26.1" hidden="1" customHeight="1" thickTop="1" thickBot="1" x14ac:dyDescent="0.4">
      <c r="B458" s="366"/>
      <c r="C458" s="452">
        <v>46132</v>
      </c>
      <c r="D458" s="451">
        <v>63</v>
      </c>
      <c r="E458" s="581" t="s">
        <v>904</v>
      </c>
      <c r="F458" s="539">
        <f t="shared" si="18"/>
        <v>257.19660376442306</v>
      </c>
      <c r="G458" s="540">
        <f t="shared" si="19"/>
        <v>21.433050313701923</v>
      </c>
      <c r="H458" s="541">
        <f t="shared" si="20"/>
        <v>14409.813953764422</v>
      </c>
      <c r="I458" s="446"/>
    </row>
    <row r="459" spans="2:9" ht="26.1" hidden="1" customHeight="1" thickTop="1" thickBot="1" x14ac:dyDescent="0.4">
      <c r="B459" s="366"/>
      <c r="C459" s="452">
        <v>46133</v>
      </c>
      <c r="D459" s="451">
        <v>64</v>
      </c>
      <c r="E459" s="581" t="s">
        <v>905</v>
      </c>
      <c r="F459" s="539">
        <f t="shared" si="18"/>
        <v>261.27908953846151</v>
      </c>
      <c r="G459" s="540">
        <f t="shared" si="19"/>
        <v>21.77325746153846</v>
      </c>
      <c r="H459" s="541">
        <f t="shared" si="20"/>
        <v>14413.896439538461</v>
      </c>
      <c r="I459" s="446"/>
    </row>
    <row r="460" spans="2:9" ht="26.1" hidden="1" customHeight="1" thickTop="1" thickBot="1" x14ac:dyDescent="0.4">
      <c r="B460" s="366"/>
      <c r="C460" s="452">
        <v>46134</v>
      </c>
      <c r="D460" s="451">
        <v>65</v>
      </c>
      <c r="E460" s="581" t="s">
        <v>906</v>
      </c>
      <c r="F460" s="539">
        <f t="shared" si="18"/>
        <v>265.36157531249995</v>
      </c>
      <c r="G460" s="540">
        <f t="shared" si="19"/>
        <v>22.113464609374997</v>
      </c>
      <c r="H460" s="541">
        <f t="shared" si="20"/>
        <v>14417.978925312498</v>
      </c>
      <c r="I460" s="446"/>
    </row>
    <row r="461" spans="2:9" ht="26.1" hidden="1" customHeight="1" thickTop="1" thickBot="1" x14ac:dyDescent="0.4">
      <c r="B461" s="366"/>
      <c r="C461" s="452">
        <v>46135</v>
      </c>
      <c r="D461" s="451">
        <v>66</v>
      </c>
      <c r="E461" s="581" t="s">
        <v>907</v>
      </c>
      <c r="F461" s="539">
        <f t="shared" ref="F461:F524" si="21">$E$388/$F$390*D461</f>
        <v>269.44406108653845</v>
      </c>
      <c r="G461" s="540">
        <f t="shared" ref="G461:G524" si="22">F461/$C$392</f>
        <v>22.453671757211538</v>
      </c>
      <c r="H461" s="541">
        <f t="shared" ref="H461:H524" si="23">$C$388+F461</f>
        <v>14422.061411086537</v>
      </c>
      <c r="I461" s="446"/>
    </row>
    <row r="462" spans="2:9" ht="26.1" hidden="1" customHeight="1" thickTop="1" thickBot="1" x14ac:dyDescent="0.4">
      <c r="B462" s="366"/>
      <c r="C462" s="452">
        <v>46136</v>
      </c>
      <c r="D462" s="451">
        <v>67</v>
      </c>
      <c r="E462" s="581" t="s">
        <v>908</v>
      </c>
      <c r="F462" s="539">
        <f t="shared" si="21"/>
        <v>273.5265468605769</v>
      </c>
      <c r="G462" s="540">
        <f t="shared" si="22"/>
        <v>22.793878905048075</v>
      </c>
      <c r="H462" s="541">
        <f t="shared" si="23"/>
        <v>14426.143896860576</v>
      </c>
      <c r="I462" s="446"/>
    </row>
    <row r="463" spans="2:9" ht="26.1" hidden="1" customHeight="1" thickTop="1" thickBot="1" x14ac:dyDescent="0.4">
      <c r="B463" s="366"/>
      <c r="C463" s="452">
        <v>46137</v>
      </c>
      <c r="D463" s="451">
        <v>68</v>
      </c>
      <c r="E463" s="581" t="s">
        <v>909</v>
      </c>
      <c r="F463" s="539">
        <f t="shared" si="21"/>
        <v>277.60903263461535</v>
      </c>
      <c r="G463" s="540">
        <f t="shared" si="22"/>
        <v>23.134086052884612</v>
      </c>
      <c r="H463" s="541">
        <f t="shared" si="23"/>
        <v>14430.226382634613</v>
      </c>
      <c r="I463" s="446"/>
    </row>
    <row r="464" spans="2:9" ht="26.1" hidden="1" customHeight="1" thickTop="1" thickBot="1" x14ac:dyDescent="0.4">
      <c r="B464" s="366"/>
      <c r="C464" s="452">
        <v>46138</v>
      </c>
      <c r="D464" s="451">
        <v>69</v>
      </c>
      <c r="E464" s="581" t="s">
        <v>910</v>
      </c>
      <c r="F464" s="539">
        <f t="shared" si="21"/>
        <v>281.69151840865379</v>
      </c>
      <c r="G464" s="540">
        <f t="shared" si="22"/>
        <v>23.474293200721149</v>
      </c>
      <c r="H464" s="541">
        <f t="shared" si="23"/>
        <v>14434.308868408652</v>
      </c>
      <c r="I464" s="446"/>
    </row>
    <row r="465" spans="2:9" ht="26.1" hidden="1" customHeight="1" thickTop="1" thickBot="1" x14ac:dyDescent="0.4">
      <c r="B465" s="366"/>
      <c r="C465" s="452">
        <v>46139</v>
      </c>
      <c r="D465" s="451">
        <v>70</v>
      </c>
      <c r="E465" s="581" t="s">
        <v>904</v>
      </c>
      <c r="F465" s="539">
        <f t="shared" si="21"/>
        <v>285.77400418269229</v>
      </c>
      <c r="G465" s="540">
        <f t="shared" si="22"/>
        <v>23.81450034855769</v>
      </c>
      <c r="H465" s="541">
        <f t="shared" si="23"/>
        <v>14438.391354182691</v>
      </c>
      <c r="I465" s="446"/>
    </row>
    <row r="466" spans="2:9" ht="26.1" hidden="1" customHeight="1" thickTop="1" thickBot="1" x14ac:dyDescent="0.4">
      <c r="B466" s="366"/>
      <c r="C466" s="452">
        <v>46140</v>
      </c>
      <c r="D466" s="451">
        <v>71</v>
      </c>
      <c r="E466" s="581" t="s">
        <v>905</v>
      </c>
      <c r="F466" s="539">
        <f t="shared" si="21"/>
        <v>289.85648995673074</v>
      </c>
      <c r="G466" s="540">
        <f t="shared" si="22"/>
        <v>24.154707496394227</v>
      </c>
      <c r="H466" s="541">
        <f t="shared" si="23"/>
        <v>14442.473839956729</v>
      </c>
      <c r="I466" s="446"/>
    </row>
    <row r="467" spans="2:9" ht="26.1" hidden="1" customHeight="1" thickTop="1" thickBot="1" x14ac:dyDescent="0.4">
      <c r="B467" s="366"/>
      <c r="C467" s="452">
        <v>46141</v>
      </c>
      <c r="D467" s="451">
        <v>72</v>
      </c>
      <c r="E467" s="581" t="s">
        <v>906</v>
      </c>
      <c r="F467" s="539">
        <f t="shared" si="21"/>
        <v>293.93897573076919</v>
      </c>
      <c r="G467" s="540">
        <f t="shared" si="22"/>
        <v>24.494914644230764</v>
      </c>
      <c r="H467" s="541">
        <f t="shared" si="23"/>
        <v>14446.556325730768</v>
      </c>
      <c r="I467" s="446"/>
    </row>
    <row r="468" spans="2:9" ht="26.1" hidden="1" customHeight="1" thickTop="1" thickBot="1" x14ac:dyDescent="0.4">
      <c r="B468" s="366"/>
      <c r="C468" s="452">
        <v>46142</v>
      </c>
      <c r="D468" s="451">
        <v>73</v>
      </c>
      <c r="E468" s="581" t="s">
        <v>907</v>
      </c>
      <c r="F468" s="539">
        <f t="shared" si="21"/>
        <v>298.02146150480763</v>
      </c>
      <c r="G468" s="540">
        <f t="shared" si="22"/>
        <v>24.835121792067302</v>
      </c>
      <c r="H468" s="541">
        <f t="shared" si="23"/>
        <v>14450.638811504807</v>
      </c>
      <c r="I468" s="446"/>
    </row>
    <row r="469" spans="2:9" ht="26.1" hidden="1" customHeight="1" thickTop="1" thickBot="1" x14ac:dyDescent="0.4">
      <c r="B469" s="366"/>
      <c r="C469" s="452">
        <v>46143</v>
      </c>
      <c r="D469" s="451">
        <v>74</v>
      </c>
      <c r="E469" s="581" t="s">
        <v>908</v>
      </c>
      <c r="F469" s="539">
        <f t="shared" si="21"/>
        <v>302.10394727884614</v>
      </c>
      <c r="G469" s="540">
        <f t="shared" si="22"/>
        <v>25.175328939903846</v>
      </c>
      <c r="H469" s="541">
        <f t="shared" si="23"/>
        <v>14454.721297278844</v>
      </c>
      <c r="I469" s="446"/>
    </row>
    <row r="470" spans="2:9" ht="26.1" hidden="1" customHeight="1" thickTop="1" thickBot="1" x14ac:dyDescent="0.4">
      <c r="B470" s="366"/>
      <c r="C470" s="452">
        <v>46144</v>
      </c>
      <c r="D470" s="451">
        <v>75</v>
      </c>
      <c r="E470" s="581" t="s">
        <v>909</v>
      </c>
      <c r="F470" s="539">
        <f t="shared" si="21"/>
        <v>306.18643305288458</v>
      </c>
      <c r="G470" s="540">
        <f t="shared" si="22"/>
        <v>25.515536087740383</v>
      </c>
      <c r="H470" s="541">
        <f t="shared" si="23"/>
        <v>14458.803783052883</v>
      </c>
      <c r="I470" s="446"/>
    </row>
    <row r="471" spans="2:9" ht="26.1" hidden="1" customHeight="1" thickTop="1" thickBot="1" x14ac:dyDescent="0.4">
      <c r="B471" s="366"/>
      <c r="C471" s="452">
        <v>46145</v>
      </c>
      <c r="D471" s="451">
        <v>76</v>
      </c>
      <c r="E471" s="581" t="s">
        <v>910</v>
      </c>
      <c r="F471" s="539">
        <f t="shared" si="21"/>
        <v>310.26891882692303</v>
      </c>
      <c r="G471" s="540">
        <f t="shared" si="22"/>
        <v>25.85574323557692</v>
      </c>
      <c r="H471" s="541">
        <f t="shared" si="23"/>
        <v>14462.886268826922</v>
      </c>
      <c r="I471" s="446"/>
    </row>
    <row r="472" spans="2:9" ht="26.1" hidden="1" customHeight="1" thickTop="1" thickBot="1" x14ac:dyDescent="0.4">
      <c r="B472" s="366"/>
      <c r="C472" s="452">
        <v>46146</v>
      </c>
      <c r="D472" s="451">
        <v>77</v>
      </c>
      <c r="E472" s="581" t="s">
        <v>904</v>
      </c>
      <c r="F472" s="539">
        <f t="shared" si="21"/>
        <v>314.35140460096147</v>
      </c>
      <c r="G472" s="540">
        <f t="shared" si="22"/>
        <v>26.195950383413457</v>
      </c>
      <c r="H472" s="541">
        <f t="shared" si="23"/>
        <v>14466.968754600961</v>
      </c>
      <c r="I472" s="446"/>
    </row>
    <row r="473" spans="2:9" ht="26.1" hidden="1" customHeight="1" thickTop="1" thickBot="1" x14ac:dyDescent="0.4">
      <c r="B473" s="366"/>
      <c r="C473" s="452">
        <v>46147</v>
      </c>
      <c r="D473" s="451">
        <v>78</v>
      </c>
      <c r="E473" s="581" t="s">
        <v>905</v>
      </c>
      <c r="F473" s="539">
        <f t="shared" si="21"/>
        <v>318.43389037499998</v>
      </c>
      <c r="G473" s="540">
        <f t="shared" si="22"/>
        <v>26.536157531249998</v>
      </c>
      <c r="H473" s="541">
        <f t="shared" si="23"/>
        <v>14471.051240374998</v>
      </c>
      <c r="I473" s="446"/>
    </row>
    <row r="474" spans="2:9" ht="26.1" hidden="1" customHeight="1" thickTop="1" thickBot="1" x14ac:dyDescent="0.4">
      <c r="B474" s="366"/>
      <c r="C474" s="452">
        <v>46148</v>
      </c>
      <c r="D474" s="451">
        <v>79</v>
      </c>
      <c r="E474" s="581" t="s">
        <v>906</v>
      </c>
      <c r="F474" s="539">
        <f t="shared" si="21"/>
        <v>322.51637614903842</v>
      </c>
      <c r="G474" s="540">
        <f t="shared" si="22"/>
        <v>26.876364679086535</v>
      </c>
      <c r="H474" s="541">
        <f t="shared" si="23"/>
        <v>14475.133726149037</v>
      </c>
      <c r="I474" s="446"/>
    </row>
    <row r="475" spans="2:9" ht="26.1" hidden="1" customHeight="1" thickTop="1" thickBot="1" x14ac:dyDescent="0.4">
      <c r="B475" s="366"/>
      <c r="C475" s="452">
        <v>46149</v>
      </c>
      <c r="D475" s="451">
        <v>80</v>
      </c>
      <c r="E475" s="581" t="s">
        <v>907</v>
      </c>
      <c r="F475" s="539">
        <f t="shared" si="21"/>
        <v>326.59886192307687</v>
      </c>
      <c r="G475" s="540">
        <f t="shared" si="22"/>
        <v>27.216571826923072</v>
      </c>
      <c r="H475" s="541">
        <f t="shared" si="23"/>
        <v>14479.216211923076</v>
      </c>
      <c r="I475" s="446"/>
    </row>
    <row r="476" spans="2:9" ht="26.1" hidden="1" customHeight="1" thickTop="1" thickBot="1" x14ac:dyDescent="0.4">
      <c r="B476" s="366"/>
      <c r="C476" s="452">
        <v>46150</v>
      </c>
      <c r="D476" s="451">
        <v>81</v>
      </c>
      <c r="E476" s="581" t="s">
        <v>908</v>
      </c>
      <c r="F476" s="539">
        <f t="shared" si="21"/>
        <v>330.68134769711537</v>
      </c>
      <c r="G476" s="540">
        <f t="shared" si="22"/>
        <v>27.556778974759613</v>
      </c>
      <c r="H476" s="541">
        <f t="shared" si="23"/>
        <v>14483.298697697113</v>
      </c>
      <c r="I476" s="446"/>
    </row>
    <row r="477" spans="2:9" ht="26.1" hidden="1" customHeight="1" thickTop="1" thickBot="1" x14ac:dyDescent="0.4">
      <c r="B477" s="366"/>
      <c r="C477" s="452">
        <v>46151</v>
      </c>
      <c r="D477" s="451">
        <v>82</v>
      </c>
      <c r="E477" s="581" t="s">
        <v>909</v>
      </c>
      <c r="F477" s="539">
        <f t="shared" si="21"/>
        <v>334.76383347115382</v>
      </c>
      <c r="G477" s="540">
        <f t="shared" si="22"/>
        <v>27.89698612259615</v>
      </c>
      <c r="H477" s="541">
        <f t="shared" si="23"/>
        <v>14487.381183471152</v>
      </c>
      <c r="I477" s="446"/>
    </row>
    <row r="478" spans="2:9" ht="26.1" hidden="1" customHeight="1" thickTop="1" thickBot="1" x14ac:dyDescent="0.4">
      <c r="B478" s="366"/>
      <c r="C478" s="452">
        <v>46152</v>
      </c>
      <c r="D478" s="451">
        <v>83</v>
      </c>
      <c r="E478" s="581" t="s">
        <v>910</v>
      </c>
      <c r="F478" s="539">
        <f t="shared" si="21"/>
        <v>338.84631924519226</v>
      </c>
      <c r="G478" s="540">
        <f t="shared" si="22"/>
        <v>28.237193270432687</v>
      </c>
      <c r="H478" s="541">
        <f t="shared" si="23"/>
        <v>14491.463669245191</v>
      </c>
      <c r="I478" s="446"/>
    </row>
    <row r="479" spans="2:9" ht="26.1" hidden="1" customHeight="1" thickTop="1" thickBot="1" x14ac:dyDescent="0.4">
      <c r="B479" s="366"/>
      <c r="C479" s="452">
        <v>46153</v>
      </c>
      <c r="D479" s="451">
        <v>84</v>
      </c>
      <c r="E479" s="581" t="s">
        <v>904</v>
      </c>
      <c r="F479" s="539">
        <f t="shared" si="21"/>
        <v>342.92880501923071</v>
      </c>
      <c r="G479" s="540">
        <f t="shared" si="22"/>
        <v>28.577400418269225</v>
      </c>
      <c r="H479" s="541">
        <f t="shared" si="23"/>
        <v>14495.546155019229</v>
      </c>
      <c r="I479" s="446"/>
    </row>
    <row r="480" spans="2:9" ht="26.1" hidden="1" customHeight="1" thickTop="1" thickBot="1" x14ac:dyDescent="0.4">
      <c r="B480" s="366"/>
      <c r="C480" s="452">
        <v>46154</v>
      </c>
      <c r="D480" s="451">
        <v>85</v>
      </c>
      <c r="E480" s="581" t="s">
        <v>905</v>
      </c>
      <c r="F480" s="539">
        <f t="shared" si="21"/>
        <v>347.01129079326921</v>
      </c>
      <c r="G480" s="540">
        <f t="shared" si="22"/>
        <v>28.917607566105769</v>
      </c>
      <c r="H480" s="541">
        <f t="shared" si="23"/>
        <v>14499.628640793268</v>
      </c>
      <c r="I480" s="446"/>
    </row>
    <row r="481" spans="2:9" ht="26.1" hidden="1" customHeight="1" thickTop="1" thickBot="1" x14ac:dyDescent="0.4">
      <c r="B481" s="366"/>
      <c r="C481" s="452">
        <v>46155</v>
      </c>
      <c r="D481" s="451">
        <v>86</v>
      </c>
      <c r="E481" s="581" t="s">
        <v>906</v>
      </c>
      <c r="F481" s="539">
        <f t="shared" si="21"/>
        <v>351.09377656730766</v>
      </c>
      <c r="G481" s="540">
        <f t="shared" si="22"/>
        <v>29.257814713942306</v>
      </c>
      <c r="H481" s="541">
        <f t="shared" si="23"/>
        <v>14503.711126567307</v>
      </c>
      <c r="I481" s="446"/>
    </row>
    <row r="482" spans="2:9" ht="26.1" hidden="1" customHeight="1" thickTop="1" thickBot="1" x14ac:dyDescent="0.4">
      <c r="B482" s="366"/>
      <c r="C482" s="452">
        <v>46156</v>
      </c>
      <c r="D482" s="451">
        <v>87</v>
      </c>
      <c r="E482" s="581" t="s">
        <v>907</v>
      </c>
      <c r="F482" s="539">
        <f t="shared" si="21"/>
        <v>355.1762623413461</v>
      </c>
      <c r="G482" s="540">
        <f t="shared" si="22"/>
        <v>29.598021861778843</v>
      </c>
      <c r="H482" s="541">
        <f t="shared" si="23"/>
        <v>14507.793612341346</v>
      </c>
      <c r="I482" s="446"/>
    </row>
    <row r="483" spans="2:9" ht="26.1" hidden="1" customHeight="1" thickTop="1" thickBot="1" x14ac:dyDescent="0.4">
      <c r="B483" s="366"/>
      <c r="C483" s="452">
        <v>46157</v>
      </c>
      <c r="D483" s="451">
        <v>88</v>
      </c>
      <c r="E483" s="581" t="s">
        <v>908</v>
      </c>
      <c r="F483" s="539">
        <f t="shared" si="21"/>
        <v>359.25874811538455</v>
      </c>
      <c r="G483" s="540">
        <f t="shared" si="22"/>
        <v>29.93822900961538</v>
      </c>
      <c r="H483" s="541">
        <f t="shared" si="23"/>
        <v>14511.876098115383</v>
      </c>
      <c r="I483" s="446"/>
    </row>
    <row r="484" spans="2:9" ht="26.1" hidden="1" customHeight="1" thickTop="1" thickBot="1" x14ac:dyDescent="0.4">
      <c r="B484" s="366"/>
      <c r="C484" s="452">
        <v>46158</v>
      </c>
      <c r="D484" s="451">
        <v>89</v>
      </c>
      <c r="E484" s="581" t="s">
        <v>909</v>
      </c>
      <c r="F484" s="539">
        <f t="shared" si="21"/>
        <v>363.34123388942305</v>
      </c>
      <c r="G484" s="540">
        <f t="shared" si="22"/>
        <v>30.278436157451921</v>
      </c>
      <c r="H484" s="541">
        <f t="shared" si="23"/>
        <v>14515.958583889422</v>
      </c>
      <c r="I484" s="446"/>
    </row>
    <row r="485" spans="2:9" ht="26.1" hidden="1" customHeight="1" thickTop="1" thickBot="1" x14ac:dyDescent="0.4">
      <c r="B485" s="366"/>
      <c r="C485" s="452">
        <v>46159</v>
      </c>
      <c r="D485" s="451">
        <v>90</v>
      </c>
      <c r="E485" s="581" t="s">
        <v>910</v>
      </c>
      <c r="F485" s="539">
        <f t="shared" si="21"/>
        <v>367.4237196634615</v>
      </c>
      <c r="G485" s="540">
        <f t="shared" si="22"/>
        <v>30.618643305288458</v>
      </c>
      <c r="H485" s="541">
        <f t="shared" si="23"/>
        <v>14520.041069663461</v>
      </c>
      <c r="I485" s="446"/>
    </row>
    <row r="486" spans="2:9" ht="26.1" hidden="1" customHeight="1" thickTop="1" thickBot="1" x14ac:dyDescent="0.4">
      <c r="B486" s="366"/>
      <c r="C486" s="452">
        <v>46160</v>
      </c>
      <c r="D486" s="451">
        <v>91</v>
      </c>
      <c r="E486" s="581" t="s">
        <v>904</v>
      </c>
      <c r="F486" s="539">
        <f t="shared" si="21"/>
        <v>371.50620543749994</v>
      </c>
      <c r="G486" s="540">
        <f t="shared" si="22"/>
        <v>30.958850453124995</v>
      </c>
      <c r="H486" s="541">
        <f t="shared" si="23"/>
        <v>14524.123555437498</v>
      </c>
      <c r="I486" s="446"/>
    </row>
    <row r="487" spans="2:9" ht="26.1" hidden="1" customHeight="1" thickTop="1" thickBot="1" x14ac:dyDescent="0.4">
      <c r="B487" s="366"/>
      <c r="C487" s="452">
        <v>46161</v>
      </c>
      <c r="D487" s="451">
        <v>92</v>
      </c>
      <c r="E487" s="581" t="s">
        <v>905</v>
      </c>
      <c r="F487" s="539">
        <f t="shared" si="21"/>
        <v>375.58869121153839</v>
      </c>
      <c r="G487" s="540">
        <f t="shared" si="22"/>
        <v>31.299057600961532</v>
      </c>
      <c r="H487" s="541">
        <f t="shared" si="23"/>
        <v>14528.206041211537</v>
      </c>
      <c r="I487" s="446"/>
    </row>
    <row r="488" spans="2:9" ht="26.1" hidden="1" customHeight="1" thickTop="1" thickBot="1" x14ac:dyDescent="0.4">
      <c r="B488" s="366"/>
      <c r="C488" s="452">
        <v>46162</v>
      </c>
      <c r="D488" s="451">
        <v>93</v>
      </c>
      <c r="E488" s="581" t="s">
        <v>906</v>
      </c>
      <c r="F488" s="539">
        <f t="shared" si="21"/>
        <v>379.67117698557689</v>
      </c>
      <c r="G488" s="540">
        <f t="shared" si="22"/>
        <v>31.639264748798073</v>
      </c>
      <c r="H488" s="541">
        <f t="shared" si="23"/>
        <v>14532.288526985576</v>
      </c>
      <c r="I488" s="446"/>
    </row>
    <row r="489" spans="2:9" ht="26.1" hidden="1" customHeight="1" thickTop="1" thickBot="1" x14ac:dyDescent="0.4">
      <c r="B489" s="366"/>
      <c r="C489" s="452">
        <v>46163</v>
      </c>
      <c r="D489" s="451">
        <v>94</v>
      </c>
      <c r="E489" s="581" t="s">
        <v>907</v>
      </c>
      <c r="F489" s="539">
        <f t="shared" si="21"/>
        <v>383.75366275961534</v>
      </c>
      <c r="G489" s="540">
        <f t="shared" si="22"/>
        <v>31.97947189663461</v>
      </c>
      <c r="H489" s="541">
        <f t="shared" si="23"/>
        <v>14536.371012759613</v>
      </c>
      <c r="I489" s="446"/>
    </row>
    <row r="490" spans="2:9" ht="26.1" hidden="1" customHeight="1" thickTop="1" thickBot="1" x14ac:dyDescent="0.4">
      <c r="B490" s="366"/>
      <c r="C490" s="452">
        <v>46164</v>
      </c>
      <c r="D490" s="451">
        <v>95</v>
      </c>
      <c r="E490" s="581" t="s">
        <v>908</v>
      </c>
      <c r="F490" s="539">
        <f t="shared" si="21"/>
        <v>387.83614853365378</v>
      </c>
      <c r="G490" s="540">
        <f t="shared" si="22"/>
        <v>32.319679044471151</v>
      </c>
      <c r="H490" s="541">
        <f t="shared" si="23"/>
        <v>14540.453498533652</v>
      </c>
      <c r="I490" s="446"/>
    </row>
    <row r="491" spans="2:9" ht="26.1" hidden="1" customHeight="1" thickTop="1" thickBot="1" x14ac:dyDescent="0.4">
      <c r="B491" s="366"/>
      <c r="C491" s="452">
        <v>46165</v>
      </c>
      <c r="D491" s="451">
        <v>96</v>
      </c>
      <c r="E491" s="581" t="s">
        <v>909</v>
      </c>
      <c r="F491" s="539">
        <f t="shared" si="21"/>
        <v>391.91863430769229</v>
      </c>
      <c r="G491" s="540">
        <f t="shared" si="22"/>
        <v>32.659886192307688</v>
      </c>
      <c r="H491" s="541">
        <f t="shared" si="23"/>
        <v>14544.535984307691</v>
      </c>
      <c r="I491" s="446"/>
    </row>
    <row r="492" spans="2:9" ht="26.1" hidden="1" customHeight="1" thickTop="1" thickBot="1" x14ac:dyDescent="0.4">
      <c r="B492" s="366"/>
      <c r="C492" s="452">
        <v>46166</v>
      </c>
      <c r="D492" s="451">
        <v>97</v>
      </c>
      <c r="E492" s="581" t="s">
        <v>910</v>
      </c>
      <c r="F492" s="539">
        <f t="shared" si="21"/>
        <v>396.00112008173073</v>
      </c>
      <c r="G492" s="540">
        <f t="shared" si="22"/>
        <v>33.000093340144225</v>
      </c>
      <c r="H492" s="541">
        <f t="shared" si="23"/>
        <v>14548.618470081728</v>
      </c>
      <c r="I492" s="446"/>
    </row>
    <row r="493" spans="2:9" ht="26.1" hidden="1" customHeight="1" thickTop="1" thickBot="1" x14ac:dyDescent="0.4">
      <c r="B493" s="366"/>
      <c r="C493" s="452">
        <v>46167</v>
      </c>
      <c r="D493" s="451">
        <v>98</v>
      </c>
      <c r="E493" s="581" t="s">
        <v>904</v>
      </c>
      <c r="F493" s="539">
        <f t="shared" si="21"/>
        <v>400.08360585576918</v>
      </c>
      <c r="G493" s="540">
        <f t="shared" si="22"/>
        <v>33.340300487980763</v>
      </c>
      <c r="H493" s="541">
        <f t="shared" si="23"/>
        <v>14552.700955855767</v>
      </c>
      <c r="I493" s="446"/>
    </row>
    <row r="494" spans="2:9" ht="26.1" hidden="1" customHeight="1" thickTop="1" thickBot="1" x14ac:dyDescent="0.4">
      <c r="B494" s="366"/>
      <c r="C494" s="452">
        <v>46168</v>
      </c>
      <c r="D494" s="451">
        <v>99</v>
      </c>
      <c r="E494" s="581" t="s">
        <v>905</v>
      </c>
      <c r="F494" s="539">
        <f t="shared" si="21"/>
        <v>404.16609162980762</v>
      </c>
      <c r="G494" s="540">
        <f t="shared" si="22"/>
        <v>33.6805076358173</v>
      </c>
      <c r="H494" s="541">
        <f t="shared" si="23"/>
        <v>14556.783441629806</v>
      </c>
      <c r="I494" s="446"/>
    </row>
    <row r="495" spans="2:9" ht="26.1" hidden="1" customHeight="1" thickTop="1" thickBot="1" x14ac:dyDescent="0.4">
      <c r="B495" s="366"/>
      <c r="C495" s="452">
        <v>46169</v>
      </c>
      <c r="D495" s="451">
        <v>100</v>
      </c>
      <c r="E495" s="581" t="s">
        <v>906</v>
      </c>
      <c r="F495" s="539">
        <f t="shared" si="21"/>
        <v>408.24857740384613</v>
      </c>
      <c r="G495" s="540">
        <f t="shared" si="22"/>
        <v>34.020714783653844</v>
      </c>
      <c r="H495" s="541">
        <f t="shared" si="23"/>
        <v>14560.865927403845</v>
      </c>
      <c r="I495" s="446"/>
    </row>
    <row r="496" spans="2:9" ht="26.1" hidden="1" customHeight="1" thickTop="1" thickBot="1" x14ac:dyDescent="0.4">
      <c r="B496" s="366"/>
      <c r="C496" s="452">
        <v>46170</v>
      </c>
      <c r="D496" s="451">
        <v>101</v>
      </c>
      <c r="E496" s="581" t="s">
        <v>907</v>
      </c>
      <c r="F496" s="539">
        <f t="shared" si="21"/>
        <v>412.33106317788457</v>
      </c>
      <c r="G496" s="540">
        <f t="shared" si="22"/>
        <v>34.360921931490381</v>
      </c>
      <c r="H496" s="541">
        <f t="shared" si="23"/>
        <v>14564.948413177883</v>
      </c>
      <c r="I496" s="446"/>
    </row>
    <row r="497" spans="2:9" ht="26.1" hidden="1" customHeight="1" thickTop="1" thickBot="1" x14ac:dyDescent="0.4">
      <c r="B497" s="366"/>
      <c r="C497" s="452">
        <v>46171</v>
      </c>
      <c r="D497" s="451">
        <v>102</v>
      </c>
      <c r="E497" s="581" t="s">
        <v>908</v>
      </c>
      <c r="F497" s="539">
        <f t="shared" si="21"/>
        <v>416.41354895192302</v>
      </c>
      <c r="G497" s="540">
        <f t="shared" si="22"/>
        <v>34.701129079326918</v>
      </c>
      <c r="H497" s="541">
        <f t="shared" si="23"/>
        <v>14569.030898951922</v>
      </c>
      <c r="I497" s="446"/>
    </row>
    <row r="498" spans="2:9" ht="26.1" hidden="1" customHeight="1" thickTop="1" thickBot="1" x14ac:dyDescent="0.4">
      <c r="B498" s="366"/>
      <c r="C498" s="452">
        <v>46172</v>
      </c>
      <c r="D498" s="451">
        <v>103</v>
      </c>
      <c r="E498" s="581" t="s">
        <v>909</v>
      </c>
      <c r="F498" s="539">
        <f t="shared" si="21"/>
        <v>420.49603472596147</v>
      </c>
      <c r="G498" s="540">
        <f t="shared" si="22"/>
        <v>35.041336227163455</v>
      </c>
      <c r="H498" s="541">
        <f t="shared" si="23"/>
        <v>14573.113384725961</v>
      </c>
      <c r="I498" s="446"/>
    </row>
    <row r="499" spans="2:9" ht="26.1" hidden="1" customHeight="1" thickTop="1" thickBot="1" x14ac:dyDescent="0.4">
      <c r="B499" s="366"/>
      <c r="C499" s="452">
        <v>46173</v>
      </c>
      <c r="D499" s="451">
        <v>104</v>
      </c>
      <c r="E499" s="581" t="s">
        <v>910</v>
      </c>
      <c r="F499" s="539">
        <f t="shared" si="21"/>
        <v>424.57852049999997</v>
      </c>
      <c r="G499" s="540">
        <f t="shared" si="22"/>
        <v>35.381543375</v>
      </c>
      <c r="H499" s="541">
        <f t="shared" si="23"/>
        <v>14577.195870499998</v>
      </c>
      <c r="I499" s="446"/>
    </row>
    <row r="500" spans="2:9" ht="26.1" hidden="1" customHeight="1" thickTop="1" thickBot="1" x14ac:dyDescent="0.4">
      <c r="B500" s="366"/>
      <c r="C500" s="452">
        <v>46174</v>
      </c>
      <c r="D500" s="451">
        <v>105</v>
      </c>
      <c r="E500" s="581" t="s">
        <v>904</v>
      </c>
      <c r="F500" s="539">
        <f t="shared" si="21"/>
        <v>428.66100627403841</v>
      </c>
      <c r="G500" s="540">
        <f t="shared" si="22"/>
        <v>35.721750522836537</v>
      </c>
      <c r="H500" s="541">
        <f t="shared" si="23"/>
        <v>14581.278356274037</v>
      </c>
      <c r="I500" s="446"/>
    </row>
    <row r="501" spans="2:9" ht="26.1" hidden="1" customHeight="1" thickTop="1" thickBot="1" x14ac:dyDescent="0.4">
      <c r="B501" s="366"/>
      <c r="C501" s="452">
        <v>46175</v>
      </c>
      <c r="D501" s="451">
        <v>106</v>
      </c>
      <c r="E501" s="581" t="s">
        <v>905</v>
      </c>
      <c r="F501" s="539">
        <f t="shared" si="21"/>
        <v>432.74349204807686</v>
      </c>
      <c r="G501" s="540">
        <f t="shared" si="22"/>
        <v>36.061957670673074</v>
      </c>
      <c r="H501" s="541">
        <f t="shared" si="23"/>
        <v>14585.360842048076</v>
      </c>
      <c r="I501" s="446"/>
    </row>
    <row r="502" spans="2:9" ht="26.1" hidden="1" customHeight="1" thickTop="1" thickBot="1" x14ac:dyDescent="0.4">
      <c r="B502" s="366"/>
      <c r="C502" s="452">
        <v>46176</v>
      </c>
      <c r="D502" s="451">
        <v>107</v>
      </c>
      <c r="E502" s="581" t="s">
        <v>906</v>
      </c>
      <c r="F502" s="539">
        <f t="shared" si="21"/>
        <v>436.82597782211531</v>
      </c>
      <c r="G502" s="540">
        <f t="shared" si="22"/>
        <v>36.402164818509611</v>
      </c>
      <c r="H502" s="541">
        <f t="shared" si="23"/>
        <v>14589.443327822113</v>
      </c>
      <c r="I502" s="446"/>
    </row>
    <row r="503" spans="2:9" ht="26.1" hidden="1" customHeight="1" thickTop="1" thickBot="1" x14ac:dyDescent="0.4">
      <c r="B503" s="366"/>
      <c r="C503" s="452">
        <v>46177</v>
      </c>
      <c r="D503" s="451">
        <v>108</v>
      </c>
      <c r="E503" s="581" t="s">
        <v>907</v>
      </c>
      <c r="F503" s="539">
        <f t="shared" si="21"/>
        <v>440.90846359615381</v>
      </c>
      <c r="G503" s="540">
        <f t="shared" si="22"/>
        <v>36.742371966346148</v>
      </c>
      <c r="H503" s="541">
        <f t="shared" si="23"/>
        <v>14593.525813596152</v>
      </c>
      <c r="I503" s="446"/>
    </row>
    <row r="504" spans="2:9" ht="26.1" hidden="1" customHeight="1" thickTop="1" thickBot="1" x14ac:dyDescent="0.4">
      <c r="B504" s="366"/>
      <c r="C504" s="452">
        <v>46178</v>
      </c>
      <c r="D504" s="451">
        <v>109</v>
      </c>
      <c r="E504" s="581" t="s">
        <v>908</v>
      </c>
      <c r="F504" s="539">
        <f t="shared" si="21"/>
        <v>444.99094937019225</v>
      </c>
      <c r="G504" s="540">
        <f t="shared" si="22"/>
        <v>37.082579114182685</v>
      </c>
      <c r="H504" s="541">
        <f t="shared" si="23"/>
        <v>14597.608299370191</v>
      </c>
      <c r="I504" s="446"/>
    </row>
    <row r="505" spans="2:9" ht="26.1" hidden="1" customHeight="1" thickTop="1" thickBot="1" x14ac:dyDescent="0.4">
      <c r="B505" s="366"/>
      <c r="C505" s="452">
        <v>46179</v>
      </c>
      <c r="D505" s="451">
        <v>110</v>
      </c>
      <c r="E505" s="581" t="s">
        <v>909</v>
      </c>
      <c r="F505" s="539">
        <f t="shared" si="21"/>
        <v>449.0734351442307</v>
      </c>
      <c r="G505" s="540">
        <f t="shared" si="22"/>
        <v>37.422786262019223</v>
      </c>
      <c r="H505" s="541">
        <f t="shared" si="23"/>
        <v>14601.69078514423</v>
      </c>
      <c r="I505" s="446"/>
    </row>
    <row r="506" spans="2:9" ht="26.1" hidden="1" customHeight="1" thickTop="1" thickBot="1" x14ac:dyDescent="0.4">
      <c r="B506" s="366"/>
      <c r="C506" s="452">
        <v>46180</v>
      </c>
      <c r="D506" s="451">
        <v>111</v>
      </c>
      <c r="E506" s="581" t="s">
        <v>910</v>
      </c>
      <c r="F506" s="539">
        <f t="shared" si="21"/>
        <v>453.15592091826915</v>
      </c>
      <c r="G506" s="540">
        <f t="shared" si="22"/>
        <v>37.76299340985576</v>
      </c>
      <c r="H506" s="541">
        <f t="shared" si="23"/>
        <v>14605.773270918267</v>
      </c>
      <c r="I506" s="446"/>
    </row>
    <row r="507" spans="2:9" ht="26.1" hidden="1" customHeight="1" thickTop="1" thickBot="1" x14ac:dyDescent="0.4">
      <c r="B507" s="366"/>
      <c r="C507" s="452">
        <v>46181</v>
      </c>
      <c r="D507" s="451">
        <v>112</v>
      </c>
      <c r="E507" s="581" t="s">
        <v>904</v>
      </c>
      <c r="F507" s="539">
        <f t="shared" si="21"/>
        <v>457.23840669230765</v>
      </c>
      <c r="G507" s="540">
        <f t="shared" si="22"/>
        <v>38.103200557692304</v>
      </c>
      <c r="H507" s="541">
        <f t="shared" si="23"/>
        <v>14609.855756692306</v>
      </c>
      <c r="I507" s="446"/>
    </row>
    <row r="508" spans="2:9" ht="26.1" hidden="1" customHeight="1" thickTop="1" thickBot="1" x14ac:dyDescent="0.4">
      <c r="B508" s="366"/>
      <c r="C508" s="452">
        <v>46182</v>
      </c>
      <c r="D508" s="451">
        <v>113</v>
      </c>
      <c r="E508" s="581" t="s">
        <v>905</v>
      </c>
      <c r="F508" s="539">
        <f t="shared" si="21"/>
        <v>461.32089246634609</v>
      </c>
      <c r="G508" s="540">
        <f t="shared" si="22"/>
        <v>38.443407705528841</v>
      </c>
      <c r="H508" s="541">
        <f t="shared" si="23"/>
        <v>14613.938242466345</v>
      </c>
      <c r="I508" s="446"/>
    </row>
    <row r="509" spans="2:9" ht="26.1" hidden="1" customHeight="1" thickTop="1" thickBot="1" x14ac:dyDescent="0.4">
      <c r="B509" s="366"/>
      <c r="C509" s="452">
        <v>46183</v>
      </c>
      <c r="D509" s="451">
        <v>114</v>
      </c>
      <c r="E509" s="581" t="s">
        <v>906</v>
      </c>
      <c r="F509" s="539">
        <f t="shared" si="21"/>
        <v>465.40337824038454</v>
      </c>
      <c r="G509" s="540">
        <f t="shared" si="22"/>
        <v>38.783614853365378</v>
      </c>
      <c r="H509" s="541">
        <f t="shared" si="23"/>
        <v>14618.020728240383</v>
      </c>
      <c r="I509" s="446"/>
    </row>
    <row r="510" spans="2:9" ht="26.1" hidden="1" customHeight="1" thickTop="1" thickBot="1" x14ac:dyDescent="0.4">
      <c r="B510" s="366"/>
      <c r="C510" s="452">
        <v>46184</v>
      </c>
      <c r="D510" s="451">
        <v>115</v>
      </c>
      <c r="E510" s="581" t="s">
        <v>907</v>
      </c>
      <c r="F510" s="539">
        <f t="shared" si="21"/>
        <v>469.48586401442304</v>
      </c>
      <c r="G510" s="540">
        <f t="shared" si="22"/>
        <v>39.123822001201923</v>
      </c>
      <c r="H510" s="541">
        <f t="shared" si="23"/>
        <v>14622.103214014422</v>
      </c>
      <c r="I510" s="446"/>
    </row>
    <row r="511" spans="2:9" ht="26.1" hidden="1" customHeight="1" thickTop="1" thickBot="1" x14ac:dyDescent="0.4">
      <c r="B511" s="366"/>
      <c r="C511" s="452">
        <v>46185</v>
      </c>
      <c r="D511" s="451">
        <v>116</v>
      </c>
      <c r="E511" s="581" t="s">
        <v>908</v>
      </c>
      <c r="F511" s="539">
        <f t="shared" si="21"/>
        <v>473.56834978846149</v>
      </c>
      <c r="G511" s="540">
        <f t="shared" si="22"/>
        <v>39.46402914903846</v>
      </c>
      <c r="H511" s="541">
        <f t="shared" si="23"/>
        <v>14626.185699788461</v>
      </c>
      <c r="I511" s="446"/>
    </row>
    <row r="512" spans="2:9" ht="26.1" hidden="1" customHeight="1" thickTop="1" thickBot="1" x14ac:dyDescent="0.4">
      <c r="B512" s="366"/>
      <c r="C512" s="452">
        <v>46186</v>
      </c>
      <c r="D512" s="451">
        <v>117</v>
      </c>
      <c r="E512" s="581" t="s">
        <v>909</v>
      </c>
      <c r="F512" s="539">
        <f t="shared" si="21"/>
        <v>477.65083556249994</v>
      </c>
      <c r="G512" s="540">
        <f t="shared" si="22"/>
        <v>39.804236296874997</v>
      </c>
      <c r="H512" s="541">
        <f t="shared" si="23"/>
        <v>14630.268185562498</v>
      </c>
      <c r="I512" s="446"/>
    </row>
    <row r="513" spans="2:9" ht="26.1" hidden="1" customHeight="1" thickTop="1" thickBot="1" x14ac:dyDescent="0.4">
      <c r="B513" s="366"/>
      <c r="C513" s="452">
        <v>46187</v>
      </c>
      <c r="D513" s="451">
        <v>118</v>
      </c>
      <c r="E513" s="581" t="s">
        <v>910</v>
      </c>
      <c r="F513" s="539">
        <f t="shared" si="21"/>
        <v>481.73332133653838</v>
      </c>
      <c r="G513" s="540">
        <f t="shared" si="22"/>
        <v>40.144443444711534</v>
      </c>
      <c r="H513" s="541">
        <f t="shared" si="23"/>
        <v>14634.350671336537</v>
      </c>
      <c r="I513" s="446"/>
    </row>
    <row r="514" spans="2:9" ht="26.1" hidden="1" customHeight="1" thickTop="1" thickBot="1" x14ac:dyDescent="0.4">
      <c r="B514" s="366"/>
      <c r="C514" s="452">
        <v>46188</v>
      </c>
      <c r="D514" s="451">
        <v>119</v>
      </c>
      <c r="E514" s="581" t="s">
        <v>904</v>
      </c>
      <c r="F514" s="539">
        <f t="shared" si="21"/>
        <v>485.81580711057688</v>
      </c>
      <c r="G514" s="540">
        <f t="shared" si="22"/>
        <v>40.484650592548071</v>
      </c>
      <c r="H514" s="541">
        <f t="shared" si="23"/>
        <v>14638.433157110576</v>
      </c>
      <c r="I514" s="446"/>
    </row>
    <row r="515" spans="2:9" ht="26.1" hidden="1" customHeight="1" thickTop="1" thickBot="1" x14ac:dyDescent="0.4">
      <c r="B515" s="366"/>
      <c r="C515" s="452">
        <v>46189</v>
      </c>
      <c r="D515" s="451">
        <v>120</v>
      </c>
      <c r="E515" s="581" t="s">
        <v>905</v>
      </c>
      <c r="F515" s="539">
        <f t="shared" si="21"/>
        <v>489.89829288461533</v>
      </c>
      <c r="G515" s="540">
        <f t="shared" si="22"/>
        <v>40.824857740384608</v>
      </c>
      <c r="H515" s="541">
        <f t="shared" si="23"/>
        <v>14642.515642884613</v>
      </c>
      <c r="I515" s="446"/>
    </row>
    <row r="516" spans="2:9" ht="26.1" hidden="1" customHeight="1" thickTop="1" thickBot="1" x14ac:dyDescent="0.4">
      <c r="B516" s="366"/>
      <c r="C516" s="452">
        <v>46190</v>
      </c>
      <c r="D516" s="451">
        <v>121</v>
      </c>
      <c r="E516" s="581" t="s">
        <v>906</v>
      </c>
      <c r="F516" s="539">
        <f t="shared" si="21"/>
        <v>493.98077865865378</v>
      </c>
      <c r="G516" s="540">
        <f t="shared" si="22"/>
        <v>41.165064888221146</v>
      </c>
      <c r="H516" s="541">
        <f t="shared" si="23"/>
        <v>14646.598128658652</v>
      </c>
      <c r="I516" s="446"/>
    </row>
    <row r="517" spans="2:9" ht="26.1" hidden="1" customHeight="1" thickTop="1" thickBot="1" x14ac:dyDescent="0.4">
      <c r="B517" s="366"/>
      <c r="C517" s="452">
        <v>46191</v>
      </c>
      <c r="D517" s="451">
        <v>122</v>
      </c>
      <c r="E517" s="581" t="s">
        <v>907</v>
      </c>
      <c r="F517" s="539">
        <f t="shared" si="21"/>
        <v>498.06326443269222</v>
      </c>
      <c r="G517" s="540">
        <f t="shared" si="22"/>
        <v>41.505272036057683</v>
      </c>
      <c r="H517" s="541">
        <f t="shared" si="23"/>
        <v>14650.680614432691</v>
      </c>
      <c r="I517" s="446"/>
    </row>
    <row r="518" spans="2:9" ht="26.1" hidden="1" customHeight="1" thickTop="1" thickBot="1" x14ac:dyDescent="0.4">
      <c r="B518" s="366"/>
      <c r="C518" s="452">
        <v>46192</v>
      </c>
      <c r="D518" s="451">
        <v>123</v>
      </c>
      <c r="E518" s="581" t="s">
        <v>908</v>
      </c>
      <c r="F518" s="539">
        <f t="shared" si="21"/>
        <v>502.14575020673072</v>
      </c>
      <c r="G518" s="540">
        <f t="shared" si="22"/>
        <v>41.845479183894227</v>
      </c>
      <c r="H518" s="541">
        <f t="shared" si="23"/>
        <v>14654.76310020673</v>
      </c>
      <c r="I518" s="446"/>
    </row>
    <row r="519" spans="2:9" ht="26.1" hidden="1" customHeight="1" thickTop="1" thickBot="1" x14ac:dyDescent="0.4">
      <c r="B519" s="366"/>
      <c r="C519" s="452">
        <v>46193</v>
      </c>
      <c r="D519" s="451">
        <v>124</v>
      </c>
      <c r="E519" s="581" t="s">
        <v>909</v>
      </c>
      <c r="F519" s="539">
        <f t="shared" si="21"/>
        <v>506.22823598076917</v>
      </c>
      <c r="G519" s="540">
        <f t="shared" si="22"/>
        <v>42.185686331730764</v>
      </c>
      <c r="H519" s="541">
        <f t="shared" si="23"/>
        <v>14658.845585980767</v>
      </c>
      <c r="I519" s="446"/>
    </row>
    <row r="520" spans="2:9" ht="26.1" hidden="1" customHeight="1" thickTop="1" thickBot="1" x14ac:dyDescent="0.4">
      <c r="B520" s="366"/>
      <c r="C520" s="452">
        <v>46194</v>
      </c>
      <c r="D520" s="451">
        <v>125</v>
      </c>
      <c r="E520" s="581" t="s">
        <v>910</v>
      </c>
      <c r="F520" s="539">
        <f t="shared" si="21"/>
        <v>510.31072175480762</v>
      </c>
      <c r="G520" s="540">
        <f t="shared" si="22"/>
        <v>42.525893479567301</v>
      </c>
      <c r="H520" s="541">
        <f t="shared" si="23"/>
        <v>14662.928071754806</v>
      </c>
      <c r="I520" s="446"/>
    </row>
    <row r="521" spans="2:9" ht="26.1" hidden="1" customHeight="1" thickTop="1" thickBot="1" x14ac:dyDescent="0.4">
      <c r="B521" s="366"/>
      <c r="C521" s="452">
        <v>46195</v>
      </c>
      <c r="D521" s="451">
        <v>126</v>
      </c>
      <c r="E521" s="581" t="s">
        <v>904</v>
      </c>
      <c r="F521" s="539">
        <f t="shared" si="21"/>
        <v>514.39320752884612</v>
      </c>
      <c r="G521" s="540">
        <f t="shared" si="22"/>
        <v>42.866100627403846</v>
      </c>
      <c r="H521" s="541">
        <f t="shared" si="23"/>
        <v>14667.010557528845</v>
      </c>
      <c r="I521" s="446"/>
    </row>
    <row r="522" spans="2:9" ht="26.1" hidden="1" customHeight="1" thickTop="1" thickBot="1" x14ac:dyDescent="0.4">
      <c r="B522" s="366"/>
      <c r="C522" s="452">
        <v>46196</v>
      </c>
      <c r="D522" s="451">
        <v>127</v>
      </c>
      <c r="E522" s="581" t="s">
        <v>905</v>
      </c>
      <c r="F522" s="539">
        <f t="shared" si="21"/>
        <v>518.47569330288457</v>
      </c>
      <c r="G522" s="540">
        <f t="shared" si="22"/>
        <v>43.206307775240383</v>
      </c>
      <c r="H522" s="541">
        <f t="shared" si="23"/>
        <v>14671.093043302883</v>
      </c>
      <c r="I522" s="446"/>
    </row>
    <row r="523" spans="2:9" ht="26.1" hidden="1" customHeight="1" thickTop="1" thickBot="1" x14ac:dyDescent="0.4">
      <c r="B523" s="366"/>
      <c r="C523" s="452">
        <v>46197</v>
      </c>
      <c r="D523" s="451">
        <v>128</v>
      </c>
      <c r="E523" s="581" t="s">
        <v>906</v>
      </c>
      <c r="F523" s="539">
        <f t="shared" si="21"/>
        <v>522.55817907692301</v>
      </c>
      <c r="G523" s="540">
        <f t="shared" si="22"/>
        <v>43.54651492307692</v>
      </c>
      <c r="H523" s="541">
        <f t="shared" si="23"/>
        <v>14675.175529076922</v>
      </c>
      <c r="I523" s="446"/>
    </row>
    <row r="524" spans="2:9" ht="26.1" hidden="1" customHeight="1" thickTop="1" thickBot="1" x14ac:dyDescent="0.4">
      <c r="B524" s="366"/>
      <c r="C524" s="452">
        <v>46198</v>
      </c>
      <c r="D524" s="451">
        <v>129</v>
      </c>
      <c r="E524" s="581" t="s">
        <v>907</v>
      </c>
      <c r="F524" s="539">
        <f t="shared" si="21"/>
        <v>526.64066485096146</v>
      </c>
      <c r="G524" s="540">
        <f t="shared" si="22"/>
        <v>43.886722070913457</v>
      </c>
      <c r="H524" s="541">
        <f t="shared" si="23"/>
        <v>14679.258014850961</v>
      </c>
      <c r="I524" s="446"/>
    </row>
    <row r="525" spans="2:9" ht="26.1" hidden="1" customHeight="1" thickTop="1" thickBot="1" x14ac:dyDescent="0.4">
      <c r="B525" s="366"/>
      <c r="C525" s="452">
        <v>46199</v>
      </c>
      <c r="D525" s="451">
        <v>130</v>
      </c>
      <c r="E525" s="581" t="s">
        <v>908</v>
      </c>
      <c r="F525" s="539">
        <f t="shared" ref="F525:F588" si="24">$E$388/$F$390*D525</f>
        <v>530.7231506249999</v>
      </c>
      <c r="G525" s="540">
        <f t="shared" ref="G525:G588" si="25">F525/$C$392</f>
        <v>44.226929218749994</v>
      </c>
      <c r="H525" s="541">
        <f t="shared" ref="H525:H588" si="26">$C$388+F525</f>
        <v>14683.340500624998</v>
      </c>
      <c r="I525" s="446"/>
    </row>
    <row r="526" spans="2:9" ht="26.1" hidden="1" customHeight="1" thickTop="1" thickBot="1" x14ac:dyDescent="0.4">
      <c r="B526" s="366"/>
      <c r="C526" s="452">
        <v>46200</v>
      </c>
      <c r="D526" s="451">
        <v>131</v>
      </c>
      <c r="E526" s="581" t="s">
        <v>909</v>
      </c>
      <c r="F526" s="539">
        <f t="shared" si="24"/>
        <v>534.80563639903835</v>
      </c>
      <c r="G526" s="540">
        <f t="shared" si="25"/>
        <v>44.567136366586531</v>
      </c>
      <c r="H526" s="541">
        <f t="shared" si="26"/>
        <v>14687.422986399037</v>
      </c>
      <c r="I526" s="446"/>
    </row>
    <row r="527" spans="2:9" ht="26.1" hidden="1" customHeight="1" thickTop="1" thickBot="1" x14ac:dyDescent="0.4">
      <c r="B527" s="366"/>
      <c r="C527" s="452">
        <v>46201</v>
      </c>
      <c r="D527" s="451">
        <v>132</v>
      </c>
      <c r="E527" s="581" t="s">
        <v>910</v>
      </c>
      <c r="F527" s="539">
        <f t="shared" si="24"/>
        <v>538.88812217307691</v>
      </c>
      <c r="G527" s="540">
        <f t="shared" si="25"/>
        <v>44.907343514423076</v>
      </c>
      <c r="H527" s="541">
        <f t="shared" si="26"/>
        <v>14691.505472173076</v>
      </c>
      <c r="I527" s="446"/>
    </row>
    <row r="528" spans="2:9" ht="26.1" hidden="1" customHeight="1" thickTop="1" thickBot="1" x14ac:dyDescent="0.4">
      <c r="B528" s="366"/>
      <c r="C528" s="452">
        <v>46202</v>
      </c>
      <c r="D528" s="451">
        <v>133</v>
      </c>
      <c r="E528" s="581" t="s">
        <v>904</v>
      </c>
      <c r="F528" s="539">
        <f t="shared" si="24"/>
        <v>542.97060794711535</v>
      </c>
      <c r="G528" s="540">
        <f t="shared" si="25"/>
        <v>45.247550662259613</v>
      </c>
      <c r="H528" s="541">
        <f t="shared" si="26"/>
        <v>14695.587957947115</v>
      </c>
      <c r="I528" s="446"/>
    </row>
    <row r="529" spans="2:9" ht="26.1" hidden="1" customHeight="1" thickTop="1" thickBot="1" x14ac:dyDescent="0.4">
      <c r="B529" s="366"/>
      <c r="C529" s="452">
        <v>46203</v>
      </c>
      <c r="D529" s="451">
        <v>134</v>
      </c>
      <c r="E529" s="581" t="s">
        <v>905</v>
      </c>
      <c r="F529" s="539">
        <f t="shared" si="24"/>
        <v>547.0530937211538</v>
      </c>
      <c r="G529" s="540">
        <f t="shared" si="25"/>
        <v>45.58775781009615</v>
      </c>
      <c r="H529" s="541">
        <f t="shared" si="26"/>
        <v>14699.670443721152</v>
      </c>
      <c r="I529" s="446"/>
    </row>
    <row r="530" spans="2:9" ht="26.1" hidden="1" customHeight="1" thickTop="1" thickBot="1" x14ac:dyDescent="0.4">
      <c r="B530" s="366"/>
      <c r="C530" s="452">
        <v>46204</v>
      </c>
      <c r="D530" s="451">
        <v>135</v>
      </c>
      <c r="E530" s="581" t="s">
        <v>906</v>
      </c>
      <c r="F530" s="539">
        <f t="shared" si="24"/>
        <v>551.13557949519225</v>
      </c>
      <c r="G530" s="540">
        <f t="shared" si="25"/>
        <v>45.927964957932687</v>
      </c>
      <c r="H530" s="541">
        <f t="shared" si="26"/>
        <v>14703.752929495191</v>
      </c>
      <c r="I530" s="446"/>
    </row>
    <row r="531" spans="2:9" ht="26.1" hidden="1" customHeight="1" thickTop="1" thickBot="1" x14ac:dyDescent="0.4">
      <c r="B531" s="366"/>
      <c r="C531" s="452">
        <v>46205</v>
      </c>
      <c r="D531" s="451">
        <v>136</v>
      </c>
      <c r="E531" s="581" t="s">
        <v>907</v>
      </c>
      <c r="F531" s="539">
        <f t="shared" si="24"/>
        <v>555.21806526923069</v>
      </c>
      <c r="G531" s="540">
        <f t="shared" si="25"/>
        <v>46.268172105769224</v>
      </c>
      <c r="H531" s="541">
        <f t="shared" si="26"/>
        <v>14707.83541526923</v>
      </c>
      <c r="I531" s="446"/>
    </row>
    <row r="532" spans="2:9" ht="26.1" hidden="1" customHeight="1" thickTop="1" thickBot="1" x14ac:dyDescent="0.4">
      <c r="B532" s="366"/>
      <c r="C532" s="452">
        <v>46206</v>
      </c>
      <c r="D532" s="451">
        <v>137</v>
      </c>
      <c r="E532" s="581" t="s">
        <v>908</v>
      </c>
      <c r="F532" s="539">
        <f t="shared" si="24"/>
        <v>559.30055104326914</v>
      </c>
      <c r="G532" s="540">
        <f t="shared" si="25"/>
        <v>46.608379253605762</v>
      </c>
      <c r="H532" s="541">
        <f t="shared" si="26"/>
        <v>14711.917901043267</v>
      </c>
      <c r="I532" s="446"/>
    </row>
    <row r="533" spans="2:9" ht="26.1" hidden="1" customHeight="1" thickTop="1" thickBot="1" x14ac:dyDescent="0.4">
      <c r="B533" s="366"/>
      <c r="C533" s="452">
        <v>46207</v>
      </c>
      <c r="D533" s="451">
        <v>138</v>
      </c>
      <c r="E533" s="581" t="s">
        <v>909</v>
      </c>
      <c r="F533" s="539">
        <f t="shared" si="24"/>
        <v>563.38303681730758</v>
      </c>
      <c r="G533" s="540">
        <f t="shared" si="25"/>
        <v>46.948586401442299</v>
      </c>
      <c r="H533" s="541">
        <f t="shared" si="26"/>
        <v>14716.000386817306</v>
      </c>
      <c r="I533" s="446"/>
    </row>
    <row r="534" spans="2:9" ht="26.1" hidden="1" customHeight="1" thickTop="1" thickBot="1" x14ac:dyDescent="0.4">
      <c r="B534" s="366"/>
      <c r="C534" s="452">
        <v>46208</v>
      </c>
      <c r="D534" s="451">
        <v>139</v>
      </c>
      <c r="E534" s="581" t="s">
        <v>910</v>
      </c>
      <c r="F534" s="539">
        <f t="shared" si="24"/>
        <v>567.46552259134603</v>
      </c>
      <c r="G534" s="540">
        <f t="shared" si="25"/>
        <v>47.288793549278836</v>
      </c>
      <c r="H534" s="541">
        <f t="shared" si="26"/>
        <v>14720.082872591345</v>
      </c>
      <c r="I534" s="446"/>
    </row>
    <row r="535" spans="2:9" ht="26.1" hidden="1" customHeight="1" thickTop="1" thickBot="1" x14ac:dyDescent="0.4">
      <c r="B535" s="366"/>
      <c r="C535" s="452">
        <v>46209</v>
      </c>
      <c r="D535" s="451">
        <v>140</v>
      </c>
      <c r="E535" s="581" t="s">
        <v>904</v>
      </c>
      <c r="F535" s="539">
        <f t="shared" si="24"/>
        <v>571.54800836538459</v>
      </c>
      <c r="G535" s="540">
        <f t="shared" si="25"/>
        <v>47.62900069711538</v>
      </c>
      <c r="H535" s="541">
        <f t="shared" si="26"/>
        <v>14724.165358365382</v>
      </c>
      <c r="I535" s="446"/>
    </row>
    <row r="536" spans="2:9" ht="26.1" hidden="1" customHeight="1" thickTop="1" thickBot="1" x14ac:dyDescent="0.4">
      <c r="B536" s="366"/>
      <c r="C536" s="452">
        <v>46210</v>
      </c>
      <c r="D536" s="451">
        <v>141</v>
      </c>
      <c r="E536" s="581" t="s">
        <v>905</v>
      </c>
      <c r="F536" s="539">
        <f t="shared" si="24"/>
        <v>575.63049413942304</v>
      </c>
      <c r="G536" s="540">
        <f t="shared" si="25"/>
        <v>47.969207844951917</v>
      </c>
      <c r="H536" s="541">
        <f t="shared" si="26"/>
        <v>14728.247844139421</v>
      </c>
      <c r="I536" s="446"/>
    </row>
    <row r="537" spans="2:9" ht="26.1" hidden="1" customHeight="1" thickTop="1" thickBot="1" x14ac:dyDescent="0.4">
      <c r="B537" s="366"/>
      <c r="C537" s="452">
        <v>46211</v>
      </c>
      <c r="D537" s="451">
        <v>142</v>
      </c>
      <c r="E537" s="581" t="s">
        <v>906</v>
      </c>
      <c r="F537" s="539">
        <f t="shared" si="24"/>
        <v>579.71297991346148</v>
      </c>
      <c r="G537" s="540">
        <f t="shared" si="25"/>
        <v>48.309414992788454</v>
      </c>
      <c r="H537" s="541">
        <f t="shared" si="26"/>
        <v>14732.33032991346</v>
      </c>
      <c r="I537" s="446"/>
    </row>
    <row r="538" spans="2:9" ht="26.1" hidden="1" customHeight="1" thickTop="1" thickBot="1" x14ac:dyDescent="0.4">
      <c r="B538" s="366"/>
      <c r="C538" s="452">
        <v>46212</v>
      </c>
      <c r="D538" s="451">
        <v>143</v>
      </c>
      <c r="E538" s="581" t="s">
        <v>907</v>
      </c>
      <c r="F538" s="539">
        <f t="shared" si="24"/>
        <v>583.79546568749993</v>
      </c>
      <c r="G538" s="540">
        <f t="shared" si="25"/>
        <v>48.649622140624992</v>
      </c>
      <c r="H538" s="541">
        <f t="shared" si="26"/>
        <v>14736.412815687498</v>
      </c>
      <c r="I538" s="446"/>
    </row>
    <row r="539" spans="2:9" ht="26.1" hidden="1" customHeight="1" thickTop="1" thickBot="1" x14ac:dyDescent="0.4">
      <c r="B539" s="366"/>
      <c r="C539" s="452">
        <v>46213</v>
      </c>
      <c r="D539" s="451">
        <v>144</v>
      </c>
      <c r="E539" s="581" t="s">
        <v>908</v>
      </c>
      <c r="F539" s="539">
        <f t="shared" si="24"/>
        <v>587.87795146153837</v>
      </c>
      <c r="G539" s="540">
        <f t="shared" si="25"/>
        <v>48.989829288461529</v>
      </c>
      <c r="H539" s="541">
        <f t="shared" si="26"/>
        <v>14740.495301461537</v>
      </c>
      <c r="I539" s="446"/>
    </row>
    <row r="540" spans="2:9" ht="26.1" hidden="1" customHeight="1" thickTop="1" thickBot="1" x14ac:dyDescent="0.4">
      <c r="B540" s="366"/>
      <c r="C540" s="452">
        <v>46214</v>
      </c>
      <c r="D540" s="451">
        <v>145</v>
      </c>
      <c r="E540" s="581" t="s">
        <v>909</v>
      </c>
      <c r="F540" s="539">
        <f t="shared" si="24"/>
        <v>591.96043723557682</v>
      </c>
      <c r="G540" s="540">
        <f t="shared" si="25"/>
        <v>49.330036436298066</v>
      </c>
      <c r="H540" s="541">
        <f t="shared" si="26"/>
        <v>14744.577787235576</v>
      </c>
      <c r="I540" s="446"/>
    </row>
    <row r="541" spans="2:9" ht="26.1" hidden="1" customHeight="1" thickTop="1" thickBot="1" x14ac:dyDescent="0.4">
      <c r="B541" s="366"/>
      <c r="C541" s="452">
        <v>46215</v>
      </c>
      <c r="D541" s="451">
        <v>146</v>
      </c>
      <c r="E541" s="581" t="s">
        <v>910</v>
      </c>
      <c r="F541" s="539">
        <f t="shared" si="24"/>
        <v>596.04292300961527</v>
      </c>
      <c r="G541" s="540">
        <f t="shared" si="25"/>
        <v>49.670243584134603</v>
      </c>
      <c r="H541" s="541">
        <f t="shared" si="26"/>
        <v>14748.660273009615</v>
      </c>
      <c r="I541" s="446"/>
    </row>
    <row r="542" spans="2:9" ht="26.1" hidden="1" customHeight="1" thickTop="1" thickBot="1" x14ac:dyDescent="0.4">
      <c r="B542" s="366"/>
      <c r="C542" s="452">
        <v>46216</v>
      </c>
      <c r="D542" s="451">
        <v>147</v>
      </c>
      <c r="E542" s="581" t="s">
        <v>904</v>
      </c>
      <c r="F542" s="539">
        <f t="shared" si="24"/>
        <v>600.12540878365382</v>
      </c>
      <c r="G542" s="540">
        <f t="shared" si="25"/>
        <v>50.010450731971154</v>
      </c>
      <c r="H542" s="541">
        <f t="shared" si="26"/>
        <v>14752.742758783652</v>
      </c>
      <c r="I542" s="446"/>
    </row>
    <row r="543" spans="2:9" ht="26.1" hidden="1" customHeight="1" thickTop="1" thickBot="1" x14ac:dyDescent="0.4">
      <c r="B543" s="366"/>
      <c r="C543" s="452">
        <v>46217</v>
      </c>
      <c r="D543" s="451">
        <v>148</v>
      </c>
      <c r="E543" s="581" t="s">
        <v>905</v>
      </c>
      <c r="F543" s="539">
        <f t="shared" si="24"/>
        <v>604.20789455769227</v>
      </c>
      <c r="G543" s="540">
        <f t="shared" si="25"/>
        <v>50.350657879807692</v>
      </c>
      <c r="H543" s="541">
        <f t="shared" si="26"/>
        <v>14756.825244557691</v>
      </c>
      <c r="I543" s="446"/>
    </row>
    <row r="544" spans="2:9" ht="26.1" hidden="1" customHeight="1" thickTop="1" thickBot="1" x14ac:dyDescent="0.4">
      <c r="B544" s="366"/>
      <c r="C544" s="452">
        <v>46218</v>
      </c>
      <c r="D544" s="451">
        <v>149</v>
      </c>
      <c r="E544" s="581" t="s">
        <v>906</v>
      </c>
      <c r="F544" s="539">
        <f t="shared" si="24"/>
        <v>608.29038033173072</v>
      </c>
      <c r="G544" s="540">
        <f t="shared" si="25"/>
        <v>50.690865027644229</v>
      </c>
      <c r="H544" s="541">
        <f t="shared" si="26"/>
        <v>14760.90773033173</v>
      </c>
      <c r="I544" s="446"/>
    </row>
    <row r="545" spans="2:9" ht="26.1" hidden="1" customHeight="1" thickTop="1" thickBot="1" x14ac:dyDescent="0.4">
      <c r="B545" s="366"/>
      <c r="C545" s="452">
        <v>46219</v>
      </c>
      <c r="D545" s="451">
        <v>150</v>
      </c>
      <c r="E545" s="581" t="s">
        <v>907</v>
      </c>
      <c r="F545" s="539">
        <f t="shared" si="24"/>
        <v>612.37286610576916</v>
      </c>
      <c r="G545" s="540">
        <f t="shared" si="25"/>
        <v>51.031072175480766</v>
      </c>
      <c r="H545" s="541">
        <f t="shared" si="26"/>
        <v>14764.990216105767</v>
      </c>
      <c r="I545" s="446"/>
    </row>
    <row r="546" spans="2:9" ht="26.1" hidden="1" customHeight="1" thickTop="1" thickBot="1" x14ac:dyDescent="0.4">
      <c r="B546" s="366"/>
      <c r="C546" s="452">
        <v>46220</v>
      </c>
      <c r="D546" s="451">
        <v>151</v>
      </c>
      <c r="E546" s="581" t="s">
        <v>908</v>
      </c>
      <c r="F546" s="539">
        <f t="shared" si="24"/>
        <v>616.45535187980761</v>
      </c>
      <c r="G546" s="540">
        <f t="shared" si="25"/>
        <v>51.371279323317303</v>
      </c>
      <c r="H546" s="541">
        <f t="shared" si="26"/>
        <v>14769.072701879806</v>
      </c>
      <c r="I546" s="446"/>
    </row>
    <row r="547" spans="2:9" ht="26.1" hidden="1" customHeight="1" thickTop="1" thickBot="1" x14ac:dyDescent="0.4">
      <c r="B547" s="366"/>
      <c r="C547" s="452">
        <v>46221</v>
      </c>
      <c r="D547" s="451">
        <v>152</v>
      </c>
      <c r="E547" s="581" t="s">
        <v>909</v>
      </c>
      <c r="F547" s="539">
        <f t="shared" si="24"/>
        <v>620.53783765384605</v>
      </c>
      <c r="G547" s="540">
        <f t="shared" si="25"/>
        <v>51.71148647115384</v>
      </c>
      <c r="H547" s="541">
        <f t="shared" si="26"/>
        <v>14773.155187653845</v>
      </c>
      <c r="I547" s="446"/>
    </row>
    <row r="548" spans="2:9" ht="26.1" hidden="1" customHeight="1" thickTop="1" thickBot="1" x14ac:dyDescent="0.4">
      <c r="B548" s="366"/>
      <c r="C548" s="452">
        <v>46222</v>
      </c>
      <c r="D548" s="451">
        <v>153</v>
      </c>
      <c r="E548" s="581" t="s">
        <v>910</v>
      </c>
      <c r="F548" s="539">
        <f t="shared" si="24"/>
        <v>624.6203234278845</v>
      </c>
      <c r="G548" s="540">
        <f t="shared" si="25"/>
        <v>52.051693618990377</v>
      </c>
      <c r="H548" s="541">
        <f t="shared" si="26"/>
        <v>14777.237673427882</v>
      </c>
      <c r="I548" s="446"/>
    </row>
    <row r="549" spans="2:9" ht="26.1" hidden="1" customHeight="1" thickTop="1" thickBot="1" x14ac:dyDescent="0.4">
      <c r="B549" s="366"/>
      <c r="C549" s="452">
        <v>46223</v>
      </c>
      <c r="D549" s="451">
        <v>154</v>
      </c>
      <c r="E549" s="581" t="s">
        <v>904</v>
      </c>
      <c r="F549" s="539">
        <f t="shared" si="24"/>
        <v>628.70280920192295</v>
      </c>
      <c r="G549" s="540">
        <f t="shared" si="25"/>
        <v>52.391900766826915</v>
      </c>
      <c r="H549" s="541">
        <f t="shared" si="26"/>
        <v>14781.320159201921</v>
      </c>
      <c r="I549" s="446"/>
    </row>
    <row r="550" spans="2:9" ht="26.1" hidden="1" customHeight="1" thickTop="1" thickBot="1" x14ac:dyDescent="0.4">
      <c r="B550" s="366"/>
      <c r="C550" s="452">
        <v>46224</v>
      </c>
      <c r="D550" s="451">
        <v>155</v>
      </c>
      <c r="E550" s="581" t="s">
        <v>905</v>
      </c>
      <c r="F550" s="539">
        <f t="shared" si="24"/>
        <v>632.78529497596151</v>
      </c>
      <c r="G550" s="540">
        <f t="shared" si="25"/>
        <v>52.732107914663459</v>
      </c>
      <c r="H550" s="541">
        <f t="shared" si="26"/>
        <v>14785.40264497596</v>
      </c>
      <c r="I550" s="446"/>
    </row>
    <row r="551" spans="2:9" ht="26.1" hidden="1" customHeight="1" thickTop="1" thickBot="1" x14ac:dyDescent="0.4">
      <c r="B551" s="366"/>
      <c r="C551" s="452">
        <v>46225</v>
      </c>
      <c r="D551" s="451">
        <v>156</v>
      </c>
      <c r="E551" s="581" t="s">
        <v>906</v>
      </c>
      <c r="F551" s="539">
        <f t="shared" si="24"/>
        <v>636.86778074999995</v>
      </c>
      <c r="G551" s="540">
        <f t="shared" si="25"/>
        <v>53.072315062499996</v>
      </c>
      <c r="H551" s="541">
        <f t="shared" si="26"/>
        <v>14789.485130749999</v>
      </c>
      <c r="I551" s="446"/>
    </row>
    <row r="552" spans="2:9" ht="26.1" hidden="1" customHeight="1" thickTop="1" thickBot="1" x14ac:dyDescent="0.4">
      <c r="B552" s="366"/>
      <c r="C552" s="452">
        <v>46226</v>
      </c>
      <c r="D552" s="451">
        <v>157</v>
      </c>
      <c r="E552" s="581" t="s">
        <v>907</v>
      </c>
      <c r="F552" s="539">
        <f t="shared" si="24"/>
        <v>640.9502665240384</v>
      </c>
      <c r="G552" s="540">
        <f t="shared" si="25"/>
        <v>53.412522210336533</v>
      </c>
      <c r="H552" s="541">
        <f t="shared" si="26"/>
        <v>14793.567616524037</v>
      </c>
      <c r="I552" s="446"/>
    </row>
    <row r="553" spans="2:9" ht="26.1" hidden="1" customHeight="1" thickTop="1" thickBot="1" x14ac:dyDescent="0.4">
      <c r="B553" s="366"/>
      <c r="C553" s="452">
        <v>46227</v>
      </c>
      <c r="D553" s="451">
        <v>158</v>
      </c>
      <c r="E553" s="581" t="s">
        <v>908</v>
      </c>
      <c r="F553" s="539">
        <f t="shared" si="24"/>
        <v>645.03275229807684</v>
      </c>
      <c r="G553" s="540">
        <f t="shared" si="25"/>
        <v>53.75272935817307</v>
      </c>
      <c r="H553" s="541">
        <f t="shared" si="26"/>
        <v>14797.650102298076</v>
      </c>
      <c r="I553" s="446"/>
    </row>
    <row r="554" spans="2:9" ht="26.1" hidden="1" customHeight="1" thickTop="1" thickBot="1" x14ac:dyDescent="0.4">
      <c r="B554" s="366"/>
      <c r="C554" s="452">
        <v>46228</v>
      </c>
      <c r="D554" s="451">
        <v>159</v>
      </c>
      <c r="E554" s="581" t="s">
        <v>909</v>
      </c>
      <c r="F554" s="539">
        <f t="shared" si="24"/>
        <v>649.11523807211529</v>
      </c>
      <c r="G554" s="540">
        <f t="shared" si="25"/>
        <v>54.092936506009607</v>
      </c>
      <c r="H554" s="541">
        <f t="shared" si="26"/>
        <v>14801.732588072115</v>
      </c>
      <c r="I554" s="446"/>
    </row>
    <row r="555" spans="2:9" ht="26.1" hidden="1" customHeight="1" thickTop="1" thickBot="1" x14ac:dyDescent="0.4">
      <c r="B555" s="366"/>
      <c r="C555" s="452">
        <v>46229</v>
      </c>
      <c r="D555" s="451">
        <v>160</v>
      </c>
      <c r="E555" s="581" t="s">
        <v>910</v>
      </c>
      <c r="F555" s="539">
        <f t="shared" si="24"/>
        <v>653.19772384615374</v>
      </c>
      <c r="G555" s="540">
        <f t="shared" si="25"/>
        <v>54.433143653846145</v>
      </c>
      <c r="H555" s="541">
        <f t="shared" si="26"/>
        <v>14805.815073846152</v>
      </c>
      <c r="I555" s="446"/>
    </row>
    <row r="556" spans="2:9" ht="26.1" hidden="1" customHeight="1" thickTop="1" thickBot="1" x14ac:dyDescent="0.4">
      <c r="B556" s="366"/>
      <c r="C556" s="452">
        <v>46230</v>
      </c>
      <c r="D556" s="451">
        <v>161</v>
      </c>
      <c r="E556" s="581" t="s">
        <v>904</v>
      </c>
      <c r="F556" s="539">
        <f t="shared" si="24"/>
        <v>657.28020962019218</v>
      </c>
      <c r="G556" s="540">
        <f t="shared" si="25"/>
        <v>54.773350801682682</v>
      </c>
      <c r="H556" s="541">
        <f t="shared" si="26"/>
        <v>14809.897559620191</v>
      </c>
      <c r="I556" s="446"/>
    </row>
    <row r="557" spans="2:9" ht="26.1" hidden="1" customHeight="1" thickTop="1" thickBot="1" x14ac:dyDescent="0.4">
      <c r="B557" s="366"/>
      <c r="C557" s="452">
        <v>46231</v>
      </c>
      <c r="D557" s="451">
        <v>162</v>
      </c>
      <c r="E557" s="581" t="s">
        <v>905</v>
      </c>
      <c r="F557" s="539">
        <f t="shared" si="24"/>
        <v>661.36269539423074</v>
      </c>
      <c r="G557" s="540">
        <f t="shared" si="25"/>
        <v>55.113557949519226</v>
      </c>
      <c r="H557" s="541">
        <f t="shared" si="26"/>
        <v>14813.98004539423</v>
      </c>
      <c r="I557" s="446"/>
    </row>
    <row r="558" spans="2:9" ht="26.1" hidden="1" customHeight="1" thickTop="1" thickBot="1" x14ac:dyDescent="0.4">
      <c r="B558" s="366"/>
      <c r="C558" s="452">
        <v>46232</v>
      </c>
      <c r="D558" s="451">
        <v>163</v>
      </c>
      <c r="E558" s="581" t="s">
        <v>906</v>
      </c>
      <c r="F558" s="539">
        <f t="shared" si="24"/>
        <v>665.44518116826919</v>
      </c>
      <c r="G558" s="540">
        <f t="shared" si="25"/>
        <v>55.453765097355763</v>
      </c>
      <c r="H558" s="541">
        <f t="shared" si="26"/>
        <v>14818.062531168267</v>
      </c>
      <c r="I558" s="446"/>
    </row>
    <row r="559" spans="2:9" ht="26.1" hidden="1" customHeight="1" thickTop="1" thickBot="1" x14ac:dyDescent="0.4">
      <c r="B559" s="366"/>
      <c r="C559" s="452">
        <v>46233</v>
      </c>
      <c r="D559" s="451">
        <v>164</v>
      </c>
      <c r="E559" s="581" t="s">
        <v>907</v>
      </c>
      <c r="F559" s="539">
        <f t="shared" si="24"/>
        <v>669.52766694230763</v>
      </c>
      <c r="G559" s="540">
        <f t="shared" si="25"/>
        <v>55.7939722451923</v>
      </c>
      <c r="H559" s="541">
        <f t="shared" si="26"/>
        <v>14822.145016942306</v>
      </c>
      <c r="I559" s="446"/>
    </row>
    <row r="560" spans="2:9" ht="26.1" hidden="1" customHeight="1" thickTop="1" thickBot="1" x14ac:dyDescent="0.4">
      <c r="B560" s="366"/>
      <c r="C560" s="452">
        <v>46234</v>
      </c>
      <c r="D560" s="451">
        <v>165</v>
      </c>
      <c r="E560" s="581" t="s">
        <v>908</v>
      </c>
      <c r="F560" s="539">
        <f t="shared" si="24"/>
        <v>673.61015271634608</v>
      </c>
      <c r="G560" s="540">
        <f t="shared" si="25"/>
        <v>56.134179393028838</v>
      </c>
      <c r="H560" s="541">
        <f t="shared" si="26"/>
        <v>14826.227502716345</v>
      </c>
      <c r="I560" s="446"/>
    </row>
    <row r="561" spans="2:9" ht="26.1" hidden="1" customHeight="1" thickTop="1" thickBot="1" x14ac:dyDescent="0.4">
      <c r="B561" s="366"/>
      <c r="C561" s="452">
        <v>46235</v>
      </c>
      <c r="D561" s="451">
        <v>166</v>
      </c>
      <c r="E561" s="581" t="s">
        <v>909</v>
      </c>
      <c r="F561" s="539">
        <f t="shared" si="24"/>
        <v>677.69263849038452</v>
      </c>
      <c r="G561" s="540">
        <f t="shared" si="25"/>
        <v>56.474386540865375</v>
      </c>
      <c r="H561" s="541">
        <f t="shared" si="26"/>
        <v>14830.309988490382</v>
      </c>
      <c r="I561" s="446"/>
    </row>
    <row r="562" spans="2:9" ht="26.1" hidden="1" customHeight="1" thickTop="1" thickBot="1" x14ac:dyDescent="0.4">
      <c r="B562" s="366"/>
      <c r="C562" s="452">
        <v>46236</v>
      </c>
      <c r="D562" s="451">
        <v>167</v>
      </c>
      <c r="E562" s="581" t="s">
        <v>910</v>
      </c>
      <c r="F562" s="539">
        <f t="shared" si="24"/>
        <v>681.77512426442297</v>
      </c>
      <c r="G562" s="540">
        <f t="shared" si="25"/>
        <v>56.814593688701912</v>
      </c>
      <c r="H562" s="541">
        <f t="shared" si="26"/>
        <v>14834.392474264421</v>
      </c>
      <c r="I562" s="446"/>
    </row>
    <row r="563" spans="2:9" ht="26.1" hidden="1" customHeight="1" thickTop="1" thickBot="1" x14ac:dyDescent="0.4">
      <c r="B563" s="366"/>
      <c r="C563" s="452">
        <v>46237</v>
      </c>
      <c r="D563" s="451">
        <v>168</v>
      </c>
      <c r="E563" s="581" t="s">
        <v>904</v>
      </c>
      <c r="F563" s="539">
        <f t="shared" si="24"/>
        <v>685.85761003846142</v>
      </c>
      <c r="G563" s="540">
        <f t="shared" si="25"/>
        <v>57.154800836538449</v>
      </c>
      <c r="H563" s="541">
        <f t="shared" si="26"/>
        <v>14838.47496003846</v>
      </c>
      <c r="I563" s="446"/>
    </row>
    <row r="564" spans="2:9" ht="26.1" hidden="1" customHeight="1" thickTop="1" thickBot="1" x14ac:dyDescent="0.4">
      <c r="B564" s="366"/>
      <c r="C564" s="452">
        <v>46238</v>
      </c>
      <c r="D564" s="451">
        <v>169</v>
      </c>
      <c r="E564" s="581" t="s">
        <v>905</v>
      </c>
      <c r="F564" s="539">
        <f t="shared" si="24"/>
        <v>689.94009581249986</v>
      </c>
      <c r="G564" s="540">
        <f t="shared" si="25"/>
        <v>57.495007984374986</v>
      </c>
      <c r="H564" s="541">
        <f t="shared" si="26"/>
        <v>14842.557445812499</v>
      </c>
      <c r="I564" s="446"/>
    </row>
    <row r="565" spans="2:9" ht="26.1" hidden="1" customHeight="1" thickTop="1" thickBot="1" x14ac:dyDescent="0.4">
      <c r="B565" s="366"/>
      <c r="C565" s="452">
        <v>46239</v>
      </c>
      <c r="D565" s="451">
        <v>170</v>
      </c>
      <c r="E565" s="581" t="s">
        <v>906</v>
      </c>
      <c r="F565" s="539">
        <f t="shared" si="24"/>
        <v>694.02258158653842</v>
      </c>
      <c r="G565" s="540">
        <f t="shared" si="25"/>
        <v>57.835215132211538</v>
      </c>
      <c r="H565" s="541">
        <f t="shared" si="26"/>
        <v>14846.639931586536</v>
      </c>
      <c r="I565" s="446"/>
    </row>
    <row r="566" spans="2:9" ht="26.1" hidden="1" customHeight="1" thickTop="1" thickBot="1" x14ac:dyDescent="0.4">
      <c r="B566" s="366"/>
      <c r="C566" s="452">
        <v>46240</v>
      </c>
      <c r="D566" s="451">
        <v>171</v>
      </c>
      <c r="E566" s="581" t="s">
        <v>907</v>
      </c>
      <c r="F566" s="539">
        <f t="shared" si="24"/>
        <v>698.10506736057687</v>
      </c>
      <c r="G566" s="540">
        <f t="shared" si="25"/>
        <v>58.175422280048075</v>
      </c>
      <c r="H566" s="541">
        <f t="shared" si="26"/>
        <v>14850.722417360575</v>
      </c>
      <c r="I566" s="446"/>
    </row>
    <row r="567" spans="2:9" ht="26.1" hidden="1" customHeight="1" thickTop="1" thickBot="1" x14ac:dyDescent="0.4">
      <c r="B567" s="366"/>
      <c r="C567" s="452">
        <v>46241</v>
      </c>
      <c r="D567" s="451">
        <v>172</v>
      </c>
      <c r="E567" s="581" t="s">
        <v>908</v>
      </c>
      <c r="F567" s="539">
        <f t="shared" si="24"/>
        <v>702.18755313461531</v>
      </c>
      <c r="G567" s="540">
        <f t="shared" si="25"/>
        <v>58.515629427884612</v>
      </c>
      <c r="H567" s="541">
        <f t="shared" si="26"/>
        <v>14854.804903134615</v>
      </c>
      <c r="I567" s="446"/>
    </row>
    <row r="568" spans="2:9" ht="26.1" hidden="1" customHeight="1" thickTop="1" thickBot="1" x14ac:dyDescent="0.4">
      <c r="B568" s="366"/>
      <c r="C568" s="452">
        <v>46242</v>
      </c>
      <c r="D568" s="451">
        <v>173</v>
      </c>
      <c r="E568" s="581" t="s">
        <v>909</v>
      </c>
      <c r="F568" s="539">
        <f t="shared" si="24"/>
        <v>706.27003890865376</v>
      </c>
      <c r="G568" s="540">
        <f t="shared" si="25"/>
        <v>58.855836575721149</v>
      </c>
      <c r="H568" s="541">
        <f t="shared" si="26"/>
        <v>14858.887388908652</v>
      </c>
      <c r="I568" s="446"/>
    </row>
    <row r="569" spans="2:9" ht="26.1" hidden="1" customHeight="1" thickTop="1" thickBot="1" x14ac:dyDescent="0.4">
      <c r="B569" s="366"/>
      <c r="C569" s="452">
        <v>46243</v>
      </c>
      <c r="D569" s="451">
        <v>174</v>
      </c>
      <c r="E569" s="581" t="s">
        <v>910</v>
      </c>
      <c r="F569" s="539">
        <f t="shared" si="24"/>
        <v>710.35252468269221</v>
      </c>
      <c r="G569" s="540">
        <f t="shared" si="25"/>
        <v>59.196043723557686</v>
      </c>
      <c r="H569" s="541">
        <f t="shared" si="26"/>
        <v>14862.969874682691</v>
      </c>
      <c r="I569" s="446"/>
    </row>
    <row r="570" spans="2:9" ht="26.1" hidden="1" customHeight="1" thickTop="1" thickBot="1" x14ac:dyDescent="0.4">
      <c r="B570" s="366"/>
      <c r="C570" s="452">
        <v>46244</v>
      </c>
      <c r="D570" s="451">
        <v>175</v>
      </c>
      <c r="E570" s="581" t="s">
        <v>904</v>
      </c>
      <c r="F570" s="539">
        <f t="shared" si="24"/>
        <v>714.43501045673065</v>
      </c>
      <c r="G570" s="540">
        <f t="shared" si="25"/>
        <v>59.536250871394223</v>
      </c>
      <c r="H570" s="541">
        <f t="shared" si="26"/>
        <v>14867.05236045673</v>
      </c>
      <c r="I570" s="446"/>
    </row>
    <row r="571" spans="2:9" ht="26.1" hidden="1" customHeight="1" thickTop="1" thickBot="1" x14ac:dyDescent="0.4">
      <c r="B571" s="366"/>
      <c r="C571" s="452">
        <v>46245</v>
      </c>
      <c r="D571" s="451">
        <v>176</v>
      </c>
      <c r="E571" s="581" t="s">
        <v>905</v>
      </c>
      <c r="F571" s="539">
        <f t="shared" si="24"/>
        <v>718.5174962307691</v>
      </c>
      <c r="G571" s="540">
        <f t="shared" si="25"/>
        <v>59.87645801923076</v>
      </c>
      <c r="H571" s="541">
        <f t="shared" si="26"/>
        <v>14871.134846230767</v>
      </c>
      <c r="I571" s="446"/>
    </row>
    <row r="572" spans="2:9" ht="26.1" hidden="1" customHeight="1" thickTop="1" thickBot="1" x14ac:dyDescent="0.4">
      <c r="B572" s="366"/>
      <c r="C572" s="452">
        <v>46246</v>
      </c>
      <c r="D572" s="451">
        <v>177</v>
      </c>
      <c r="E572" s="581" t="s">
        <v>906</v>
      </c>
      <c r="F572" s="539">
        <f t="shared" si="24"/>
        <v>722.59998200480766</v>
      </c>
      <c r="G572" s="540">
        <f t="shared" si="25"/>
        <v>60.216665167067305</v>
      </c>
      <c r="H572" s="541">
        <f t="shared" si="26"/>
        <v>14875.217332004806</v>
      </c>
      <c r="I572" s="446"/>
    </row>
    <row r="573" spans="2:9" ht="26.1" hidden="1" customHeight="1" thickTop="1" thickBot="1" x14ac:dyDescent="0.4">
      <c r="B573" s="366"/>
      <c r="C573" s="452">
        <v>46247</v>
      </c>
      <c r="D573" s="451">
        <v>178</v>
      </c>
      <c r="E573" s="581" t="s">
        <v>907</v>
      </c>
      <c r="F573" s="539">
        <f t="shared" si="24"/>
        <v>726.6824677788461</v>
      </c>
      <c r="G573" s="540">
        <f t="shared" si="25"/>
        <v>60.556872314903842</v>
      </c>
      <c r="H573" s="541">
        <f t="shared" si="26"/>
        <v>14879.299817778845</v>
      </c>
      <c r="I573" s="446"/>
    </row>
    <row r="574" spans="2:9" ht="26.1" hidden="1" customHeight="1" thickTop="1" thickBot="1" x14ac:dyDescent="0.4">
      <c r="B574" s="366"/>
      <c r="C574" s="452">
        <v>46248</v>
      </c>
      <c r="D574" s="451">
        <v>179</v>
      </c>
      <c r="E574" s="581" t="s">
        <v>908</v>
      </c>
      <c r="F574" s="539">
        <f t="shared" si="24"/>
        <v>730.76495355288455</v>
      </c>
      <c r="G574" s="540">
        <f t="shared" si="25"/>
        <v>60.897079462740379</v>
      </c>
      <c r="H574" s="541">
        <f t="shared" si="26"/>
        <v>14883.382303552884</v>
      </c>
      <c r="I574" s="446"/>
    </row>
    <row r="575" spans="2:9" ht="26.1" hidden="1" customHeight="1" thickTop="1" thickBot="1" x14ac:dyDescent="0.4">
      <c r="B575" s="366"/>
      <c r="C575" s="452">
        <v>46249</v>
      </c>
      <c r="D575" s="451">
        <v>180</v>
      </c>
      <c r="E575" s="581" t="s">
        <v>909</v>
      </c>
      <c r="F575" s="539">
        <f t="shared" si="24"/>
        <v>734.84743932692299</v>
      </c>
      <c r="G575" s="540">
        <f t="shared" si="25"/>
        <v>61.237286610576916</v>
      </c>
      <c r="H575" s="541">
        <f t="shared" si="26"/>
        <v>14887.464789326921</v>
      </c>
      <c r="I575" s="446"/>
    </row>
    <row r="576" spans="2:9" ht="26.1" hidden="1" customHeight="1" thickTop="1" thickBot="1" x14ac:dyDescent="0.4">
      <c r="B576" s="366"/>
      <c r="C576" s="452">
        <v>46250</v>
      </c>
      <c r="D576" s="451">
        <v>181</v>
      </c>
      <c r="E576" s="581" t="s">
        <v>910</v>
      </c>
      <c r="F576" s="539">
        <f t="shared" si="24"/>
        <v>738.92992510096144</v>
      </c>
      <c r="G576" s="540">
        <f t="shared" si="25"/>
        <v>61.577493758413453</v>
      </c>
      <c r="H576" s="541">
        <f t="shared" si="26"/>
        <v>14891.54727510096</v>
      </c>
      <c r="I576" s="446"/>
    </row>
    <row r="577" spans="2:9" ht="26.1" hidden="1" customHeight="1" thickTop="1" thickBot="1" x14ac:dyDescent="0.4">
      <c r="B577" s="366"/>
      <c r="C577" s="452">
        <v>46251</v>
      </c>
      <c r="D577" s="451">
        <v>182</v>
      </c>
      <c r="E577" s="581" t="s">
        <v>904</v>
      </c>
      <c r="F577" s="539">
        <f t="shared" si="24"/>
        <v>743.01241087499989</v>
      </c>
      <c r="G577" s="540">
        <f t="shared" si="25"/>
        <v>61.917700906249991</v>
      </c>
      <c r="H577" s="541">
        <f t="shared" si="26"/>
        <v>14895.629760874999</v>
      </c>
      <c r="I577" s="446"/>
    </row>
    <row r="578" spans="2:9" ht="26.1" hidden="1" customHeight="1" thickTop="1" thickBot="1" x14ac:dyDescent="0.4">
      <c r="B578" s="366"/>
      <c r="C578" s="452">
        <v>46252</v>
      </c>
      <c r="D578" s="451">
        <v>183</v>
      </c>
      <c r="E578" s="581" t="s">
        <v>905</v>
      </c>
      <c r="F578" s="539">
        <f t="shared" si="24"/>
        <v>747.09489664903833</v>
      </c>
      <c r="G578" s="540">
        <f t="shared" si="25"/>
        <v>62.257908054086528</v>
      </c>
      <c r="H578" s="541">
        <f t="shared" si="26"/>
        <v>14899.712246649036</v>
      </c>
      <c r="I578" s="446"/>
    </row>
    <row r="579" spans="2:9" ht="26.1" hidden="1" customHeight="1" thickTop="1" thickBot="1" x14ac:dyDescent="0.4">
      <c r="B579" s="366"/>
      <c r="C579" s="452">
        <v>46253</v>
      </c>
      <c r="D579" s="451">
        <v>184</v>
      </c>
      <c r="E579" s="581" t="s">
        <v>906</v>
      </c>
      <c r="F579" s="539">
        <f t="shared" si="24"/>
        <v>751.17738242307678</v>
      </c>
      <c r="G579" s="540">
        <f t="shared" si="25"/>
        <v>62.598115201923065</v>
      </c>
      <c r="H579" s="541">
        <f t="shared" si="26"/>
        <v>14903.794732423075</v>
      </c>
      <c r="I579" s="446"/>
    </row>
    <row r="580" spans="2:9" ht="26.1" hidden="1" customHeight="1" thickTop="1" thickBot="1" x14ac:dyDescent="0.4">
      <c r="B580" s="366"/>
      <c r="C580" s="452">
        <v>46254</v>
      </c>
      <c r="D580" s="451">
        <v>185</v>
      </c>
      <c r="E580" s="581" t="s">
        <v>907</v>
      </c>
      <c r="F580" s="539">
        <f t="shared" si="24"/>
        <v>755.25986819711534</v>
      </c>
      <c r="G580" s="540">
        <f t="shared" si="25"/>
        <v>62.938322349759609</v>
      </c>
      <c r="H580" s="541">
        <f t="shared" si="26"/>
        <v>14907.877218197114</v>
      </c>
      <c r="I580" s="446"/>
    </row>
    <row r="581" spans="2:9" ht="26.1" hidden="1" customHeight="1" thickTop="1" thickBot="1" x14ac:dyDescent="0.4">
      <c r="B581" s="366"/>
      <c r="C581" s="452">
        <v>46255</v>
      </c>
      <c r="D581" s="451">
        <v>186</v>
      </c>
      <c r="E581" s="581" t="s">
        <v>908</v>
      </c>
      <c r="F581" s="539">
        <f t="shared" si="24"/>
        <v>759.34235397115378</v>
      </c>
      <c r="G581" s="540">
        <f t="shared" si="25"/>
        <v>63.278529497596146</v>
      </c>
      <c r="H581" s="541">
        <f t="shared" si="26"/>
        <v>14911.959703971152</v>
      </c>
      <c r="I581" s="446"/>
    </row>
    <row r="582" spans="2:9" ht="26.1" hidden="1" customHeight="1" thickTop="1" thickBot="1" x14ac:dyDescent="0.4">
      <c r="B582" s="366"/>
      <c r="C582" s="452">
        <v>46256</v>
      </c>
      <c r="D582" s="451">
        <v>187</v>
      </c>
      <c r="E582" s="581" t="s">
        <v>909</v>
      </c>
      <c r="F582" s="539">
        <f t="shared" si="24"/>
        <v>763.42483974519223</v>
      </c>
      <c r="G582" s="540">
        <f t="shared" si="25"/>
        <v>63.618736645432683</v>
      </c>
      <c r="H582" s="541">
        <f t="shared" si="26"/>
        <v>14916.042189745191</v>
      </c>
      <c r="I582" s="446"/>
    </row>
    <row r="583" spans="2:9" ht="26.1" hidden="1" customHeight="1" thickTop="1" thickBot="1" x14ac:dyDescent="0.4">
      <c r="B583" s="366"/>
      <c r="C583" s="452">
        <v>46257</v>
      </c>
      <c r="D583" s="451">
        <v>188</v>
      </c>
      <c r="E583" s="581" t="s">
        <v>910</v>
      </c>
      <c r="F583" s="539">
        <f t="shared" si="24"/>
        <v>767.50732551923068</v>
      </c>
      <c r="G583" s="540">
        <f t="shared" si="25"/>
        <v>63.958943793269221</v>
      </c>
      <c r="H583" s="541">
        <f t="shared" si="26"/>
        <v>14920.12467551923</v>
      </c>
      <c r="I583" s="446"/>
    </row>
    <row r="584" spans="2:9" ht="26.1" hidden="1" customHeight="1" thickTop="1" thickBot="1" x14ac:dyDescent="0.4">
      <c r="B584" s="366"/>
      <c r="C584" s="452">
        <v>46258</v>
      </c>
      <c r="D584" s="451">
        <v>189</v>
      </c>
      <c r="E584" s="581" t="s">
        <v>904</v>
      </c>
      <c r="F584" s="539">
        <f t="shared" si="24"/>
        <v>771.58981129326912</v>
      </c>
      <c r="G584" s="540">
        <f t="shared" si="25"/>
        <v>64.299150941105765</v>
      </c>
      <c r="H584" s="541">
        <f t="shared" si="26"/>
        <v>14924.207161293267</v>
      </c>
      <c r="I584" s="446"/>
    </row>
    <row r="585" spans="2:9" ht="26.1" hidden="1" customHeight="1" thickTop="1" thickBot="1" x14ac:dyDescent="0.4">
      <c r="B585" s="366"/>
      <c r="C585" s="452">
        <v>46259</v>
      </c>
      <c r="D585" s="451">
        <v>190</v>
      </c>
      <c r="E585" s="581" t="s">
        <v>905</v>
      </c>
      <c r="F585" s="539">
        <f t="shared" si="24"/>
        <v>775.67229706730757</v>
      </c>
      <c r="G585" s="540">
        <f t="shared" si="25"/>
        <v>64.639358088942302</v>
      </c>
      <c r="H585" s="541">
        <f t="shared" si="26"/>
        <v>14928.289647067306</v>
      </c>
      <c r="I585" s="446"/>
    </row>
    <row r="586" spans="2:9" ht="26.1" hidden="1" customHeight="1" thickTop="1" thickBot="1" x14ac:dyDescent="0.4">
      <c r="B586" s="366"/>
      <c r="C586" s="452">
        <v>46260</v>
      </c>
      <c r="D586" s="451">
        <v>191</v>
      </c>
      <c r="E586" s="581" t="s">
        <v>906</v>
      </c>
      <c r="F586" s="539">
        <f t="shared" si="24"/>
        <v>779.75478284134601</v>
      </c>
      <c r="G586" s="540">
        <f t="shared" si="25"/>
        <v>64.979565236778839</v>
      </c>
      <c r="H586" s="541">
        <f t="shared" si="26"/>
        <v>14932.372132841345</v>
      </c>
      <c r="I586" s="446"/>
    </row>
    <row r="587" spans="2:9" ht="26.1" hidden="1" customHeight="1" thickTop="1" thickBot="1" x14ac:dyDescent="0.4">
      <c r="B587" s="366"/>
      <c r="C587" s="452">
        <v>46261</v>
      </c>
      <c r="D587" s="451">
        <v>192</v>
      </c>
      <c r="E587" s="581" t="s">
        <v>907</v>
      </c>
      <c r="F587" s="539">
        <f t="shared" si="24"/>
        <v>783.83726861538457</v>
      </c>
      <c r="G587" s="540">
        <f t="shared" si="25"/>
        <v>65.319772384615376</v>
      </c>
      <c r="H587" s="541">
        <f t="shared" si="26"/>
        <v>14936.454618615384</v>
      </c>
      <c r="I587" s="446"/>
    </row>
    <row r="588" spans="2:9" ht="26.1" hidden="1" customHeight="1" thickTop="1" thickBot="1" x14ac:dyDescent="0.4">
      <c r="B588" s="366"/>
      <c r="C588" s="452">
        <v>46262</v>
      </c>
      <c r="D588" s="451">
        <v>193</v>
      </c>
      <c r="E588" s="581" t="s">
        <v>908</v>
      </c>
      <c r="F588" s="539">
        <f t="shared" si="24"/>
        <v>787.91975438942302</v>
      </c>
      <c r="G588" s="540">
        <f t="shared" si="25"/>
        <v>65.659979532451914</v>
      </c>
      <c r="H588" s="541">
        <f t="shared" si="26"/>
        <v>14940.537104389421</v>
      </c>
      <c r="I588" s="446"/>
    </row>
    <row r="589" spans="2:9" ht="26.1" hidden="1" customHeight="1" thickTop="1" thickBot="1" x14ac:dyDescent="0.4">
      <c r="B589" s="366"/>
      <c r="C589" s="452">
        <v>46263</v>
      </c>
      <c r="D589" s="451">
        <v>194</v>
      </c>
      <c r="E589" s="581" t="s">
        <v>909</v>
      </c>
      <c r="F589" s="539">
        <f t="shared" ref="F589:F652" si="27">$E$388/$F$390*D589</f>
        <v>792.00224016346147</v>
      </c>
      <c r="G589" s="540">
        <f t="shared" ref="G589:G652" si="28">F589/$C$392</f>
        <v>66.000186680288451</v>
      </c>
      <c r="H589" s="541">
        <f t="shared" ref="H589:H652" si="29">$C$388+F589</f>
        <v>14944.61959016346</v>
      </c>
      <c r="I589" s="446"/>
    </row>
    <row r="590" spans="2:9" ht="26.1" hidden="1" customHeight="1" thickTop="1" thickBot="1" x14ac:dyDescent="0.4">
      <c r="B590" s="366"/>
      <c r="C590" s="452">
        <v>46264</v>
      </c>
      <c r="D590" s="451">
        <v>195</v>
      </c>
      <c r="E590" s="581" t="s">
        <v>910</v>
      </c>
      <c r="F590" s="539">
        <f t="shared" si="27"/>
        <v>796.08472593749991</v>
      </c>
      <c r="G590" s="540">
        <f t="shared" si="28"/>
        <v>66.340393828124988</v>
      </c>
      <c r="H590" s="541">
        <f t="shared" si="29"/>
        <v>14948.702075937499</v>
      </c>
      <c r="I590" s="446"/>
    </row>
    <row r="591" spans="2:9" ht="26.1" hidden="1" customHeight="1" thickTop="1" thickBot="1" x14ac:dyDescent="0.4">
      <c r="B591" s="366"/>
      <c r="C591" s="452">
        <v>46265</v>
      </c>
      <c r="D591" s="451">
        <v>196</v>
      </c>
      <c r="E591" s="581" t="s">
        <v>904</v>
      </c>
      <c r="F591" s="539">
        <f t="shared" si="27"/>
        <v>800.16721171153836</v>
      </c>
      <c r="G591" s="540">
        <f t="shared" si="28"/>
        <v>66.680600975961525</v>
      </c>
      <c r="H591" s="541">
        <f t="shared" si="29"/>
        <v>14952.784561711536</v>
      </c>
      <c r="I591" s="446"/>
    </row>
    <row r="592" spans="2:9" ht="26.1" hidden="1" customHeight="1" thickTop="1" thickBot="1" x14ac:dyDescent="0.4">
      <c r="B592" s="366"/>
      <c r="C592" s="452">
        <v>46266</v>
      </c>
      <c r="D592" s="451">
        <v>197</v>
      </c>
      <c r="E592" s="581" t="s">
        <v>905</v>
      </c>
      <c r="F592" s="539">
        <f t="shared" si="27"/>
        <v>804.2496974855768</v>
      </c>
      <c r="G592" s="540">
        <f t="shared" si="28"/>
        <v>67.020808123798062</v>
      </c>
      <c r="H592" s="541">
        <f t="shared" si="29"/>
        <v>14956.867047485575</v>
      </c>
      <c r="I592" s="446"/>
    </row>
    <row r="593" spans="2:9" ht="26.1" hidden="1" customHeight="1" thickTop="1" thickBot="1" x14ac:dyDescent="0.4">
      <c r="B593" s="366"/>
      <c r="C593" s="452">
        <v>46267</v>
      </c>
      <c r="D593" s="451">
        <v>198</v>
      </c>
      <c r="E593" s="581" t="s">
        <v>906</v>
      </c>
      <c r="F593" s="539">
        <f t="shared" si="27"/>
        <v>808.33218325961525</v>
      </c>
      <c r="G593" s="540">
        <f t="shared" si="28"/>
        <v>67.361015271634599</v>
      </c>
      <c r="H593" s="541">
        <f t="shared" si="29"/>
        <v>14960.949533259614</v>
      </c>
      <c r="I593" s="446"/>
    </row>
    <row r="594" spans="2:9" ht="26.1" hidden="1" customHeight="1" thickTop="1" thickBot="1" x14ac:dyDescent="0.4">
      <c r="B594" s="366"/>
      <c r="C594" s="452">
        <v>46268</v>
      </c>
      <c r="D594" s="451">
        <v>199</v>
      </c>
      <c r="E594" s="581" t="s">
        <v>907</v>
      </c>
      <c r="F594" s="539">
        <f t="shared" si="27"/>
        <v>812.41466903365369</v>
      </c>
      <c r="G594" s="540">
        <f t="shared" si="28"/>
        <v>67.701222419471137</v>
      </c>
      <c r="H594" s="541">
        <f t="shared" si="29"/>
        <v>14965.032019033652</v>
      </c>
      <c r="I594" s="446"/>
    </row>
    <row r="595" spans="2:9" ht="26.1" hidden="1" customHeight="1" thickTop="1" thickBot="1" x14ac:dyDescent="0.4">
      <c r="B595" s="366"/>
      <c r="C595" s="452">
        <v>46269</v>
      </c>
      <c r="D595" s="451">
        <v>200</v>
      </c>
      <c r="E595" s="581" t="s">
        <v>908</v>
      </c>
      <c r="F595" s="539">
        <f t="shared" si="27"/>
        <v>816.49715480769225</v>
      </c>
      <c r="G595" s="540">
        <f t="shared" si="28"/>
        <v>68.041429567307688</v>
      </c>
      <c r="H595" s="541">
        <f t="shared" si="29"/>
        <v>14969.114504807691</v>
      </c>
      <c r="I595" s="446"/>
    </row>
    <row r="596" spans="2:9" ht="26.1" hidden="1" customHeight="1" thickTop="1" thickBot="1" x14ac:dyDescent="0.4">
      <c r="B596" s="366"/>
      <c r="C596" s="452">
        <v>46270</v>
      </c>
      <c r="D596" s="451">
        <v>201</v>
      </c>
      <c r="E596" s="581" t="s">
        <v>909</v>
      </c>
      <c r="F596" s="539">
        <f t="shared" si="27"/>
        <v>820.5796405817307</v>
      </c>
      <c r="G596" s="540">
        <f t="shared" si="28"/>
        <v>68.381636715144225</v>
      </c>
      <c r="H596" s="541">
        <f t="shared" si="29"/>
        <v>14973.19699058173</v>
      </c>
      <c r="I596" s="446"/>
    </row>
    <row r="597" spans="2:9" ht="26.1" hidden="1" customHeight="1" thickTop="1" thickBot="1" x14ac:dyDescent="0.4">
      <c r="B597" s="366"/>
      <c r="C597" s="452">
        <v>46271</v>
      </c>
      <c r="D597" s="451">
        <v>202</v>
      </c>
      <c r="E597" s="581" t="s">
        <v>910</v>
      </c>
      <c r="F597" s="539">
        <f t="shared" si="27"/>
        <v>824.66212635576915</v>
      </c>
      <c r="G597" s="540">
        <f t="shared" si="28"/>
        <v>68.721843862980762</v>
      </c>
      <c r="H597" s="541">
        <f t="shared" si="29"/>
        <v>14977.279476355769</v>
      </c>
      <c r="I597" s="446"/>
    </row>
    <row r="598" spans="2:9" ht="26.1" hidden="1" customHeight="1" thickTop="1" thickBot="1" x14ac:dyDescent="0.4">
      <c r="B598" s="366"/>
      <c r="C598" s="452">
        <v>46272</v>
      </c>
      <c r="D598" s="451">
        <v>203</v>
      </c>
      <c r="E598" s="581" t="s">
        <v>904</v>
      </c>
      <c r="F598" s="539">
        <f t="shared" si="27"/>
        <v>828.74461212980759</v>
      </c>
      <c r="G598" s="540">
        <f t="shared" si="28"/>
        <v>69.062051010817299</v>
      </c>
      <c r="H598" s="541">
        <f t="shared" si="29"/>
        <v>14981.361962129806</v>
      </c>
      <c r="I598" s="446"/>
    </row>
    <row r="599" spans="2:9" ht="26.1" hidden="1" customHeight="1" thickTop="1" thickBot="1" x14ac:dyDescent="0.4">
      <c r="B599" s="366"/>
      <c r="C599" s="452">
        <v>46273</v>
      </c>
      <c r="D599" s="451">
        <v>204</v>
      </c>
      <c r="E599" s="581" t="s">
        <v>905</v>
      </c>
      <c r="F599" s="539">
        <f t="shared" si="27"/>
        <v>832.82709790384604</v>
      </c>
      <c r="G599" s="540">
        <f t="shared" si="28"/>
        <v>69.402258158653837</v>
      </c>
      <c r="H599" s="541">
        <f t="shared" si="29"/>
        <v>14985.444447903845</v>
      </c>
      <c r="I599" s="446"/>
    </row>
    <row r="600" spans="2:9" ht="26.1" hidden="1" customHeight="1" thickTop="1" thickBot="1" x14ac:dyDescent="0.4">
      <c r="B600" s="366"/>
      <c r="C600" s="452">
        <v>46274</v>
      </c>
      <c r="D600" s="451">
        <v>205</v>
      </c>
      <c r="E600" s="581" t="s">
        <v>906</v>
      </c>
      <c r="F600" s="539">
        <f t="shared" si="27"/>
        <v>836.90958367788448</v>
      </c>
      <c r="G600" s="540">
        <f t="shared" si="28"/>
        <v>69.742465306490374</v>
      </c>
      <c r="H600" s="541">
        <f t="shared" si="29"/>
        <v>14989.526933677884</v>
      </c>
      <c r="I600" s="446"/>
    </row>
    <row r="601" spans="2:9" ht="26.1" hidden="1" customHeight="1" thickTop="1" thickBot="1" x14ac:dyDescent="0.4">
      <c r="B601" s="366"/>
      <c r="C601" s="452">
        <v>46275</v>
      </c>
      <c r="D601" s="451">
        <v>206</v>
      </c>
      <c r="E601" s="581" t="s">
        <v>907</v>
      </c>
      <c r="F601" s="539">
        <f t="shared" si="27"/>
        <v>840.99206945192293</v>
      </c>
      <c r="G601" s="540">
        <f t="shared" si="28"/>
        <v>70.082672454326911</v>
      </c>
      <c r="H601" s="541">
        <f t="shared" si="29"/>
        <v>14993.609419451921</v>
      </c>
      <c r="I601" s="446"/>
    </row>
    <row r="602" spans="2:9" ht="26.1" hidden="1" customHeight="1" thickTop="1" thickBot="1" x14ac:dyDescent="0.4">
      <c r="B602" s="366"/>
      <c r="C602" s="452">
        <v>46276</v>
      </c>
      <c r="D602" s="451">
        <v>207</v>
      </c>
      <c r="E602" s="581" t="s">
        <v>908</v>
      </c>
      <c r="F602" s="539">
        <f t="shared" si="27"/>
        <v>845.07455522596138</v>
      </c>
      <c r="G602" s="540">
        <f t="shared" si="28"/>
        <v>70.422879602163448</v>
      </c>
      <c r="H602" s="541">
        <f t="shared" si="29"/>
        <v>14997.69190522596</v>
      </c>
      <c r="I602" s="446"/>
    </row>
    <row r="603" spans="2:9" ht="26.1" hidden="1" customHeight="1" thickTop="1" thickBot="1" x14ac:dyDescent="0.4">
      <c r="B603" s="366"/>
      <c r="C603" s="452">
        <v>46277</v>
      </c>
      <c r="D603" s="451">
        <v>208</v>
      </c>
      <c r="E603" s="581" t="s">
        <v>909</v>
      </c>
      <c r="F603" s="539">
        <f t="shared" si="27"/>
        <v>849.15704099999994</v>
      </c>
      <c r="G603" s="540">
        <f t="shared" si="28"/>
        <v>70.763086749999999</v>
      </c>
      <c r="H603" s="541">
        <f t="shared" si="29"/>
        <v>15001.774390999999</v>
      </c>
      <c r="I603" s="446"/>
    </row>
    <row r="604" spans="2:9" ht="26.1" hidden="1" customHeight="1" thickTop="1" thickBot="1" x14ac:dyDescent="0.4">
      <c r="B604" s="366"/>
      <c r="C604" s="452">
        <v>46278</v>
      </c>
      <c r="D604" s="451">
        <v>209</v>
      </c>
      <c r="E604" s="581" t="s">
        <v>910</v>
      </c>
      <c r="F604" s="539">
        <f t="shared" si="27"/>
        <v>853.23952677403838</v>
      </c>
      <c r="G604" s="540">
        <f t="shared" si="28"/>
        <v>71.103293897836537</v>
      </c>
      <c r="H604" s="541">
        <f t="shared" si="29"/>
        <v>15005.856876774036</v>
      </c>
      <c r="I604" s="446"/>
    </row>
    <row r="605" spans="2:9" ht="26.1" hidden="1" customHeight="1" thickTop="1" thickBot="1" x14ac:dyDescent="0.4">
      <c r="B605" s="366"/>
      <c r="C605" s="452">
        <v>46279</v>
      </c>
      <c r="D605" s="451">
        <v>210</v>
      </c>
      <c r="E605" s="581" t="s">
        <v>904</v>
      </c>
      <c r="F605" s="539">
        <f t="shared" si="27"/>
        <v>857.32201254807683</v>
      </c>
      <c r="G605" s="540">
        <f t="shared" si="28"/>
        <v>71.443501045673074</v>
      </c>
      <c r="H605" s="541">
        <f t="shared" si="29"/>
        <v>15009.939362548075</v>
      </c>
      <c r="I605" s="446"/>
    </row>
    <row r="606" spans="2:9" ht="26.1" hidden="1" customHeight="1" thickTop="1" thickBot="1" x14ac:dyDescent="0.4">
      <c r="B606" s="366"/>
      <c r="C606" s="452">
        <v>46280</v>
      </c>
      <c r="D606" s="451">
        <v>211</v>
      </c>
      <c r="E606" s="581" t="s">
        <v>905</v>
      </c>
      <c r="F606" s="539">
        <f t="shared" si="27"/>
        <v>861.40449832211527</v>
      </c>
      <c r="G606" s="540">
        <f t="shared" si="28"/>
        <v>71.783708193509611</v>
      </c>
      <c r="H606" s="541">
        <f t="shared" si="29"/>
        <v>15014.021848322114</v>
      </c>
      <c r="I606" s="446"/>
    </row>
    <row r="607" spans="2:9" ht="26.1" hidden="1" customHeight="1" thickTop="1" thickBot="1" x14ac:dyDescent="0.4">
      <c r="B607" s="366"/>
      <c r="C607" s="452">
        <v>46281</v>
      </c>
      <c r="D607" s="451">
        <v>212</v>
      </c>
      <c r="E607" s="581" t="s">
        <v>906</v>
      </c>
      <c r="F607" s="539">
        <f t="shared" si="27"/>
        <v>865.48698409615372</v>
      </c>
      <c r="G607" s="540">
        <f t="shared" si="28"/>
        <v>72.123915341346148</v>
      </c>
      <c r="H607" s="541">
        <f t="shared" si="29"/>
        <v>15018.104334096151</v>
      </c>
      <c r="I607" s="446"/>
    </row>
    <row r="608" spans="2:9" ht="26.1" hidden="1" customHeight="1" thickTop="1" thickBot="1" x14ac:dyDescent="0.4">
      <c r="B608" s="366"/>
      <c r="C608" s="452">
        <v>46282</v>
      </c>
      <c r="D608" s="451">
        <v>213</v>
      </c>
      <c r="E608" s="581" t="s">
        <v>907</v>
      </c>
      <c r="F608" s="539">
        <f t="shared" si="27"/>
        <v>869.56946987019217</v>
      </c>
      <c r="G608" s="540">
        <f t="shared" si="28"/>
        <v>72.464122489182685</v>
      </c>
      <c r="H608" s="541">
        <f t="shared" si="29"/>
        <v>15022.18681987019</v>
      </c>
      <c r="I608" s="446"/>
    </row>
    <row r="609" spans="2:9" ht="26.1" hidden="1" customHeight="1" thickTop="1" thickBot="1" x14ac:dyDescent="0.4">
      <c r="B609" s="366"/>
      <c r="C609" s="452">
        <v>46283</v>
      </c>
      <c r="D609" s="451">
        <v>214</v>
      </c>
      <c r="E609" s="581" t="s">
        <v>908</v>
      </c>
      <c r="F609" s="539">
        <f t="shared" si="27"/>
        <v>873.65195564423061</v>
      </c>
      <c r="G609" s="540">
        <f t="shared" si="28"/>
        <v>72.804329637019222</v>
      </c>
      <c r="H609" s="541">
        <f t="shared" si="29"/>
        <v>15026.269305644229</v>
      </c>
      <c r="I609" s="446"/>
    </row>
    <row r="610" spans="2:9" ht="26.1" hidden="1" customHeight="1" thickTop="1" thickBot="1" x14ac:dyDescent="0.4">
      <c r="B610" s="366"/>
      <c r="C610" s="452">
        <v>46284</v>
      </c>
      <c r="D610" s="451">
        <v>215</v>
      </c>
      <c r="E610" s="581" t="s">
        <v>909</v>
      </c>
      <c r="F610" s="539">
        <f t="shared" si="27"/>
        <v>877.73444141826917</v>
      </c>
      <c r="G610" s="540">
        <f t="shared" si="28"/>
        <v>73.144536784855759</v>
      </c>
      <c r="H610" s="541">
        <f t="shared" si="29"/>
        <v>15030.351791418268</v>
      </c>
      <c r="I610" s="446"/>
    </row>
    <row r="611" spans="2:9" ht="26.1" hidden="1" customHeight="1" thickTop="1" thickBot="1" x14ac:dyDescent="0.4">
      <c r="B611" s="366"/>
      <c r="C611" s="452">
        <v>46285</v>
      </c>
      <c r="D611" s="451">
        <v>216</v>
      </c>
      <c r="E611" s="581" t="s">
        <v>910</v>
      </c>
      <c r="F611" s="539">
        <f t="shared" si="27"/>
        <v>881.81692719230762</v>
      </c>
      <c r="G611" s="540">
        <f t="shared" si="28"/>
        <v>73.484743932692297</v>
      </c>
      <c r="H611" s="541">
        <f t="shared" si="29"/>
        <v>15034.434277192306</v>
      </c>
      <c r="I611" s="446"/>
    </row>
    <row r="612" spans="2:9" ht="26.1" hidden="1" customHeight="1" thickTop="1" thickBot="1" x14ac:dyDescent="0.4">
      <c r="B612" s="366"/>
      <c r="C612" s="452">
        <v>46286</v>
      </c>
      <c r="D612" s="451">
        <v>217</v>
      </c>
      <c r="E612" s="581" t="s">
        <v>904</v>
      </c>
      <c r="F612" s="539">
        <f t="shared" si="27"/>
        <v>885.89941296634606</v>
      </c>
      <c r="G612" s="540">
        <f t="shared" si="28"/>
        <v>73.824951080528834</v>
      </c>
      <c r="H612" s="541">
        <f t="shared" si="29"/>
        <v>15038.516762966345</v>
      </c>
      <c r="I612" s="446"/>
    </row>
    <row r="613" spans="2:9" ht="26.1" hidden="1" customHeight="1" thickTop="1" thickBot="1" x14ac:dyDescent="0.4">
      <c r="B613" s="366"/>
      <c r="C613" s="452">
        <v>46287</v>
      </c>
      <c r="D613" s="451">
        <v>218</v>
      </c>
      <c r="E613" s="581" t="s">
        <v>905</v>
      </c>
      <c r="F613" s="539">
        <f t="shared" si="27"/>
        <v>889.98189874038451</v>
      </c>
      <c r="G613" s="540">
        <f t="shared" si="28"/>
        <v>74.165158228365371</v>
      </c>
      <c r="H613" s="541">
        <f t="shared" si="29"/>
        <v>15042.599248740384</v>
      </c>
      <c r="I613" s="446"/>
    </row>
    <row r="614" spans="2:9" ht="26.1" hidden="1" customHeight="1" thickTop="1" thickBot="1" x14ac:dyDescent="0.4">
      <c r="B614" s="366"/>
      <c r="C614" s="452">
        <v>46288</v>
      </c>
      <c r="D614" s="451">
        <v>219</v>
      </c>
      <c r="E614" s="581" t="s">
        <v>906</v>
      </c>
      <c r="F614" s="539">
        <f t="shared" si="27"/>
        <v>894.06438451442295</v>
      </c>
      <c r="G614" s="540">
        <f t="shared" si="28"/>
        <v>74.505365376201908</v>
      </c>
      <c r="H614" s="541">
        <f t="shared" si="29"/>
        <v>15046.681734514421</v>
      </c>
      <c r="I614" s="446"/>
    </row>
    <row r="615" spans="2:9" ht="26.1" hidden="1" customHeight="1" thickTop="1" thickBot="1" x14ac:dyDescent="0.4">
      <c r="B615" s="366"/>
      <c r="C615" s="452">
        <v>46289</v>
      </c>
      <c r="D615" s="451">
        <v>220</v>
      </c>
      <c r="E615" s="581" t="s">
        <v>907</v>
      </c>
      <c r="F615" s="539">
        <f t="shared" si="27"/>
        <v>898.1468702884614</v>
      </c>
      <c r="G615" s="540">
        <f t="shared" si="28"/>
        <v>74.845572524038445</v>
      </c>
      <c r="H615" s="541">
        <f t="shared" si="29"/>
        <v>15050.76422028846</v>
      </c>
      <c r="I615" s="446"/>
    </row>
    <row r="616" spans="2:9" ht="26.1" hidden="1" customHeight="1" thickTop="1" thickBot="1" x14ac:dyDescent="0.4">
      <c r="B616" s="366"/>
      <c r="C616" s="452">
        <v>46290</v>
      </c>
      <c r="D616" s="451">
        <v>221</v>
      </c>
      <c r="E616" s="581" t="s">
        <v>908</v>
      </c>
      <c r="F616" s="539">
        <f t="shared" si="27"/>
        <v>902.22935606249985</v>
      </c>
      <c r="G616" s="540">
        <f t="shared" si="28"/>
        <v>75.185779671874982</v>
      </c>
      <c r="H616" s="541">
        <f t="shared" si="29"/>
        <v>15054.846706062499</v>
      </c>
      <c r="I616" s="446"/>
    </row>
    <row r="617" spans="2:9" ht="26.1" hidden="1" customHeight="1" thickTop="1" thickBot="1" x14ac:dyDescent="0.4">
      <c r="B617" s="366"/>
      <c r="C617" s="452">
        <v>46291</v>
      </c>
      <c r="D617" s="451">
        <v>222</v>
      </c>
      <c r="E617" s="581" t="s">
        <v>909</v>
      </c>
      <c r="F617" s="539">
        <f t="shared" si="27"/>
        <v>906.31184183653829</v>
      </c>
      <c r="G617" s="540">
        <f t="shared" si="28"/>
        <v>75.52598681971152</v>
      </c>
      <c r="H617" s="541">
        <f t="shared" si="29"/>
        <v>15058.929191836536</v>
      </c>
      <c r="I617" s="446"/>
    </row>
    <row r="618" spans="2:9" ht="26.1" hidden="1" customHeight="1" thickTop="1" thickBot="1" x14ac:dyDescent="0.4">
      <c r="B618" s="366"/>
      <c r="C618" s="452">
        <v>46292</v>
      </c>
      <c r="D618" s="451">
        <v>223</v>
      </c>
      <c r="E618" s="581" t="s">
        <v>910</v>
      </c>
      <c r="F618" s="539">
        <f t="shared" si="27"/>
        <v>910.39432761057685</v>
      </c>
      <c r="G618" s="540">
        <f t="shared" si="28"/>
        <v>75.866193967548071</v>
      </c>
      <c r="H618" s="541">
        <f t="shared" si="29"/>
        <v>15063.011677610575</v>
      </c>
      <c r="I618" s="446"/>
    </row>
    <row r="619" spans="2:9" ht="26.1" hidden="1" customHeight="1" thickTop="1" thickBot="1" x14ac:dyDescent="0.4">
      <c r="B619" s="366"/>
      <c r="C619" s="452">
        <v>46293</v>
      </c>
      <c r="D619" s="451">
        <v>224</v>
      </c>
      <c r="E619" s="581" t="s">
        <v>904</v>
      </c>
      <c r="F619" s="539">
        <f t="shared" si="27"/>
        <v>914.4768133846153</v>
      </c>
      <c r="G619" s="540">
        <f t="shared" si="28"/>
        <v>76.206401115384608</v>
      </c>
      <c r="H619" s="541">
        <f t="shared" si="29"/>
        <v>15067.094163384614</v>
      </c>
      <c r="I619" s="446"/>
    </row>
    <row r="620" spans="2:9" ht="26.1" hidden="1" customHeight="1" thickTop="1" thickBot="1" x14ac:dyDescent="0.4">
      <c r="B620" s="366"/>
      <c r="C620" s="452">
        <v>46294</v>
      </c>
      <c r="D620" s="451">
        <v>225</v>
      </c>
      <c r="E620" s="581" t="s">
        <v>905</v>
      </c>
      <c r="F620" s="539">
        <f t="shared" si="27"/>
        <v>918.55929915865374</v>
      </c>
      <c r="G620" s="540">
        <f t="shared" si="28"/>
        <v>76.546608263221145</v>
      </c>
      <c r="H620" s="541">
        <f t="shared" si="29"/>
        <v>15071.176649158653</v>
      </c>
      <c r="I620" s="446"/>
    </row>
    <row r="621" spans="2:9" ht="26.1" hidden="1" customHeight="1" thickTop="1" thickBot="1" x14ac:dyDescent="0.4">
      <c r="B621" s="366"/>
      <c r="C621" s="452">
        <v>46295</v>
      </c>
      <c r="D621" s="451">
        <v>226</v>
      </c>
      <c r="E621" s="581" t="s">
        <v>906</v>
      </c>
      <c r="F621" s="539">
        <f t="shared" si="27"/>
        <v>922.64178493269219</v>
      </c>
      <c r="G621" s="540">
        <f t="shared" si="28"/>
        <v>76.886815411057682</v>
      </c>
      <c r="H621" s="541">
        <f t="shared" si="29"/>
        <v>15075.25913493269</v>
      </c>
      <c r="I621" s="446"/>
    </row>
    <row r="622" spans="2:9" ht="26.1" hidden="1" customHeight="1" thickTop="1" thickBot="1" x14ac:dyDescent="0.4">
      <c r="B622" s="366"/>
      <c r="C622" s="452">
        <v>46296</v>
      </c>
      <c r="D622" s="451">
        <v>227</v>
      </c>
      <c r="E622" s="581" t="s">
        <v>907</v>
      </c>
      <c r="F622" s="539">
        <f t="shared" si="27"/>
        <v>926.72427070673064</v>
      </c>
      <c r="G622" s="540">
        <f t="shared" si="28"/>
        <v>77.22702255889422</v>
      </c>
      <c r="H622" s="541">
        <f t="shared" si="29"/>
        <v>15079.341620706729</v>
      </c>
      <c r="I622" s="446"/>
    </row>
    <row r="623" spans="2:9" ht="26.1" hidden="1" customHeight="1" thickTop="1" thickBot="1" x14ac:dyDescent="0.4">
      <c r="B623" s="366"/>
      <c r="C623" s="452">
        <v>46297</v>
      </c>
      <c r="D623" s="451">
        <v>228</v>
      </c>
      <c r="E623" s="581" t="s">
        <v>908</v>
      </c>
      <c r="F623" s="539">
        <f t="shared" si="27"/>
        <v>930.80675648076908</v>
      </c>
      <c r="G623" s="540">
        <f t="shared" si="28"/>
        <v>77.567229706730757</v>
      </c>
      <c r="H623" s="541">
        <f t="shared" si="29"/>
        <v>15083.424106480768</v>
      </c>
      <c r="I623" s="446"/>
    </row>
    <row r="624" spans="2:9" ht="26.1" hidden="1" customHeight="1" thickTop="1" thickBot="1" x14ac:dyDescent="0.4">
      <c r="B624" s="366"/>
      <c r="C624" s="452">
        <v>46298</v>
      </c>
      <c r="D624" s="451">
        <v>229</v>
      </c>
      <c r="E624" s="581" t="s">
        <v>909</v>
      </c>
      <c r="F624" s="539">
        <f t="shared" si="27"/>
        <v>934.88924225480753</v>
      </c>
      <c r="G624" s="540">
        <f t="shared" si="28"/>
        <v>77.907436854567294</v>
      </c>
      <c r="H624" s="541">
        <f t="shared" si="29"/>
        <v>15087.506592254806</v>
      </c>
      <c r="I624" s="446"/>
    </row>
    <row r="625" spans="2:9" ht="26.1" hidden="1" customHeight="1" thickTop="1" thickBot="1" x14ac:dyDescent="0.4">
      <c r="B625" s="366"/>
      <c r="C625" s="452">
        <v>46299</v>
      </c>
      <c r="D625" s="451">
        <v>230</v>
      </c>
      <c r="E625" s="581" t="s">
        <v>910</v>
      </c>
      <c r="F625" s="539">
        <f t="shared" si="27"/>
        <v>938.97172802884609</v>
      </c>
      <c r="G625" s="540">
        <f t="shared" si="28"/>
        <v>78.247644002403845</v>
      </c>
      <c r="H625" s="541">
        <f t="shared" si="29"/>
        <v>15091.589078028845</v>
      </c>
      <c r="I625" s="446"/>
    </row>
    <row r="626" spans="2:9" ht="26.1" hidden="1" customHeight="1" thickTop="1" thickBot="1" x14ac:dyDescent="0.4">
      <c r="B626" s="366"/>
      <c r="C626" s="452">
        <v>46300</v>
      </c>
      <c r="D626" s="451">
        <v>231</v>
      </c>
      <c r="E626" s="581" t="s">
        <v>904</v>
      </c>
      <c r="F626" s="539">
        <f t="shared" si="27"/>
        <v>943.05421380288453</v>
      </c>
      <c r="G626" s="540">
        <f t="shared" si="28"/>
        <v>78.587851150240382</v>
      </c>
      <c r="H626" s="541">
        <f t="shared" si="29"/>
        <v>15095.671563802884</v>
      </c>
      <c r="I626" s="446"/>
    </row>
    <row r="627" spans="2:9" ht="26.1" hidden="1" customHeight="1" thickTop="1" thickBot="1" x14ac:dyDescent="0.4">
      <c r="B627" s="366"/>
      <c r="C627" s="452">
        <v>46301</v>
      </c>
      <c r="D627" s="451">
        <v>232</v>
      </c>
      <c r="E627" s="581" t="s">
        <v>905</v>
      </c>
      <c r="F627" s="539">
        <f t="shared" si="27"/>
        <v>947.13669957692298</v>
      </c>
      <c r="G627" s="540">
        <f t="shared" si="28"/>
        <v>78.92805829807692</v>
      </c>
      <c r="H627" s="541">
        <f t="shared" si="29"/>
        <v>15099.754049576921</v>
      </c>
      <c r="I627" s="446"/>
    </row>
    <row r="628" spans="2:9" ht="26.1" hidden="1" customHeight="1" thickTop="1" thickBot="1" x14ac:dyDescent="0.4">
      <c r="B628" s="366"/>
      <c r="C628" s="452">
        <v>46302</v>
      </c>
      <c r="D628" s="451">
        <v>233</v>
      </c>
      <c r="E628" s="581" t="s">
        <v>906</v>
      </c>
      <c r="F628" s="539">
        <f t="shared" si="27"/>
        <v>951.21918535096142</v>
      </c>
      <c r="G628" s="540">
        <f t="shared" si="28"/>
        <v>79.268265445913457</v>
      </c>
      <c r="H628" s="541">
        <f t="shared" si="29"/>
        <v>15103.83653535096</v>
      </c>
      <c r="I628" s="446"/>
    </row>
    <row r="629" spans="2:9" ht="26.1" hidden="1" customHeight="1" thickTop="1" thickBot="1" x14ac:dyDescent="0.4">
      <c r="B629" s="366"/>
      <c r="C629" s="452">
        <v>46303</v>
      </c>
      <c r="D629" s="451">
        <v>234</v>
      </c>
      <c r="E629" s="581" t="s">
        <v>907</v>
      </c>
      <c r="F629" s="539">
        <f t="shared" si="27"/>
        <v>955.30167112499987</v>
      </c>
      <c r="G629" s="540">
        <f t="shared" si="28"/>
        <v>79.608472593749994</v>
      </c>
      <c r="H629" s="541">
        <f t="shared" si="29"/>
        <v>15107.919021124999</v>
      </c>
      <c r="I629" s="446"/>
    </row>
    <row r="630" spans="2:9" ht="26.1" hidden="1" customHeight="1" thickTop="1" thickBot="1" x14ac:dyDescent="0.4">
      <c r="B630" s="366"/>
      <c r="C630" s="452">
        <v>46304</v>
      </c>
      <c r="D630" s="451">
        <v>235</v>
      </c>
      <c r="E630" s="581" t="s">
        <v>908</v>
      </c>
      <c r="F630" s="539">
        <f t="shared" si="27"/>
        <v>959.38415689903832</v>
      </c>
      <c r="G630" s="540">
        <f t="shared" si="28"/>
        <v>79.948679741586531</v>
      </c>
      <c r="H630" s="541">
        <f t="shared" si="29"/>
        <v>15112.001506899036</v>
      </c>
      <c r="I630" s="446"/>
    </row>
    <row r="631" spans="2:9" ht="26.1" hidden="1" customHeight="1" thickTop="1" thickBot="1" x14ac:dyDescent="0.4">
      <c r="B631" s="366"/>
      <c r="C631" s="452">
        <v>46305</v>
      </c>
      <c r="D631" s="451">
        <v>236</v>
      </c>
      <c r="E631" s="581" t="s">
        <v>909</v>
      </c>
      <c r="F631" s="539">
        <f t="shared" si="27"/>
        <v>963.46664267307676</v>
      </c>
      <c r="G631" s="540">
        <f t="shared" si="28"/>
        <v>80.288886889423068</v>
      </c>
      <c r="H631" s="541">
        <f t="shared" si="29"/>
        <v>15116.083992673075</v>
      </c>
      <c r="I631" s="446"/>
    </row>
    <row r="632" spans="2:9" ht="26.1" hidden="1" customHeight="1" thickTop="1" thickBot="1" x14ac:dyDescent="0.4">
      <c r="B632" s="366"/>
      <c r="C632" s="452">
        <v>46306</v>
      </c>
      <c r="D632" s="451">
        <v>237</v>
      </c>
      <c r="E632" s="581" t="s">
        <v>910</v>
      </c>
      <c r="F632" s="539">
        <f t="shared" si="27"/>
        <v>967.54912844711521</v>
      </c>
      <c r="G632" s="540">
        <f t="shared" si="28"/>
        <v>80.629094037259605</v>
      </c>
      <c r="H632" s="541">
        <f t="shared" si="29"/>
        <v>15120.166478447114</v>
      </c>
      <c r="I632" s="446"/>
    </row>
    <row r="633" spans="2:9" ht="26.1" hidden="1" customHeight="1" thickTop="1" thickBot="1" x14ac:dyDescent="0.4">
      <c r="B633" s="366"/>
      <c r="C633" s="452">
        <v>46307</v>
      </c>
      <c r="D633" s="451">
        <v>238</v>
      </c>
      <c r="E633" s="581" t="s">
        <v>904</v>
      </c>
      <c r="F633" s="539">
        <f t="shared" si="27"/>
        <v>971.63161422115377</v>
      </c>
      <c r="G633" s="540">
        <f t="shared" si="28"/>
        <v>80.969301185096143</v>
      </c>
      <c r="H633" s="541">
        <f t="shared" si="29"/>
        <v>15124.248964221153</v>
      </c>
      <c r="I633" s="446"/>
    </row>
    <row r="634" spans="2:9" ht="26.1" hidden="1" customHeight="1" thickTop="1" thickBot="1" x14ac:dyDescent="0.4">
      <c r="B634" s="366"/>
      <c r="C634" s="452">
        <v>46308</v>
      </c>
      <c r="D634" s="451">
        <v>239</v>
      </c>
      <c r="E634" s="581" t="s">
        <v>905</v>
      </c>
      <c r="F634" s="539">
        <f t="shared" si="27"/>
        <v>975.71409999519221</v>
      </c>
      <c r="G634" s="540">
        <f t="shared" si="28"/>
        <v>81.30950833293268</v>
      </c>
      <c r="H634" s="541">
        <f t="shared" si="29"/>
        <v>15128.33144999519</v>
      </c>
      <c r="I634" s="446"/>
    </row>
    <row r="635" spans="2:9" ht="26.1" hidden="1" customHeight="1" thickTop="1" thickBot="1" x14ac:dyDescent="0.4">
      <c r="B635" s="366"/>
      <c r="C635" s="452">
        <v>46309</v>
      </c>
      <c r="D635" s="451">
        <v>240</v>
      </c>
      <c r="E635" s="581" t="s">
        <v>906</v>
      </c>
      <c r="F635" s="539">
        <f t="shared" si="27"/>
        <v>979.79658576923066</v>
      </c>
      <c r="G635" s="540">
        <f t="shared" si="28"/>
        <v>81.649715480769217</v>
      </c>
      <c r="H635" s="541">
        <f t="shared" si="29"/>
        <v>15132.413935769229</v>
      </c>
      <c r="I635" s="446"/>
    </row>
    <row r="636" spans="2:9" ht="26.1" hidden="1" customHeight="1" thickTop="1" thickBot="1" x14ac:dyDescent="0.4">
      <c r="B636" s="366"/>
      <c r="C636" s="452">
        <v>46310</v>
      </c>
      <c r="D636" s="451">
        <v>241</v>
      </c>
      <c r="E636" s="581" t="s">
        <v>907</v>
      </c>
      <c r="F636" s="539">
        <f t="shared" si="27"/>
        <v>983.87907154326911</v>
      </c>
      <c r="G636" s="540">
        <f t="shared" si="28"/>
        <v>81.989922628605754</v>
      </c>
      <c r="H636" s="541">
        <f t="shared" si="29"/>
        <v>15136.496421543268</v>
      </c>
      <c r="I636" s="446"/>
    </row>
    <row r="637" spans="2:9" ht="26.1" hidden="1" customHeight="1" thickTop="1" thickBot="1" x14ac:dyDescent="0.4">
      <c r="B637" s="366"/>
      <c r="C637" s="452">
        <v>46311</v>
      </c>
      <c r="D637" s="451">
        <v>242</v>
      </c>
      <c r="E637" s="581" t="s">
        <v>908</v>
      </c>
      <c r="F637" s="539">
        <f t="shared" si="27"/>
        <v>987.96155731730755</v>
      </c>
      <c r="G637" s="540">
        <f t="shared" si="28"/>
        <v>82.330129776442291</v>
      </c>
      <c r="H637" s="541">
        <f t="shared" si="29"/>
        <v>15140.578907317305</v>
      </c>
      <c r="I637" s="446"/>
    </row>
    <row r="638" spans="2:9" ht="26.1" hidden="1" customHeight="1" thickTop="1" thickBot="1" x14ac:dyDescent="0.4">
      <c r="B638" s="366"/>
      <c r="C638" s="452">
        <v>46312</v>
      </c>
      <c r="D638" s="451">
        <v>243</v>
      </c>
      <c r="E638" s="581" t="s">
        <v>909</v>
      </c>
      <c r="F638" s="539">
        <f t="shared" si="27"/>
        <v>992.044043091346</v>
      </c>
      <c r="G638" s="540">
        <f t="shared" si="28"/>
        <v>82.670336924278828</v>
      </c>
      <c r="H638" s="541">
        <f t="shared" si="29"/>
        <v>15144.661393091345</v>
      </c>
      <c r="I638" s="446"/>
    </row>
    <row r="639" spans="2:9" ht="26.1" hidden="1" customHeight="1" thickTop="1" thickBot="1" x14ac:dyDescent="0.4">
      <c r="B639" s="366"/>
      <c r="C639" s="452">
        <v>46313</v>
      </c>
      <c r="D639" s="451">
        <v>244</v>
      </c>
      <c r="E639" s="581" t="s">
        <v>910</v>
      </c>
      <c r="F639" s="539">
        <f t="shared" si="27"/>
        <v>996.12652886538444</v>
      </c>
      <c r="G639" s="540">
        <f t="shared" si="28"/>
        <v>83.010544072115366</v>
      </c>
      <c r="H639" s="541">
        <f t="shared" si="29"/>
        <v>15148.743878865384</v>
      </c>
      <c r="I639" s="446"/>
    </row>
    <row r="640" spans="2:9" ht="26.1" hidden="1" customHeight="1" thickTop="1" thickBot="1" x14ac:dyDescent="0.4">
      <c r="B640" s="366"/>
      <c r="C640" s="452">
        <v>46314</v>
      </c>
      <c r="D640" s="451">
        <v>245</v>
      </c>
      <c r="E640" s="581" t="s">
        <v>904</v>
      </c>
      <c r="F640" s="539">
        <f t="shared" si="27"/>
        <v>1000.209014639423</v>
      </c>
      <c r="G640" s="540">
        <f t="shared" si="28"/>
        <v>83.350751219951917</v>
      </c>
      <c r="H640" s="541">
        <f t="shared" si="29"/>
        <v>15152.826364639423</v>
      </c>
      <c r="I640" s="446"/>
    </row>
    <row r="641" spans="2:9" ht="26.1" hidden="1" customHeight="1" thickTop="1" thickBot="1" x14ac:dyDescent="0.4">
      <c r="B641" s="366"/>
      <c r="C641" s="452">
        <v>46315</v>
      </c>
      <c r="D641" s="451">
        <v>246</v>
      </c>
      <c r="E641" s="581" t="s">
        <v>905</v>
      </c>
      <c r="F641" s="539">
        <f t="shared" si="27"/>
        <v>1004.2915004134614</v>
      </c>
      <c r="G641" s="540">
        <f t="shared" si="28"/>
        <v>83.690958367788454</v>
      </c>
      <c r="H641" s="541">
        <f t="shared" si="29"/>
        <v>15156.90885041346</v>
      </c>
      <c r="I641" s="446"/>
    </row>
    <row r="642" spans="2:9" ht="26.1" hidden="1" customHeight="1" thickTop="1" thickBot="1" x14ac:dyDescent="0.4">
      <c r="B642" s="366"/>
      <c r="C642" s="452">
        <v>46316</v>
      </c>
      <c r="D642" s="451">
        <v>247</v>
      </c>
      <c r="E642" s="581" t="s">
        <v>906</v>
      </c>
      <c r="F642" s="539">
        <f t="shared" si="27"/>
        <v>1008.3739861874999</v>
      </c>
      <c r="G642" s="540">
        <f t="shared" si="28"/>
        <v>84.031165515624991</v>
      </c>
      <c r="H642" s="541">
        <f t="shared" si="29"/>
        <v>15160.991336187499</v>
      </c>
      <c r="I642" s="446"/>
    </row>
    <row r="643" spans="2:9" ht="26.1" hidden="1" customHeight="1" thickTop="1" thickBot="1" x14ac:dyDescent="0.4">
      <c r="B643" s="366"/>
      <c r="C643" s="452">
        <v>46317</v>
      </c>
      <c r="D643" s="451">
        <v>248</v>
      </c>
      <c r="E643" s="581" t="s">
        <v>907</v>
      </c>
      <c r="F643" s="539">
        <f t="shared" si="27"/>
        <v>1012.4564719615383</v>
      </c>
      <c r="G643" s="540">
        <f t="shared" si="28"/>
        <v>84.371372663461528</v>
      </c>
      <c r="H643" s="541">
        <f t="shared" si="29"/>
        <v>15165.073821961538</v>
      </c>
      <c r="I643" s="446"/>
    </row>
    <row r="644" spans="2:9" ht="26.1" hidden="1" customHeight="1" thickTop="1" thickBot="1" x14ac:dyDescent="0.4">
      <c r="B644" s="366"/>
      <c r="C644" s="452">
        <v>46318</v>
      </c>
      <c r="D644" s="451">
        <v>249</v>
      </c>
      <c r="E644" s="581" t="s">
        <v>908</v>
      </c>
      <c r="F644" s="539">
        <f t="shared" si="27"/>
        <v>1016.5389577355768</v>
      </c>
      <c r="G644" s="540">
        <f t="shared" si="28"/>
        <v>84.711579811298066</v>
      </c>
      <c r="H644" s="541">
        <f t="shared" si="29"/>
        <v>15169.156307735575</v>
      </c>
      <c r="I644" s="446"/>
    </row>
    <row r="645" spans="2:9" ht="26.1" hidden="1" customHeight="1" thickTop="1" thickBot="1" x14ac:dyDescent="0.4">
      <c r="B645" s="366"/>
      <c r="C645" s="452">
        <v>46319</v>
      </c>
      <c r="D645" s="451">
        <v>250</v>
      </c>
      <c r="E645" s="581" t="s">
        <v>909</v>
      </c>
      <c r="F645" s="539">
        <f t="shared" si="27"/>
        <v>1020.6214435096152</v>
      </c>
      <c r="G645" s="540">
        <f t="shared" si="28"/>
        <v>85.051786959134603</v>
      </c>
      <c r="H645" s="541">
        <f t="shared" si="29"/>
        <v>15173.238793509614</v>
      </c>
      <c r="I645" s="446"/>
    </row>
    <row r="646" spans="2:9" ht="26.1" hidden="1" customHeight="1" thickTop="1" thickBot="1" x14ac:dyDescent="0.4">
      <c r="B646" s="366"/>
      <c r="C646" s="452">
        <v>46320</v>
      </c>
      <c r="D646" s="451">
        <v>251</v>
      </c>
      <c r="E646" s="581" t="s">
        <v>910</v>
      </c>
      <c r="F646" s="539">
        <f t="shared" si="27"/>
        <v>1024.7039292836537</v>
      </c>
      <c r="G646" s="540">
        <f t="shared" si="28"/>
        <v>85.39199410697114</v>
      </c>
      <c r="H646" s="541">
        <f t="shared" si="29"/>
        <v>15177.321279283653</v>
      </c>
      <c r="I646" s="446"/>
    </row>
    <row r="647" spans="2:9" ht="26.1" hidden="1" customHeight="1" thickTop="1" thickBot="1" x14ac:dyDescent="0.4">
      <c r="B647" s="366"/>
      <c r="C647" s="452">
        <v>46321</v>
      </c>
      <c r="D647" s="451">
        <v>252</v>
      </c>
      <c r="E647" s="581" t="s">
        <v>904</v>
      </c>
      <c r="F647" s="539">
        <f t="shared" si="27"/>
        <v>1028.7864150576922</v>
      </c>
      <c r="G647" s="540">
        <f t="shared" si="28"/>
        <v>85.732201254807691</v>
      </c>
      <c r="H647" s="541">
        <f t="shared" si="29"/>
        <v>15181.40376505769</v>
      </c>
      <c r="I647" s="446"/>
    </row>
    <row r="648" spans="2:9" ht="26.1" hidden="1" customHeight="1" thickTop="1" thickBot="1" x14ac:dyDescent="0.4">
      <c r="B648" s="366"/>
      <c r="C648" s="452">
        <v>46322</v>
      </c>
      <c r="D648" s="451">
        <v>253</v>
      </c>
      <c r="E648" s="581" t="s">
        <v>905</v>
      </c>
      <c r="F648" s="539">
        <f t="shared" si="27"/>
        <v>1032.8689008317306</v>
      </c>
      <c r="G648" s="540">
        <f t="shared" si="28"/>
        <v>86.072408402644214</v>
      </c>
      <c r="H648" s="541">
        <f t="shared" si="29"/>
        <v>15185.486250831729</v>
      </c>
      <c r="I648" s="446"/>
    </row>
    <row r="649" spans="2:9" ht="26.1" hidden="1" customHeight="1" thickTop="1" thickBot="1" x14ac:dyDescent="0.4">
      <c r="B649" s="366"/>
      <c r="C649" s="452">
        <v>46323</v>
      </c>
      <c r="D649" s="451">
        <v>254</v>
      </c>
      <c r="E649" s="581" t="s">
        <v>906</v>
      </c>
      <c r="F649" s="539">
        <f t="shared" si="27"/>
        <v>1036.9513866057691</v>
      </c>
      <c r="G649" s="540">
        <f t="shared" si="28"/>
        <v>86.412615550480766</v>
      </c>
      <c r="H649" s="541">
        <f t="shared" si="29"/>
        <v>15189.568736605768</v>
      </c>
      <c r="I649" s="446"/>
    </row>
    <row r="650" spans="2:9" ht="26.1" hidden="1" customHeight="1" thickTop="1" thickBot="1" x14ac:dyDescent="0.4">
      <c r="B650" s="366"/>
      <c r="C650" s="452">
        <v>46324</v>
      </c>
      <c r="D650" s="451">
        <v>255</v>
      </c>
      <c r="E650" s="581" t="s">
        <v>907</v>
      </c>
      <c r="F650" s="539">
        <f t="shared" si="27"/>
        <v>1041.0338723798075</v>
      </c>
      <c r="G650" s="540">
        <f t="shared" si="28"/>
        <v>86.752822698317289</v>
      </c>
      <c r="H650" s="541">
        <f t="shared" si="29"/>
        <v>15193.651222379805</v>
      </c>
      <c r="I650" s="446"/>
    </row>
    <row r="651" spans="2:9" ht="26.1" hidden="1" customHeight="1" thickTop="1" thickBot="1" x14ac:dyDescent="0.4">
      <c r="B651" s="366"/>
      <c r="C651" s="452">
        <v>46325</v>
      </c>
      <c r="D651" s="451">
        <v>256</v>
      </c>
      <c r="E651" s="581" t="s">
        <v>908</v>
      </c>
      <c r="F651" s="539">
        <f t="shared" si="27"/>
        <v>1045.116358153846</v>
      </c>
      <c r="G651" s="540">
        <f t="shared" si="28"/>
        <v>87.09302984615384</v>
      </c>
      <c r="H651" s="541">
        <f t="shared" si="29"/>
        <v>15197.733708153844</v>
      </c>
      <c r="I651" s="446"/>
    </row>
    <row r="652" spans="2:9" ht="26.1" hidden="1" customHeight="1" thickTop="1" thickBot="1" x14ac:dyDescent="0.4">
      <c r="B652" s="366"/>
      <c r="C652" s="452">
        <v>46326</v>
      </c>
      <c r="D652" s="451">
        <v>257</v>
      </c>
      <c r="E652" s="581" t="s">
        <v>909</v>
      </c>
      <c r="F652" s="539">
        <f t="shared" si="27"/>
        <v>1049.1988439278846</v>
      </c>
      <c r="G652" s="540">
        <f t="shared" si="28"/>
        <v>87.433236993990377</v>
      </c>
      <c r="H652" s="541">
        <f t="shared" si="29"/>
        <v>15201.816193927883</v>
      </c>
      <c r="I652" s="446"/>
    </row>
    <row r="653" spans="2:9" ht="26.1" hidden="1" customHeight="1" thickTop="1" thickBot="1" x14ac:dyDescent="0.4">
      <c r="B653" s="366"/>
      <c r="C653" s="452">
        <v>46327</v>
      </c>
      <c r="D653" s="451">
        <v>258</v>
      </c>
      <c r="E653" s="581" t="s">
        <v>910</v>
      </c>
      <c r="F653" s="539">
        <f t="shared" ref="F653:F716" si="30">$E$388/$F$390*D653</f>
        <v>1053.2813297019229</v>
      </c>
      <c r="G653" s="540">
        <f t="shared" ref="G653:G716" si="31">F653/$C$392</f>
        <v>87.773444141826914</v>
      </c>
      <c r="H653" s="541">
        <f t="shared" ref="H653:H716" si="32">$C$388+F653</f>
        <v>15205.898679701921</v>
      </c>
      <c r="I653" s="446"/>
    </row>
    <row r="654" spans="2:9" ht="26.1" hidden="1" customHeight="1" thickTop="1" thickBot="1" x14ac:dyDescent="0.4">
      <c r="B654" s="366"/>
      <c r="C654" s="452">
        <v>46328</v>
      </c>
      <c r="D654" s="451">
        <v>259</v>
      </c>
      <c r="E654" s="581" t="s">
        <v>904</v>
      </c>
      <c r="F654" s="539">
        <f t="shared" si="30"/>
        <v>1057.3638154759615</v>
      </c>
      <c r="G654" s="540">
        <f t="shared" si="31"/>
        <v>88.113651289663451</v>
      </c>
      <c r="H654" s="541">
        <f t="shared" si="32"/>
        <v>15209.98116547596</v>
      </c>
      <c r="I654" s="446"/>
    </row>
    <row r="655" spans="2:9" ht="26.1" hidden="1" customHeight="1" thickTop="1" thickBot="1" x14ac:dyDescent="0.4">
      <c r="B655" s="366"/>
      <c r="C655" s="452">
        <v>46329</v>
      </c>
      <c r="D655" s="451">
        <v>260</v>
      </c>
      <c r="E655" s="581" t="s">
        <v>905</v>
      </c>
      <c r="F655" s="539">
        <f t="shared" si="30"/>
        <v>1061.4463012499998</v>
      </c>
      <c r="G655" s="540">
        <f t="shared" si="31"/>
        <v>88.453858437499989</v>
      </c>
      <c r="H655" s="541">
        <f t="shared" si="32"/>
        <v>15214.063651249999</v>
      </c>
      <c r="I655" s="446"/>
    </row>
    <row r="656" spans="2:9" ht="26.1" hidden="1" customHeight="1" thickTop="1" thickBot="1" x14ac:dyDescent="0.4">
      <c r="B656" s="366"/>
      <c r="C656" s="452">
        <v>46330</v>
      </c>
      <c r="D656" s="451">
        <v>261</v>
      </c>
      <c r="E656" s="581" t="s">
        <v>906</v>
      </c>
      <c r="F656" s="539">
        <f t="shared" si="30"/>
        <v>1065.5287870240384</v>
      </c>
      <c r="G656" s="540">
        <f t="shared" si="31"/>
        <v>88.794065585336526</v>
      </c>
      <c r="H656" s="541">
        <f t="shared" si="32"/>
        <v>15218.146137024038</v>
      </c>
      <c r="I656" s="446"/>
    </row>
    <row r="657" spans="2:9" ht="26.1" hidden="1" customHeight="1" thickTop="1" thickBot="1" x14ac:dyDescent="0.4">
      <c r="B657" s="366"/>
      <c r="C657" s="452">
        <v>46331</v>
      </c>
      <c r="D657" s="451">
        <v>262</v>
      </c>
      <c r="E657" s="581" t="s">
        <v>907</v>
      </c>
      <c r="F657" s="539">
        <f t="shared" si="30"/>
        <v>1069.6112727980767</v>
      </c>
      <c r="G657" s="540">
        <f t="shared" si="31"/>
        <v>89.134272733173063</v>
      </c>
      <c r="H657" s="541">
        <f t="shared" si="32"/>
        <v>15222.228622798075</v>
      </c>
      <c r="I657" s="446"/>
    </row>
    <row r="658" spans="2:9" ht="26.1" hidden="1" customHeight="1" thickTop="1" thickBot="1" x14ac:dyDescent="0.4">
      <c r="B658" s="366"/>
      <c r="C658" s="452">
        <v>46332</v>
      </c>
      <c r="D658" s="451">
        <v>263</v>
      </c>
      <c r="E658" s="581" t="s">
        <v>908</v>
      </c>
      <c r="F658" s="539">
        <f t="shared" si="30"/>
        <v>1073.6937585721153</v>
      </c>
      <c r="G658" s="540">
        <f t="shared" si="31"/>
        <v>89.4744798810096</v>
      </c>
      <c r="H658" s="541">
        <f t="shared" si="32"/>
        <v>15226.311108572114</v>
      </c>
      <c r="I658" s="446"/>
    </row>
    <row r="659" spans="2:9" ht="26.1" hidden="1" customHeight="1" thickTop="1" thickBot="1" x14ac:dyDescent="0.4">
      <c r="B659" s="366"/>
      <c r="C659" s="452">
        <v>46333</v>
      </c>
      <c r="D659" s="451">
        <v>264</v>
      </c>
      <c r="E659" s="581" t="s">
        <v>909</v>
      </c>
      <c r="F659" s="539">
        <f t="shared" si="30"/>
        <v>1077.7762443461538</v>
      </c>
      <c r="G659" s="540">
        <f t="shared" si="31"/>
        <v>89.814687028846151</v>
      </c>
      <c r="H659" s="541">
        <f t="shared" si="32"/>
        <v>15230.393594346153</v>
      </c>
      <c r="I659" s="446"/>
    </row>
    <row r="660" spans="2:9" ht="26.1" hidden="1" customHeight="1" thickTop="1" thickBot="1" x14ac:dyDescent="0.4">
      <c r="B660" s="366"/>
      <c r="C660" s="452">
        <v>46334</v>
      </c>
      <c r="D660" s="451">
        <v>265</v>
      </c>
      <c r="E660" s="581" t="s">
        <v>910</v>
      </c>
      <c r="F660" s="539">
        <f t="shared" si="30"/>
        <v>1081.8587301201921</v>
      </c>
      <c r="G660" s="540">
        <f t="shared" si="31"/>
        <v>90.154894176682674</v>
      </c>
      <c r="H660" s="541">
        <f t="shared" si="32"/>
        <v>15234.47608012019</v>
      </c>
      <c r="I660" s="446"/>
    </row>
    <row r="661" spans="2:9" ht="26.1" hidden="1" customHeight="1" thickTop="1" thickBot="1" x14ac:dyDescent="0.4">
      <c r="B661" s="366"/>
      <c r="C661" s="452">
        <v>46335</v>
      </c>
      <c r="D661" s="451">
        <v>266</v>
      </c>
      <c r="E661" s="581" t="s">
        <v>904</v>
      </c>
      <c r="F661" s="539">
        <f t="shared" si="30"/>
        <v>1085.9412158942307</v>
      </c>
      <c r="G661" s="540">
        <f t="shared" si="31"/>
        <v>90.495101324519226</v>
      </c>
      <c r="H661" s="541">
        <f t="shared" si="32"/>
        <v>15238.558565894229</v>
      </c>
      <c r="I661" s="446"/>
    </row>
    <row r="662" spans="2:9" ht="26.1" hidden="1" customHeight="1" thickTop="1" thickBot="1" x14ac:dyDescent="0.4">
      <c r="B662" s="366"/>
      <c r="C662" s="452">
        <v>46336</v>
      </c>
      <c r="D662" s="451">
        <v>267</v>
      </c>
      <c r="E662" s="581" t="s">
        <v>905</v>
      </c>
      <c r="F662" s="539">
        <f t="shared" si="30"/>
        <v>1090.023701668269</v>
      </c>
      <c r="G662" s="540">
        <f t="shared" si="31"/>
        <v>90.835308472355749</v>
      </c>
      <c r="H662" s="541">
        <f t="shared" si="32"/>
        <v>15242.641051668268</v>
      </c>
      <c r="I662" s="446"/>
    </row>
    <row r="663" spans="2:9" ht="26.1" hidden="1" customHeight="1" thickTop="1" thickBot="1" x14ac:dyDescent="0.4">
      <c r="B663" s="366"/>
      <c r="C663" s="452">
        <v>46337</v>
      </c>
      <c r="D663" s="451">
        <v>268</v>
      </c>
      <c r="E663" s="581" t="s">
        <v>906</v>
      </c>
      <c r="F663" s="539">
        <f t="shared" si="30"/>
        <v>1094.1061874423076</v>
      </c>
      <c r="G663" s="540">
        <f t="shared" si="31"/>
        <v>91.1755156201923</v>
      </c>
      <c r="H663" s="541">
        <f t="shared" si="32"/>
        <v>15246.723537442307</v>
      </c>
      <c r="I663" s="446"/>
    </row>
    <row r="664" spans="2:9" ht="26.1" hidden="1" customHeight="1" thickTop="1" thickBot="1" x14ac:dyDescent="0.4">
      <c r="B664" s="366"/>
      <c r="C664" s="452">
        <v>46338</v>
      </c>
      <c r="D664" s="451">
        <v>269</v>
      </c>
      <c r="E664" s="581" t="s">
        <v>907</v>
      </c>
      <c r="F664" s="539">
        <f t="shared" si="30"/>
        <v>1098.1886732163459</v>
      </c>
      <c r="G664" s="540">
        <f t="shared" si="31"/>
        <v>91.515722768028823</v>
      </c>
      <c r="H664" s="541">
        <f t="shared" si="32"/>
        <v>15250.806023216344</v>
      </c>
      <c r="I664" s="446"/>
    </row>
    <row r="665" spans="2:9" ht="26.1" hidden="1" customHeight="1" thickTop="1" thickBot="1" x14ac:dyDescent="0.4">
      <c r="B665" s="366"/>
      <c r="C665" s="452">
        <v>46339</v>
      </c>
      <c r="D665" s="451">
        <v>270</v>
      </c>
      <c r="E665" s="581" t="s">
        <v>908</v>
      </c>
      <c r="F665" s="539">
        <f t="shared" si="30"/>
        <v>1102.2711589903845</v>
      </c>
      <c r="G665" s="540">
        <f t="shared" si="31"/>
        <v>91.855929915865374</v>
      </c>
      <c r="H665" s="541">
        <f t="shared" si="32"/>
        <v>15254.888508990383</v>
      </c>
      <c r="I665" s="446"/>
    </row>
    <row r="666" spans="2:9" ht="26.1" hidden="1" customHeight="1" thickTop="1" thickBot="1" x14ac:dyDescent="0.4">
      <c r="B666" s="366"/>
      <c r="C666" s="452">
        <v>46340</v>
      </c>
      <c r="D666" s="451">
        <v>271</v>
      </c>
      <c r="E666" s="581" t="s">
        <v>909</v>
      </c>
      <c r="F666" s="539">
        <f t="shared" si="30"/>
        <v>1106.3536447644228</v>
      </c>
      <c r="G666" s="540">
        <f t="shared" si="31"/>
        <v>92.196137063701897</v>
      </c>
      <c r="H666" s="541">
        <f t="shared" si="32"/>
        <v>15258.970994764422</v>
      </c>
      <c r="I666" s="446"/>
    </row>
    <row r="667" spans="2:9" ht="26.1" hidden="1" customHeight="1" thickTop="1" thickBot="1" x14ac:dyDescent="0.4">
      <c r="B667" s="366"/>
      <c r="C667" s="452">
        <v>46341</v>
      </c>
      <c r="D667" s="451">
        <v>272</v>
      </c>
      <c r="E667" s="581" t="s">
        <v>910</v>
      </c>
      <c r="F667" s="539">
        <f t="shared" si="30"/>
        <v>1110.4361305384614</v>
      </c>
      <c r="G667" s="540">
        <f t="shared" si="31"/>
        <v>92.536344211538449</v>
      </c>
      <c r="H667" s="541">
        <f t="shared" si="32"/>
        <v>15263.05348053846</v>
      </c>
      <c r="I667" s="446"/>
    </row>
    <row r="668" spans="2:9" ht="26.1" hidden="1" customHeight="1" thickTop="1" thickBot="1" x14ac:dyDescent="0.4">
      <c r="B668" s="366"/>
      <c r="C668" s="452">
        <v>46342</v>
      </c>
      <c r="D668" s="451">
        <v>273</v>
      </c>
      <c r="E668" s="581" t="s">
        <v>904</v>
      </c>
      <c r="F668" s="539">
        <f t="shared" si="30"/>
        <v>1114.5186163124999</v>
      </c>
      <c r="G668" s="540">
        <f t="shared" si="31"/>
        <v>92.876551359375</v>
      </c>
      <c r="H668" s="541">
        <f t="shared" si="32"/>
        <v>15267.135966312499</v>
      </c>
      <c r="I668" s="446"/>
    </row>
    <row r="669" spans="2:9" ht="26.1" hidden="1" customHeight="1" thickTop="1" thickBot="1" x14ac:dyDescent="0.4">
      <c r="B669" s="366"/>
      <c r="C669" s="452">
        <v>46343</v>
      </c>
      <c r="D669" s="451">
        <v>274</v>
      </c>
      <c r="E669" s="581" t="s">
        <v>905</v>
      </c>
      <c r="F669" s="539">
        <f t="shared" si="30"/>
        <v>1118.6011020865383</v>
      </c>
      <c r="G669" s="540">
        <f t="shared" si="31"/>
        <v>93.216758507211523</v>
      </c>
      <c r="H669" s="541">
        <f t="shared" si="32"/>
        <v>15271.218452086538</v>
      </c>
      <c r="I669" s="446"/>
    </row>
    <row r="670" spans="2:9" ht="26.1" hidden="1" customHeight="1" thickTop="1" thickBot="1" x14ac:dyDescent="0.4">
      <c r="B670" s="366"/>
      <c r="C670" s="452">
        <v>46344</v>
      </c>
      <c r="D670" s="451">
        <v>275</v>
      </c>
      <c r="E670" s="581" t="s">
        <v>906</v>
      </c>
      <c r="F670" s="539">
        <f t="shared" si="30"/>
        <v>1122.6835878605768</v>
      </c>
      <c r="G670" s="540">
        <f t="shared" si="31"/>
        <v>93.556965655048074</v>
      </c>
      <c r="H670" s="541">
        <f t="shared" si="32"/>
        <v>15275.300937860575</v>
      </c>
      <c r="I670" s="446"/>
    </row>
    <row r="671" spans="2:9" ht="26.1" hidden="1" customHeight="1" thickTop="1" thickBot="1" x14ac:dyDescent="0.4">
      <c r="B671" s="366"/>
      <c r="C671" s="452">
        <v>46345</v>
      </c>
      <c r="D671" s="451">
        <v>276</v>
      </c>
      <c r="E671" s="581" t="s">
        <v>907</v>
      </c>
      <c r="F671" s="539">
        <f t="shared" si="30"/>
        <v>1126.7660736346152</v>
      </c>
      <c r="G671" s="540">
        <f t="shared" si="31"/>
        <v>93.897172802884597</v>
      </c>
      <c r="H671" s="541">
        <f t="shared" si="32"/>
        <v>15279.383423634614</v>
      </c>
      <c r="I671" s="446"/>
    </row>
    <row r="672" spans="2:9" ht="26.1" hidden="1" customHeight="1" thickTop="1" thickBot="1" x14ac:dyDescent="0.4">
      <c r="B672" s="366"/>
      <c r="C672" s="452">
        <v>46346</v>
      </c>
      <c r="D672" s="451">
        <v>277</v>
      </c>
      <c r="E672" s="581" t="s">
        <v>908</v>
      </c>
      <c r="F672" s="539">
        <f t="shared" si="30"/>
        <v>1130.8485594086537</v>
      </c>
      <c r="G672" s="540">
        <f t="shared" si="31"/>
        <v>94.237379950721149</v>
      </c>
      <c r="H672" s="541">
        <f t="shared" si="32"/>
        <v>15283.465909408653</v>
      </c>
      <c r="I672" s="446"/>
    </row>
    <row r="673" spans="2:9" ht="26.1" hidden="1" customHeight="1" thickTop="1" thickBot="1" x14ac:dyDescent="0.4">
      <c r="B673" s="366"/>
      <c r="C673" s="452">
        <v>46347</v>
      </c>
      <c r="D673" s="451">
        <v>278</v>
      </c>
      <c r="E673" s="581" t="s">
        <v>909</v>
      </c>
      <c r="F673" s="539">
        <f t="shared" si="30"/>
        <v>1134.9310451826921</v>
      </c>
      <c r="G673" s="540">
        <f t="shared" si="31"/>
        <v>94.577587098557672</v>
      </c>
      <c r="H673" s="541">
        <f t="shared" si="32"/>
        <v>15287.54839518269</v>
      </c>
      <c r="I673" s="446"/>
    </row>
    <row r="674" spans="2:9" ht="26.1" hidden="1" customHeight="1" thickTop="1" thickBot="1" x14ac:dyDescent="0.4">
      <c r="B674" s="366"/>
      <c r="C674" s="452">
        <v>46348</v>
      </c>
      <c r="D674" s="451">
        <v>279</v>
      </c>
      <c r="E674" s="581" t="s">
        <v>910</v>
      </c>
      <c r="F674" s="539">
        <f t="shared" si="30"/>
        <v>1139.0135309567306</v>
      </c>
      <c r="G674" s="540">
        <f t="shared" si="31"/>
        <v>94.917794246394223</v>
      </c>
      <c r="H674" s="541">
        <f t="shared" si="32"/>
        <v>15291.630880956729</v>
      </c>
      <c r="I674" s="446"/>
    </row>
    <row r="675" spans="2:9" ht="26.1" hidden="1" customHeight="1" thickTop="1" thickBot="1" x14ac:dyDescent="0.4">
      <c r="B675" s="366"/>
      <c r="C675" s="452">
        <v>46349</v>
      </c>
      <c r="D675" s="451">
        <v>280</v>
      </c>
      <c r="E675" s="581" t="s">
        <v>904</v>
      </c>
      <c r="F675" s="539">
        <f t="shared" si="30"/>
        <v>1143.0960167307692</v>
      </c>
      <c r="G675" s="540">
        <f t="shared" si="31"/>
        <v>95.25800139423076</v>
      </c>
      <c r="H675" s="541">
        <f t="shared" si="32"/>
        <v>15295.713366730768</v>
      </c>
      <c r="I675" s="446"/>
    </row>
    <row r="676" spans="2:9" ht="26.1" hidden="1" customHeight="1" thickTop="1" thickBot="1" x14ac:dyDescent="0.4">
      <c r="B676" s="366"/>
      <c r="C676" s="452">
        <v>46350</v>
      </c>
      <c r="D676" s="451">
        <v>281</v>
      </c>
      <c r="E676" s="581" t="s">
        <v>905</v>
      </c>
      <c r="F676" s="539">
        <f t="shared" si="30"/>
        <v>1147.1785025048075</v>
      </c>
      <c r="G676" s="540">
        <f t="shared" si="31"/>
        <v>95.598208542067297</v>
      </c>
      <c r="H676" s="541">
        <f t="shared" si="32"/>
        <v>15299.795852504805</v>
      </c>
      <c r="I676" s="446"/>
    </row>
    <row r="677" spans="2:9" ht="26.1" hidden="1" customHeight="1" thickTop="1" thickBot="1" x14ac:dyDescent="0.4">
      <c r="B677" s="366"/>
      <c r="C677" s="452">
        <v>46351</v>
      </c>
      <c r="D677" s="451">
        <v>282</v>
      </c>
      <c r="E677" s="581" t="s">
        <v>906</v>
      </c>
      <c r="F677" s="539">
        <f t="shared" si="30"/>
        <v>1151.2609882788461</v>
      </c>
      <c r="G677" s="540">
        <f t="shared" si="31"/>
        <v>95.938415689903835</v>
      </c>
      <c r="H677" s="541">
        <f t="shared" si="32"/>
        <v>15303.878338278844</v>
      </c>
      <c r="I677" s="446"/>
    </row>
    <row r="678" spans="2:9" ht="26.1" hidden="1" customHeight="1" thickTop="1" thickBot="1" x14ac:dyDescent="0.4">
      <c r="B678" s="366"/>
      <c r="C678" s="452">
        <v>46352</v>
      </c>
      <c r="D678" s="451">
        <v>283</v>
      </c>
      <c r="E678" s="581" t="s">
        <v>907</v>
      </c>
      <c r="F678" s="539">
        <f t="shared" si="30"/>
        <v>1155.3434740528844</v>
      </c>
      <c r="G678" s="540">
        <f t="shared" si="31"/>
        <v>96.278622837740372</v>
      </c>
      <c r="H678" s="541">
        <f t="shared" si="32"/>
        <v>15307.960824052883</v>
      </c>
      <c r="I678" s="446"/>
    </row>
    <row r="679" spans="2:9" ht="26.1" hidden="1" customHeight="1" thickTop="1" thickBot="1" x14ac:dyDescent="0.4">
      <c r="B679" s="366"/>
      <c r="C679" s="452">
        <v>46353</v>
      </c>
      <c r="D679" s="451">
        <v>284</v>
      </c>
      <c r="E679" s="581" t="s">
        <v>908</v>
      </c>
      <c r="F679" s="539">
        <f t="shared" si="30"/>
        <v>1159.425959826923</v>
      </c>
      <c r="G679" s="540">
        <f t="shared" si="31"/>
        <v>96.618829985576909</v>
      </c>
      <c r="H679" s="541">
        <f t="shared" si="32"/>
        <v>15312.043309826922</v>
      </c>
      <c r="I679" s="446"/>
    </row>
    <row r="680" spans="2:9" ht="26.1" hidden="1" customHeight="1" thickTop="1" thickBot="1" x14ac:dyDescent="0.4">
      <c r="B680" s="366"/>
      <c r="C680" s="452">
        <v>46354</v>
      </c>
      <c r="D680" s="451">
        <v>285</v>
      </c>
      <c r="E680" s="581" t="s">
        <v>909</v>
      </c>
      <c r="F680" s="539">
        <f t="shared" si="30"/>
        <v>1163.5084456009613</v>
      </c>
      <c r="G680" s="540">
        <f t="shared" si="31"/>
        <v>96.959037133413446</v>
      </c>
      <c r="H680" s="541">
        <f t="shared" si="32"/>
        <v>15316.125795600959</v>
      </c>
      <c r="I680" s="446"/>
    </row>
    <row r="681" spans="2:9" ht="26.1" hidden="1" customHeight="1" thickTop="1" thickBot="1" x14ac:dyDescent="0.4">
      <c r="B681" s="366"/>
      <c r="C681" s="452">
        <v>46355</v>
      </c>
      <c r="D681" s="451">
        <v>286</v>
      </c>
      <c r="E681" s="581" t="s">
        <v>910</v>
      </c>
      <c r="F681" s="539">
        <f t="shared" si="30"/>
        <v>1167.5909313749999</v>
      </c>
      <c r="G681" s="540">
        <f t="shared" si="31"/>
        <v>97.299244281249983</v>
      </c>
      <c r="H681" s="541">
        <f t="shared" si="32"/>
        <v>15320.208281374998</v>
      </c>
      <c r="I681" s="446"/>
    </row>
    <row r="682" spans="2:9" ht="26.1" hidden="1" customHeight="1" thickTop="1" thickBot="1" x14ac:dyDescent="0.4">
      <c r="B682" s="366"/>
      <c r="C682" s="452">
        <v>46356</v>
      </c>
      <c r="D682" s="451">
        <v>287</v>
      </c>
      <c r="E682" s="581" t="s">
        <v>904</v>
      </c>
      <c r="F682" s="539">
        <f t="shared" si="30"/>
        <v>1171.6734171490384</v>
      </c>
      <c r="G682" s="540">
        <f t="shared" si="31"/>
        <v>97.639451429086535</v>
      </c>
      <c r="H682" s="541">
        <f t="shared" si="32"/>
        <v>15324.290767149037</v>
      </c>
      <c r="I682" s="446"/>
    </row>
    <row r="683" spans="2:9" ht="26.1" hidden="1" customHeight="1" thickTop="1" thickBot="1" x14ac:dyDescent="0.4">
      <c r="B683" s="366"/>
      <c r="C683" s="452">
        <v>46357</v>
      </c>
      <c r="D683" s="451">
        <v>288</v>
      </c>
      <c r="E683" s="581" t="s">
        <v>905</v>
      </c>
      <c r="F683" s="539">
        <f t="shared" si="30"/>
        <v>1175.7559029230767</v>
      </c>
      <c r="G683" s="540">
        <f t="shared" si="31"/>
        <v>97.979658576923057</v>
      </c>
      <c r="H683" s="541">
        <f t="shared" si="32"/>
        <v>15328.373252923075</v>
      </c>
      <c r="I683" s="446"/>
    </row>
    <row r="684" spans="2:9" ht="26.1" hidden="1" customHeight="1" thickTop="1" thickBot="1" x14ac:dyDescent="0.4">
      <c r="B684" s="366"/>
      <c r="C684" s="452">
        <v>46358</v>
      </c>
      <c r="D684" s="451">
        <v>289</v>
      </c>
      <c r="E684" s="581" t="s">
        <v>906</v>
      </c>
      <c r="F684" s="539">
        <f t="shared" si="30"/>
        <v>1179.8383886971153</v>
      </c>
      <c r="G684" s="540">
        <f t="shared" si="31"/>
        <v>98.319865724759609</v>
      </c>
      <c r="H684" s="541">
        <f t="shared" si="32"/>
        <v>15332.455738697114</v>
      </c>
      <c r="I684" s="446"/>
    </row>
    <row r="685" spans="2:9" ht="26.1" hidden="1" customHeight="1" thickTop="1" thickBot="1" x14ac:dyDescent="0.4">
      <c r="B685" s="366"/>
      <c r="C685" s="452">
        <v>46359</v>
      </c>
      <c r="D685" s="451">
        <v>290</v>
      </c>
      <c r="E685" s="581" t="s">
        <v>907</v>
      </c>
      <c r="F685" s="539">
        <f t="shared" si="30"/>
        <v>1183.9208744711536</v>
      </c>
      <c r="G685" s="540">
        <f t="shared" si="31"/>
        <v>98.660072872596132</v>
      </c>
      <c r="H685" s="541">
        <f t="shared" si="32"/>
        <v>15336.538224471153</v>
      </c>
      <c r="I685" s="446"/>
    </row>
    <row r="686" spans="2:9" ht="26.1" hidden="1" customHeight="1" thickTop="1" thickBot="1" x14ac:dyDescent="0.4">
      <c r="B686" s="366"/>
      <c r="C686" s="452">
        <v>46360</v>
      </c>
      <c r="D686" s="451">
        <v>291</v>
      </c>
      <c r="E686" s="581" t="s">
        <v>908</v>
      </c>
      <c r="F686" s="539">
        <f t="shared" si="30"/>
        <v>1188.0033602451922</v>
      </c>
      <c r="G686" s="540">
        <f t="shared" si="31"/>
        <v>99.000280020432683</v>
      </c>
      <c r="H686" s="541">
        <f t="shared" si="32"/>
        <v>15340.620710245192</v>
      </c>
      <c r="I686" s="446"/>
    </row>
    <row r="687" spans="2:9" ht="26.1" hidden="1" customHeight="1" thickTop="1" thickBot="1" x14ac:dyDescent="0.4">
      <c r="B687" s="366"/>
      <c r="C687" s="452">
        <v>46361</v>
      </c>
      <c r="D687" s="451">
        <v>292</v>
      </c>
      <c r="E687" s="581" t="s">
        <v>909</v>
      </c>
      <c r="F687" s="539">
        <f t="shared" si="30"/>
        <v>1192.0858460192305</v>
      </c>
      <c r="G687" s="540">
        <f t="shared" si="31"/>
        <v>99.340487168269206</v>
      </c>
      <c r="H687" s="541">
        <f t="shared" si="32"/>
        <v>15344.703196019229</v>
      </c>
      <c r="I687" s="446"/>
    </row>
    <row r="688" spans="2:9" ht="26.1" hidden="1" customHeight="1" thickTop="1" thickBot="1" x14ac:dyDescent="0.4">
      <c r="B688" s="366"/>
      <c r="C688" s="452">
        <v>46362</v>
      </c>
      <c r="D688" s="451">
        <v>293</v>
      </c>
      <c r="E688" s="581" t="s">
        <v>910</v>
      </c>
      <c r="F688" s="539">
        <f t="shared" si="30"/>
        <v>1196.1683317932691</v>
      </c>
      <c r="G688" s="540">
        <f t="shared" si="31"/>
        <v>99.680694316105757</v>
      </c>
      <c r="H688" s="541">
        <f t="shared" si="32"/>
        <v>15348.785681793268</v>
      </c>
      <c r="I688" s="446"/>
    </row>
    <row r="689" spans="2:9" ht="26.1" hidden="1" customHeight="1" thickTop="1" thickBot="1" x14ac:dyDescent="0.4">
      <c r="B689" s="366"/>
      <c r="C689" s="452">
        <v>46363</v>
      </c>
      <c r="D689" s="451">
        <v>294</v>
      </c>
      <c r="E689" s="581" t="s">
        <v>904</v>
      </c>
      <c r="F689" s="539">
        <f t="shared" si="30"/>
        <v>1200.2508175673076</v>
      </c>
      <c r="G689" s="540">
        <f t="shared" si="31"/>
        <v>100.02090146394231</v>
      </c>
      <c r="H689" s="541">
        <f t="shared" si="32"/>
        <v>15352.868167567307</v>
      </c>
      <c r="I689" s="446"/>
    </row>
    <row r="690" spans="2:9" ht="26.1" hidden="1" customHeight="1" thickTop="1" thickBot="1" x14ac:dyDescent="0.4">
      <c r="B690" s="366"/>
      <c r="C690" s="452">
        <v>46364</v>
      </c>
      <c r="D690" s="451">
        <v>295</v>
      </c>
      <c r="E690" s="581" t="s">
        <v>905</v>
      </c>
      <c r="F690" s="539">
        <f t="shared" si="30"/>
        <v>1204.333303341346</v>
      </c>
      <c r="G690" s="540">
        <f t="shared" si="31"/>
        <v>100.36110861177883</v>
      </c>
      <c r="H690" s="541">
        <f t="shared" si="32"/>
        <v>15356.950653341344</v>
      </c>
      <c r="I690" s="446"/>
    </row>
    <row r="691" spans="2:9" ht="26.1" hidden="1" customHeight="1" thickTop="1" thickBot="1" x14ac:dyDescent="0.4">
      <c r="B691" s="366"/>
      <c r="C691" s="452">
        <v>46365</v>
      </c>
      <c r="D691" s="451">
        <v>296</v>
      </c>
      <c r="E691" s="581" t="s">
        <v>906</v>
      </c>
      <c r="F691" s="539">
        <f t="shared" si="30"/>
        <v>1208.4157891153845</v>
      </c>
      <c r="G691" s="540">
        <f t="shared" si="31"/>
        <v>100.70131575961538</v>
      </c>
      <c r="H691" s="541">
        <f t="shared" si="32"/>
        <v>15361.033139115383</v>
      </c>
      <c r="I691" s="446"/>
    </row>
    <row r="692" spans="2:9" ht="26.1" hidden="1" customHeight="1" thickTop="1" thickBot="1" x14ac:dyDescent="0.4">
      <c r="B692" s="366"/>
      <c r="C692" s="452">
        <v>46366</v>
      </c>
      <c r="D692" s="451">
        <v>297</v>
      </c>
      <c r="E692" s="581" t="s">
        <v>907</v>
      </c>
      <c r="F692" s="539">
        <f t="shared" si="30"/>
        <v>1212.4982748894229</v>
      </c>
      <c r="G692" s="540">
        <f t="shared" si="31"/>
        <v>101.04152290745191</v>
      </c>
      <c r="H692" s="541">
        <f t="shared" si="32"/>
        <v>15365.115624889422</v>
      </c>
      <c r="I692" s="446"/>
    </row>
    <row r="693" spans="2:9" ht="26.1" hidden="1" customHeight="1" thickTop="1" thickBot="1" x14ac:dyDescent="0.4">
      <c r="B693" s="366"/>
      <c r="C693" s="452">
        <v>46367</v>
      </c>
      <c r="D693" s="451">
        <v>298</v>
      </c>
      <c r="E693" s="581" t="s">
        <v>908</v>
      </c>
      <c r="F693" s="539">
        <f t="shared" si="30"/>
        <v>1216.5807606634614</v>
      </c>
      <c r="G693" s="540">
        <f t="shared" si="31"/>
        <v>101.38173005528846</v>
      </c>
      <c r="H693" s="541">
        <f t="shared" si="32"/>
        <v>15369.198110663459</v>
      </c>
      <c r="I693" s="446"/>
    </row>
    <row r="694" spans="2:9" ht="26.1" hidden="1" customHeight="1" thickTop="1" thickBot="1" x14ac:dyDescent="0.4">
      <c r="B694" s="366"/>
      <c r="C694" s="452">
        <v>46368</v>
      </c>
      <c r="D694" s="451">
        <v>299</v>
      </c>
      <c r="E694" s="581" t="s">
        <v>909</v>
      </c>
      <c r="F694" s="539">
        <f t="shared" si="30"/>
        <v>1220.6632464374998</v>
      </c>
      <c r="G694" s="540">
        <f t="shared" si="31"/>
        <v>101.72193720312498</v>
      </c>
      <c r="H694" s="541">
        <f t="shared" si="32"/>
        <v>15373.280596437498</v>
      </c>
      <c r="I694" s="446"/>
    </row>
    <row r="695" spans="2:9" ht="26.1" hidden="1" customHeight="1" thickTop="1" thickBot="1" x14ac:dyDescent="0.4">
      <c r="B695" s="366"/>
      <c r="C695" s="452">
        <v>46369</v>
      </c>
      <c r="D695" s="451">
        <v>300</v>
      </c>
      <c r="E695" s="581" t="s">
        <v>910</v>
      </c>
      <c r="F695" s="539">
        <f t="shared" si="30"/>
        <v>1224.7457322115383</v>
      </c>
      <c r="G695" s="540">
        <f t="shared" si="31"/>
        <v>102.06214435096153</v>
      </c>
      <c r="H695" s="541">
        <f t="shared" si="32"/>
        <v>15377.363082211537</v>
      </c>
      <c r="I695" s="446"/>
    </row>
    <row r="696" spans="2:9" ht="26.1" hidden="1" customHeight="1" thickTop="1" thickBot="1" x14ac:dyDescent="0.4">
      <c r="B696" s="366"/>
      <c r="C696" s="452">
        <v>46370</v>
      </c>
      <c r="D696" s="451">
        <v>301</v>
      </c>
      <c r="E696" s="581" t="s">
        <v>904</v>
      </c>
      <c r="F696" s="539">
        <f t="shared" si="30"/>
        <v>1228.8282179855767</v>
      </c>
      <c r="G696" s="540">
        <f t="shared" si="31"/>
        <v>102.40235149879805</v>
      </c>
      <c r="H696" s="541">
        <f t="shared" si="32"/>
        <v>15381.445567985575</v>
      </c>
      <c r="I696" s="446"/>
    </row>
    <row r="697" spans="2:9" ht="26.1" hidden="1" customHeight="1" thickTop="1" thickBot="1" x14ac:dyDescent="0.4">
      <c r="B697" s="366"/>
      <c r="C697" s="452">
        <v>46371</v>
      </c>
      <c r="D697" s="451">
        <v>302</v>
      </c>
      <c r="E697" s="581" t="s">
        <v>905</v>
      </c>
      <c r="F697" s="539">
        <f t="shared" si="30"/>
        <v>1232.9107037596152</v>
      </c>
      <c r="G697" s="540">
        <f t="shared" si="31"/>
        <v>102.74255864663461</v>
      </c>
      <c r="H697" s="541">
        <f t="shared" si="32"/>
        <v>15385.528053759614</v>
      </c>
      <c r="I697" s="446"/>
    </row>
    <row r="698" spans="2:9" ht="26.1" hidden="1" customHeight="1" thickTop="1" thickBot="1" x14ac:dyDescent="0.4">
      <c r="B698" s="366"/>
      <c r="C698" s="452">
        <v>46372</v>
      </c>
      <c r="D698" s="451">
        <v>303</v>
      </c>
      <c r="E698" s="581" t="s">
        <v>906</v>
      </c>
      <c r="F698" s="539">
        <f t="shared" si="30"/>
        <v>1236.9931895336538</v>
      </c>
      <c r="G698" s="540">
        <f t="shared" si="31"/>
        <v>103.08276579447114</v>
      </c>
      <c r="H698" s="541">
        <f t="shared" si="32"/>
        <v>15389.610539533653</v>
      </c>
      <c r="I698" s="446"/>
    </row>
    <row r="699" spans="2:9" ht="26.1" hidden="1" customHeight="1" thickTop="1" thickBot="1" x14ac:dyDescent="0.4">
      <c r="B699" s="366"/>
      <c r="C699" s="452">
        <v>46373</v>
      </c>
      <c r="D699" s="451">
        <v>304</v>
      </c>
      <c r="E699" s="581" t="s">
        <v>907</v>
      </c>
      <c r="F699" s="539">
        <f t="shared" si="30"/>
        <v>1241.0756753076921</v>
      </c>
      <c r="G699" s="540">
        <f t="shared" si="31"/>
        <v>103.42297294230768</v>
      </c>
      <c r="H699" s="541">
        <f t="shared" si="32"/>
        <v>15393.69302530769</v>
      </c>
      <c r="I699" s="446"/>
    </row>
    <row r="700" spans="2:9" ht="26.1" hidden="1" customHeight="1" thickTop="1" thickBot="1" x14ac:dyDescent="0.4">
      <c r="B700" s="366"/>
      <c r="C700" s="452">
        <v>46374</v>
      </c>
      <c r="D700" s="451">
        <v>305</v>
      </c>
      <c r="E700" s="581" t="s">
        <v>908</v>
      </c>
      <c r="F700" s="539">
        <f t="shared" si="30"/>
        <v>1245.1581610817307</v>
      </c>
      <c r="G700" s="540">
        <f t="shared" si="31"/>
        <v>103.76318009014422</v>
      </c>
      <c r="H700" s="541">
        <f t="shared" si="32"/>
        <v>15397.775511081729</v>
      </c>
      <c r="I700" s="446"/>
    </row>
    <row r="701" spans="2:9" ht="26.1" hidden="1" customHeight="1" thickTop="1" thickBot="1" x14ac:dyDescent="0.4">
      <c r="B701" s="366"/>
      <c r="C701" s="452">
        <v>46375</v>
      </c>
      <c r="D701" s="451">
        <v>306</v>
      </c>
      <c r="E701" s="581" t="s">
        <v>909</v>
      </c>
      <c r="F701" s="539">
        <f t="shared" si="30"/>
        <v>1249.240646855769</v>
      </c>
      <c r="G701" s="540">
        <f t="shared" si="31"/>
        <v>104.10338723798075</v>
      </c>
      <c r="H701" s="541">
        <f t="shared" si="32"/>
        <v>15401.857996855768</v>
      </c>
      <c r="I701" s="446"/>
    </row>
    <row r="702" spans="2:9" ht="26.1" hidden="1" customHeight="1" thickTop="1" thickBot="1" x14ac:dyDescent="0.4">
      <c r="B702" s="366"/>
      <c r="C702" s="452">
        <v>46376</v>
      </c>
      <c r="D702" s="451">
        <v>307</v>
      </c>
      <c r="E702" s="581" t="s">
        <v>910</v>
      </c>
      <c r="F702" s="539">
        <f t="shared" si="30"/>
        <v>1253.3231326298076</v>
      </c>
      <c r="G702" s="540">
        <f t="shared" si="31"/>
        <v>104.44359438581729</v>
      </c>
      <c r="H702" s="541">
        <f t="shared" si="32"/>
        <v>15405.940482629807</v>
      </c>
      <c r="I702" s="446"/>
    </row>
    <row r="703" spans="2:9" ht="26.1" hidden="1" customHeight="1" thickTop="1" thickBot="1" x14ac:dyDescent="0.4">
      <c r="B703" s="366"/>
      <c r="C703" s="452">
        <v>46377</v>
      </c>
      <c r="D703" s="451">
        <v>308</v>
      </c>
      <c r="E703" s="581" t="s">
        <v>904</v>
      </c>
      <c r="F703" s="539">
        <f t="shared" si="30"/>
        <v>1257.4056184038459</v>
      </c>
      <c r="G703" s="540">
        <f t="shared" si="31"/>
        <v>104.78380153365383</v>
      </c>
      <c r="H703" s="541">
        <f t="shared" si="32"/>
        <v>15410.022968403844</v>
      </c>
      <c r="I703" s="446"/>
    </row>
    <row r="704" spans="2:9" ht="26.1" hidden="1" customHeight="1" thickTop="1" thickBot="1" x14ac:dyDescent="0.4">
      <c r="B704" s="366"/>
      <c r="C704" s="452">
        <v>46378</v>
      </c>
      <c r="D704" s="451">
        <v>309</v>
      </c>
      <c r="E704" s="581" t="s">
        <v>905</v>
      </c>
      <c r="F704" s="539">
        <f t="shared" si="30"/>
        <v>1261.4881041778845</v>
      </c>
      <c r="G704" s="540">
        <f t="shared" si="31"/>
        <v>105.12400868149037</v>
      </c>
      <c r="H704" s="541">
        <f t="shared" si="32"/>
        <v>15414.105454177883</v>
      </c>
      <c r="I704" s="446"/>
    </row>
    <row r="705" spans="2:9" ht="26.1" hidden="1" customHeight="1" thickTop="1" thickBot="1" x14ac:dyDescent="0.4">
      <c r="B705" s="366"/>
      <c r="C705" s="452">
        <v>46379</v>
      </c>
      <c r="D705" s="451">
        <v>310</v>
      </c>
      <c r="E705" s="581" t="s">
        <v>906</v>
      </c>
      <c r="F705" s="539">
        <f t="shared" si="30"/>
        <v>1265.570589951923</v>
      </c>
      <c r="G705" s="540">
        <f t="shared" si="31"/>
        <v>105.46421582932692</v>
      </c>
      <c r="H705" s="541">
        <f t="shared" si="32"/>
        <v>15418.187939951922</v>
      </c>
      <c r="I705" s="446"/>
    </row>
    <row r="706" spans="2:9" ht="26.1" hidden="1" customHeight="1" thickTop="1" thickBot="1" x14ac:dyDescent="0.4">
      <c r="B706" s="366"/>
      <c r="C706" s="452">
        <v>46380</v>
      </c>
      <c r="D706" s="451">
        <v>311</v>
      </c>
      <c r="E706" s="581" t="s">
        <v>907</v>
      </c>
      <c r="F706" s="539">
        <f t="shared" si="30"/>
        <v>1269.6530757259613</v>
      </c>
      <c r="G706" s="540">
        <f t="shared" si="31"/>
        <v>105.80442297716344</v>
      </c>
      <c r="H706" s="541">
        <f t="shared" si="32"/>
        <v>15422.270425725959</v>
      </c>
      <c r="I706" s="446"/>
    </row>
    <row r="707" spans="2:9" ht="26.1" hidden="1" customHeight="1" thickTop="1" thickBot="1" x14ac:dyDescent="0.4">
      <c r="B707" s="366"/>
      <c r="C707" s="452">
        <v>46381</v>
      </c>
      <c r="D707" s="451">
        <v>312</v>
      </c>
      <c r="E707" s="581" t="s">
        <v>908</v>
      </c>
      <c r="F707" s="539">
        <f t="shared" si="30"/>
        <v>1273.7355614999999</v>
      </c>
      <c r="G707" s="540">
        <f t="shared" si="31"/>
        <v>106.14463012499999</v>
      </c>
      <c r="H707" s="541">
        <f t="shared" si="32"/>
        <v>15426.352911499998</v>
      </c>
      <c r="I707" s="446"/>
    </row>
    <row r="708" spans="2:9" ht="26.1" hidden="1" customHeight="1" thickTop="1" thickBot="1" x14ac:dyDescent="0.4">
      <c r="B708" s="366"/>
      <c r="C708" s="452">
        <v>46382</v>
      </c>
      <c r="D708" s="451">
        <v>313</v>
      </c>
      <c r="E708" s="581" t="s">
        <v>909</v>
      </c>
      <c r="F708" s="539">
        <f t="shared" si="30"/>
        <v>1277.8180472740382</v>
      </c>
      <c r="G708" s="540">
        <f t="shared" si="31"/>
        <v>106.48483727283651</v>
      </c>
      <c r="H708" s="541">
        <f t="shared" si="32"/>
        <v>15430.435397274037</v>
      </c>
      <c r="I708" s="446"/>
    </row>
    <row r="709" spans="2:9" ht="26.1" hidden="1" customHeight="1" thickTop="1" thickBot="1" x14ac:dyDescent="0.4">
      <c r="B709" s="366"/>
      <c r="C709" s="452">
        <v>46383</v>
      </c>
      <c r="D709" s="451">
        <v>314</v>
      </c>
      <c r="E709" s="581" t="s">
        <v>910</v>
      </c>
      <c r="F709" s="539">
        <f t="shared" si="30"/>
        <v>1281.9005330480768</v>
      </c>
      <c r="G709" s="540">
        <f t="shared" si="31"/>
        <v>106.82504442067307</v>
      </c>
      <c r="H709" s="541">
        <f t="shared" si="32"/>
        <v>15434.517883048076</v>
      </c>
      <c r="I709" s="446"/>
    </row>
    <row r="710" spans="2:9" ht="26.1" hidden="1" customHeight="1" thickTop="1" thickBot="1" x14ac:dyDescent="0.4">
      <c r="B710" s="366"/>
      <c r="C710" s="452">
        <v>46384</v>
      </c>
      <c r="D710" s="451">
        <v>315</v>
      </c>
      <c r="E710" s="581" t="s">
        <v>904</v>
      </c>
      <c r="F710" s="539">
        <f t="shared" si="30"/>
        <v>1285.9830188221151</v>
      </c>
      <c r="G710" s="540">
        <f t="shared" si="31"/>
        <v>107.16525156850959</v>
      </c>
      <c r="H710" s="541">
        <f t="shared" si="32"/>
        <v>15438.600368822114</v>
      </c>
      <c r="I710" s="446"/>
    </row>
    <row r="711" spans="2:9" ht="26.1" hidden="1" customHeight="1" thickTop="1" thickBot="1" x14ac:dyDescent="0.4">
      <c r="B711" s="366"/>
      <c r="C711" s="452">
        <v>46385</v>
      </c>
      <c r="D711" s="451">
        <v>316</v>
      </c>
      <c r="E711" s="581" t="s">
        <v>905</v>
      </c>
      <c r="F711" s="539">
        <f t="shared" si="30"/>
        <v>1290.0655045961537</v>
      </c>
      <c r="G711" s="540">
        <f t="shared" si="31"/>
        <v>107.50545871634614</v>
      </c>
      <c r="H711" s="541">
        <f t="shared" si="32"/>
        <v>15442.682854596153</v>
      </c>
      <c r="I711" s="446"/>
    </row>
    <row r="712" spans="2:9" ht="26.1" hidden="1" customHeight="1" thickTop="1" thickBot="1" x14ac:dyDescent="0.4">
      <c r="B712" s="366"/>
      <c r="C712" s="452">
        <v>46386</v>
      </c>
      <c r="D712" s="451">
        <v>317</v>
      </c>
      <c r="E712" s="581" t="s">
        <v>906</v>
      </c>
      <c r="F712" s="539">
        <f t="shared" si="30"/>
        <v>1294.1479903701922</v>
      </c>
      <c r="G712" s="540">
        <f t="shared" si="31"/>
        <v>107.84566586418269</v>
      </c>
      <c r="H712" s="541">
        <f t="shared" si="32"/>
        <v>15446.765340370192</v>
      </c>
      <c r="I712" s="446"/>
    </row>
    <row r="713" spans="2:9" ht="26.1" hidden="1" customHeight="1" thickTop="1" thickBot="1" x14ac:dyDescent="0.4">
      <c r="B713" s="366"/>
      <c r="C713" s="452">
        <v>46387</v>
      </c>
      <c r="D713" s="451">
        <v>318</v>
      </c>
      <c r="E713" s="581" t="s">
        <v>907</v>
      </c>
      <c r="F713" s="539">
        <f t="shared" si="30"/>
        <v>1298.2304761442306</v>
      </c>
      <c r="G713" s="540">
        <f t="shared" si="31"/>
        <v>108.18587301201921</v>
      </c>
      <c r="H713" s="541">
        <f t="shared" si="32"/>
        <v>15450.847826144229</v>
      </c>
      <c r="I713" s="446"/>
    </row>
    <row r="714" spans="2:9" ht="26.1" hidden="1" customHeight="1" thickTop="1" thickBot="1" x14ac:dyDescent="0.4">
      <c r="B714" s="366"/>
      <c r="C714" s="452">
        <v>46388</v>
      </c>
      <c r="D714" s="451">
        <v>319</v>
      </c>
      <c r="E714" s="581" t="s">
        <v>908</v>
      </c>
      <c r="F714" s="539">
        <f t="shared" si="30"/>
        <v>1302.3129619182691</v>
      </c>
      <c r="G714" s="540">
        <f t="shared" si="31"/>
        <v>108.52608015985577</v>
      </c>
      <c r="H714" s="541">
        <f t="shared" si="32"/>
        <v>15454.930311918268</v>
      </c>
      <c r="I714" s="446"/>
    </row>
    <row r="715" spans="2:9" ht="26.1" hidden="1" customHeight="1" thickTop="1" thickBot="1" x14ac:dyDescent="0.4">
      <c r="B715" s="366"/>
      <c r="C715" s="452">
        <v>46389</v>
      </c>
      <c r="D715" s="451">
        <v>320</v>
      </c>
      <c r="E715" s="581" t="s">
        <v>909</v>
      </c>
      <c r="F715" s="539">
        <f t="shared" si="30"/>
        <v>1306.3954476923075</v>
      </c>
      <c r="G715" s="540">
        <f t="shared" si="31"/>
        <v>108.86628730769229</v>
      </c>
      <c r="H715" s="541">
        <f t="shared" si="32"/>
        <v>15459.012797692307</v>
      </c>
      <c r="I715" s="446"/>
    </row>
    <row r="716" spans="2:9" ht="26.1" hidden="1" customHeight="1" thickTop="1" thickBot="1" x14ac:dyDescent="0.4">
      <c r="B716" s="366"/>
      <c r="C716" s="452">
        <v>46390</v>
      </c>
      <c r="D716" s="451">
        <v>321</v>
      </c>
      <c r="E716" s="581" t="s">
        <v>910</v>
      </c>
      <c r="F716" s="539">
        <f t="shared" si="30"/>
        <v>1310.477933466346</v>
      </c>
      <c r="G716" s="540">
        <f t="shared" si="31"/>
        <v>109.20649445552884</v>
      </c>
      <c r="H716" s="541">
        <f t="shared" si="32"/>
        <v>15463.095283466344</v>
      </c>
      <c r="I716" s="446"/>
    </row>
    <row r="717" spans="2:9" ht="26.1" hidden="1" customHeight="1" thickTop="1" thickBot="1" x14ac:dyDescent="0.4">
      <c r="B717" s="366"/>
      <c r="C717" s="452">
        <v>46391</v>
      </c>
      <c r="D717" s="451">
        <v>322</v>
      </c>
      <c r="E717" s="581" t="s">
        <v>904</v>
      </c>
      <c r="F717" s="539">
        <f t="shared" ref="F717:F759" si="33">$E$388/$F$390*D717</f>
        <v>1314.5604192403844</v>
      </c>
      <c r="G717" s="540">
        <f t="shared" ref="G717:G759" si="34">F717/$C$392</f>
        <v>109.54670160336536</v>
      </c>
      <c r="H717" s="541">
        <f t="shared" ref="H717:H759" si="35">$C$388+F717</f>
        <v>15467.177769240383</v>
      </c>
      <c r="I717" s="446"/>
    </row>
    <row r="718" spans="2:9" ht="26.1" hidden="1" customHeight="1" thickTop="1" thickBot="1" x14ac:dyDescent="0.4">
      <c r="B718" s="366"/>
      <c r="C718" s="452">
        <v>46392</v>
      </c>
      <c r="D718" s="451">
        <v>323</v>
      </c>
      <c r="E718" s="581" t="s">
        <v>905</v>
      </c>
      <c r="F718" s="539">
        <f t="shared" si="33"/>
        <v>1318.6429050144229</v>
      </c>
      <c r="G718" s="540">
        <f t="shared" si="34"/>
        <v>109.88690875120191</v>
      </c>
      <c r="H718" s="541">
        <f t="shared" si="35"/>
        <v>15471.260255014422</v>
      </c>
      <c r="I718" s="446"/>
    </row>
    <row r="719" spans="2:9" ht="26.1" hidden="1" customHeight="1" thickTop="1" thickBot="1" x14ac:dyDescent="0.4">
      <c r="B719" s="366"/>
      <c r="C719" s="452">
        <v>46393</v>
      </c>
      <c r="D719" s="451">
        <v>324</v>
      </c>
      <c r="E719" s="581" t="s">
        <v>906</v>
      </c>
      <c r="F719" s="539">
        <f t="shared" si="33"/>
        <v>1322.7253907884615</v>
      </c>
      <c r="G719" s="540">
        <f t="shared" si="34"/>
        <v>110.22711589903845</v>
      </c>
      <c r="H719" s="541">
        <f t="shared" si="35"/>
        <v>15475.342740788459</v>
      </c>
      <c r="I719" s="446"/>
    </row>
    <row r="720" spans="2:9" ht="26.1" hidden="1" customHeight="1" thickTop="1" thickBot="1" x14ac:dyDescent="0.4">
      <c r="B720" s="366"/>
      <c r="C720" s="452">
        <v>46394</v>
      </c>
      <c r="D720" s="451">
        <v>325</v>
      </c>
      <c r="E720" s="581" t="s">
        <v>907</v>
      </c>
      <c r="F720" s="539">
        <f t="shared" si="33"/>
        <v>1326.8078765624998</v>
      </c>
      <c r="G720" s="540">
        <f t="shared" si="34"/>
        <v>110.56732304687499</v>
      </c>
      <c r="H720" s="541">
        <f t="shared" si="35"/>
        <v>15479.425226562498</v>
      </c>
      <c r="I720" s="446"/>
    </row>
    <row r="721" spans="2:9" ht="26.1" hidden="1" customHeight="1" thickTop="1" thickBot="1" x14ac:dyDescent="0.4">
      <c r="B721" s="366"/>
      <c r="C721" s="452">
        <v>46395</v>
      </c>
      <c r="D721" s="451">
        <v>326</v>
      </c>
      <c r="E721" s="581" t="s">
        <v>908</v>
      </c>
      <c r="F721" s="539">
        <f t="shared" si="33"/>
        <v>1330.8903623365384</v>
      </c>
      <c r="G721" s="540">
        <f t="shared" si="34"/>
        <v>110.90753019471153</v>
      </c>
      <c r="H721" s="541">
        <f t="shared" si="35"/>
        <v>15483.507712336537</v>
      </c>
      <c r="I721" s="446"/>
    </row>
    <row r="722" spans="2:9" ht="26.1" hidden="1" customHeight="1" thickTop="1" thickBot="1" x14ac:dyDescent="0.4">
      <c r="B722" s="366"/>
      <c r="C722" s="452">
        <v>46396</v>
      </c>
      <c r="D722" s="451">
        <v>327</v>
      </c>
      <c r="E722" s="581" t="s">
        <v>909</v>
      </c>
      <c r="F722" s="539">
        <f t="shared" si="33"/>
        <v>1334.9728481105767</v>
      </c>
      <c r="G722" s="540">
        <f t="shared" si="34"/>
        <v>111.24773734254806</v>
      </c>
      <c r="H722" s="541">
        <f t="shared" si="35"/>
        <v>15487.590198110574</v>
      </c>
      <c r="I722" s="446"/>
    </row>
    <row r="723" spans="2:9" ht="26.1" hidden="1" customHeight="1" thickTop="1" thickBot="1" x14ac:dyDescent="0.4">
      <c r="B723" s="366"/>
      <c r="C723" s="452">
        <v>46397</v>
      </c>
      <c r="D723" s="451">
        <v>328</v>
      </c>
      <c r="E723" s="581" t="s">
        <v>910</v>
      </c>
      <c r="F723" s="539">
        <f t="shared" si="33"/>
        <v>1339.0553338846153</v>
      </c>
      <c r="G723" s="540">
        <f t="shared" si="34"/>
        <v>111.5879444903846</v>
      </c>
      <c r="H723" s="541">
        <f t="shared" si="35"/>
        <v>15491.672683884613</v>
      </c>
      <c r="I723" s="446"/>
    </row>
    <row r="724" spans="2:9" ht="26.1" hidden="1" customHeight="1" thickTop="1" thickBot="1" x14ac:dyDescent="0.4">
      <c r="B724" s="366"/>
      <c r="C724" s="452">
        <v>46398</v>
      </c>
      <c r="D724" s="451">
        <v>329</v>
      </c>
      <c r="E724" s="581" t="s">
        <v>904</v>
      </c>
      <c r="F724" s="539">
        <f t="shared" si="33"/>
        <v>1343.1378196586536</v>
      </c>
      <c r="G724" s="540">
        <f t="shared" si="34"/>
        <v>111.92815163822114</v>
      </c>
      <c r="H724" s="541">
        <f t="shared" si="35"/>
        <v>15495.755169658652</v>
      </c>
      <c r="I724" s="446"/>
    </row>
    <row r="725" spans="2:9" ht="26.1" hidden="1" customHeight="1" thickTop="1" thickBot="1" x14ac:dyDescent="0.4">
      <c r="B725" s="366"/>
      <c r="C725" s="452">
        <v>46399</v>
      </c>
      <c r="D725" s="451">
        <v>330</v>
      </c>
      <c r="E725" s="581" t="s">
        <v>905</v>
      </c>
      <c r="F725" s="539">
        <f t="shared" si="33"/>
        <v>1347.2203054326922</v>
      </c>
      <c r="G725" s="540">
        <f t="shared" si="34"/>
        <v>112.26835878605768</v>
      </c>
      <c r="H725" s="541">
        <f t="shared" si="35"/>
        <v>15499.837655432691</v>
      </c>
      <c r="I725" s="446"/>
    </row>
    <row r="726" spans="2:9" ht="26.1" hidden="1" customHeight="1" thickTop="1" thickBot="1" x14ac:dyDescent="0.4">
      <c r="B726" s="366"/>
      <c r="C726" s="452">
        <v>46400</v>
      </c>
      <c r="D726" s="451">
        <v>331</v>
      </c>
      <c r="E726" s="581" t="s">
        <v>906</v>
      </c>
      <c r="F726" s="539">
        <f t="shared" si="33"/>
        <v>1351.3027912067305</v>
      </c>
      <c r="G726" s="540">
        <f t="shared" si="34"/>
        <v>112.60856593389421</v>
      </c>
      <c r="H726" s="541">
        <f t="shared" si="35"/>
        <v>15503.920141206729</v>
      </c>
      <c r="I726" s="446"/>
    </row>
    <row r="727" spans="2:9" ht="26.1" hidden="1" customHeight="1" thickTop="1" thickBot="1" x14ac:dyDescent="0.4">
      <c r="B727" s="366"/>
      <c r="C727" s="452">
        <v>46401</v>
      </c>
      <c r="D727" s="451">
        <v>332</v>
      </c>
      <c r="E727" s="581" t="s">
        <v>907</v>
      </c>
      <c r="F727" s="539">
        <f t="shared" si="33"/>
        <v>1355.385276980769</v>
      </c>
      <c r="G727" s="540">
        <f t="shared" si="34"/>
        <v>112.94877308173075</v>
      </c>
      <c r="H727" s="541">
        <f t="shared" si="35"/>
        <v>15508.002626980768</v>
      </c>
      <c r="I727" s="446"/>
    </row>
    <row r="728" spans="2:9" ht="26.1" hidden="1" customHeight="1" thickTop="1" thickBot="1" x14ac:dyDescent="0.4">
      <c r="B728" s="366"/>
      <c r="C728" s="452">
        <v>46402</v>
      </c>
      <c r="D728" s="451">
        <v>333</v>
      </c>
      <c r="E728" s="581" t="s">
        <v>908</v>
      </c>
      <c r="F728" s="539">
        <f t="shared" si="33"/>
        <v>1359.4677627548076</v>
      </c>
      <c r="G728" s="540">
        <f t="shared" si="34"/>
        <v>113.2889802295673</v>
      </c>
      <c r="H728" s="541">
        <f t="shared" si="35"/>
        <v>15512.085112754807</v>
      </c>
      <c r="I728" s="446"/>
    </row>
    <row r="729" spans="2:9" ht="26.1" hidden="1" customHeight="1" thickTop="1" thickBot="1" x14ac:dyDescent="0.4">
      <c r="B729" s="366"/>
      <c r="C729" s="452">
        <v>46403</v>
      </c>
      <c r="D729" s="451">
        <v>334</v>
      </c>
      <c r="E729" s="581" t="s">
        <v>909</v>
      </c>
      <c r="F729" s="539">
        <f t="shared" si="33"/>
        <v>1363.5502485288459</v>
      </c>
      <c r="G729" s="540">
        <f t="shared" si="34"/>
        <v>113.62918737740382</v>
      </c>
      <c r="H729" s="541">
        <f t="shared" si="35"/>
        <v>15516.167598528844</v>
      </c>
      <c r="I729" s="446"/>
    </row>
    <row r="730" spans="2:9" ht="26.1" hidden="1" customHeight="1" thickTop="1" thickBot="1" x14ac:dyDescent="0.4">
      <c r="B730" s="366"/>
      <c r="C730" s="452">
        <v>46404</v>
      </c>
      <c r="D730" s="451">
        <v>335</v>
      </c>
      <c r="E730" s="581" t="s">
        <v>910</v>
      </c>
      <c r="F730" s="539">
        <f t="shared" si="33"/>
        <v>1367.6327343028845</v>
      </c>
      <c r="G730" s="540">
        <f t="shared" si="34"/>
        <v>113.96939452524038</v>
      </c>
      <c r="H730" s="541">
        <f t="shared" si="35"/>
        <v>15520.250084302883</v>
      </c>
      <c r="I730" s="446"/>
    </row>
    <row r="731" spans="2:9" ht="26.1" hidden="1" customHeight="1" thickTop="1" thickBot="1" x14ac:dyDescent="0.4">
      <c r="B731" s="366"/>
      <c r="C731" s="452">
        <v>46405</v>
      </c>
      <c r="D731" s="451">
        <v>336</v>
      </c>
      <c r="E731" s="581" t="s">
        <v>904</v>
      </c>
      <c r="F731" s="539">
        <f t="shared" si="33"/>
        <v>1371.7152200769228</v>
      </c>
      <c r="G731" s="540">
        <f t="shared" si="34"/>
        <v>114.3096016730769</v>
      </c>
      <c r="H731" s="541">
        <f t="shared" si="35"/>
        <v>15524.332570076922</v>
      </c>
      <c r="I731" s="446"/>
    </row>
    <row r="732" spans="2:9" ht="26.1" hidden="1" customHeight="1" thickTop="1" thickBot="1" x14ac:dyDescent="0.4">
      <c r="B732" s="366"/>
      <c r="C732" s="452">
        <v>46406</v>
      </c>
      <c r="D732" s="451">
        <v>337</v>
      </c>
      <c r="E732" s="581" t="s">
        <v>905</v>
      </c>
      <c r="F732" s="539">
        <f t="shared" si="33"/>
        <v>1375.7977058509614</v>
      </c>
      <c r="G732" s="540">
        <f t="shared" si="34"/>
        <v>114.64980882091345</v>
      </c>
      <c r="H732" s="541">
        <f t="shared" si="35"/>
        <v>15528.415055850961</v>
      </c>
      <c r="I732" s="446"/>
    </row>
    <row r="733" spans="2:9" ht="26.1" hidden="1" customHeight="1" thickTop="1" thickBot="1" x14ac:dyDescent="0.4">
      <c r="B733" s="366"/>
      <c r="C733" s="452">
        <v>46407</v>
      </c>
      <c r="D733" s="451">
        <v>338</v>
      </c>
      <c r="E733" s="581" t="s">
        <v>906</v>
      </c>
      <c r="F733" s="539">
        <f t="shared" si="33"/>
        <v>1379.8801916249997</v>
      </c>
      <c r="G733" s="540">
        <f t="shared" si="34"/>
        <v>114.99001596874997</v>
      </c>
      <c r="H733" s="541">
        <f t="shared" si="35"/>
        <v>15532.497541624998</v>
      </c>
      <c r="I733" s="446"/>
    </row>
    <row r="734" spans="2:9" ht="26.1" hidden="1" customHeight="1" thickTop="1" thickBot="1" x14ac:dyDescent="0.4">
      <c r="B734" s="366"/>
      <c r="C734" s="452">
        <v>46408</v>
      </c>
      <c r="D734" s="451">
        <v>339</v>
      </c>
      <c r="E734" s="581" t="s">
        <v>907</v>
      </c>
      <c r="F734" s="539">
        <f t="shared" si="33"/>
        <v>1383.9626773990383</v>
      </c>
      <c r="G734" s="540">
        <f t="shared" si="34"/>
        <v>115.33022311658652</v>
      </c>
      <c r="H734" s="541">
        <f t="shared" si="35"/>
        <v>15536.580027399037</v>
      </c>
      <c r="I734" s="446"/>
    </row>
    <row r="735" spans="2:9" ht="26.1" hidden="1" customHeight="1" thickTop="1" thickBot="1" x14ac:dyDescent="0.4">
      <c r="B735" s="366"/>
      <c r="C735" s="452">
        <v>46409</v>
      </c>
      <c r="D735" s="451">
        <v>340</v>
      </c>
      <c r="E735" s="581" t="s">
        <v>908</v>
      </c>
      <c r="F735" s="539">
        <f t="shared" si="33"/>
        <v>1388.0451631730768</v>
      </c>
      <c r="G735" s="540">
        <f t="shared" si="34"/>
        <v>115.67043026442308</v>
      </c>
      <c r="H735" s="541">
        <f t="shared" si="35"/>
        <v>15540.662513173076</v>
      </c>
      <c r="I735" s="446"/>
    </row>
    <row r="736" spans="2:9" ht="26.1" hidden="1" customHeight="1" thickTop="1" thickBot="1" x14ac:dyDescent="0.4">
      <c r="B736" s="366"/>
      <c r="C736" s="452">
        <v>46410</v>
      </c>
      <c r="D736" s="451">
        <v>341</v>
      </c>
      <c r="E736" s="581" t="s">
        <v>909</v>
      </c>
      <c r="F736" s="539">
        <f t="shared" si="33"/>
        <v>1392.1276489471152</v>
      </c>
      <c r="G736" s="540">
        <f t="shared" si="34"/>
        <v>116.0106374122596</v>
      </c>
      <c r="H736" s="541">
        <f t="shared" si="35"/>
        <v>15544.744998947113</v>
      </c>
      <c r="I736" s="446"/>
    </row>
    <row r="737" spans="2:9" ht="26.1" hidden="1" customHeight="1" thickTop="1" thickBot="1" x14ac:dyDescent="0.4">
      <c r="B737" s="366"/>
      <c r="C737" s="452">
        <v>46411</v>
      </c>
      <c r="D737" s="451">
        <v>342</v>
      </c>
      <c r="E737" s="581" t="s">
        <v>910</v>
      </c>
      <c r="F737" s="539">
        <f t="shared" si="33"/>
        <v>1396.2101347211537</v>
      </c>
      <c r="G737" s="540">
        <f t="shared" si="34"/>
        <v>116.35084456009615</v>
      </c>
      <c r="H737" s="541">
        <f t="shared" si="35"/>
        <v>15548.827484721152</v>
      </c>
      <c r="I737" s="446"/>
    </row>
    <row r="738" spans="2:9" ht="26.1" hidden="1" customHeight="1" thickTop="1" thickBot="1" x14ac:dyDescent="0.4">
      <c r="B738" s="366"/>
      <c r="C738" s="452">
        <v>46412</v>
      </c>
      <c r="D738" s="451">
        <v>343</v>
      </c>
      <c r="E738" s="581" t="s">
        <v>904</v>
      </c>
      <c r="F738" s="539">
        <f t="shared" si="33"/>
        <v>1400.2926204951921</v>
      </c>
      <c r="G738" s="540">
        <f t="shared" si="34"/>
        <v>116.69105170793267</v>
      </c>
      <c r="H738" s="541">
        <f t="shared" si="35"/>
        <v>15552.909970495191</v>
      </c>
      <c r="I738" s="446"/>
    </row>
    <row r="739" spans="2:9" ht="26.1" hidden="1" customHeight="1" thickTop="1" thickBot="1" x14ac:dyDescent="0.4">
      <c r="B739" s="366"/>
      <c r="C739" s="452">
        <v>46413</v>
      </c>
      <c r="D739" s="451">
        <v>344</v>
      </c>
      <c r="E739" s="581" t="s">
        <v>905</v>
      </c>
      <c r="F739" s="539">
        <f t="shared" si="33"/>
        <v>1404.3751062692306</v>
      </c>
      <c r="G739" s="540">
        <f t="shared" si="34"/>
        <v>117.03125885576922</v>
      </c>
      <c r="H739" s="541">
        <f t="shared" si="35"/>
        <v>15556.992456269229</v>
      </c>
      <c r="I739" s="446"/>
    </row>
    <row r="740" spans="2:9" ht="26.1" hidden="1" customHeight="1" thickTop="1" thickBot="1" x14ac:dyDescent="0.4">
      <c r="B740" s="366"/>
      <c r="C740" s="452">
        <v>46414</v>
      </c>
      <c r="D740" s="451">
        <v>345</v>
      </c>
      <c r="E740" s="581" t="s">
        <v>906</v>
      </c>
      <c r="F740" s="539">
        <f t="shared" si="33"/>
        <v>1408.457592043269</v>
      </c>
      <c r="G740" s="540">
        <f t="shared" si="34"/>
        <v>117.37146600360575</v>
      </c>
      <c r="H740" s="541">
        <f t="shared" si="35"/>
        <v>15561.074942043268</v>
      </c>
      <c r="I740" s="446"/>
    </row>
    <row r="741" spans="2:9" ht="26.1" hidden="1" customHeight="1" thickTop="1" thickBot="1" x14ac:dyDescent="0.4">
      <c r="B741" s="366"/>
      <c r="C741" s="452">
        <v>46415</v>
      </c>
      <c r="D741" s="451">
        <v>346</v>
      </c>
      <c r="E741" s="581" t="s">
        <v>907</v>
      </c>
      <c r="F741" s="539">
        <f t="shared" si="33"/>
        <v>1412.5400778173075</v>
      </c>
      <c r="G741" s="540">
        <f t="shared" si="34"/>
        <v>117.7116731514423</v>
      </c>
      <c r="H741" s="541">
        <f t="shared" si="35"/>
        <v>15565.157427817307</v>
      </c>
      <c r="I741" s="446"/>
    </row>
    <row r="742" spans="2:9" ht="26.1" hidden="1" customHeight="1" thickTop="1" thickBot="1" x14ac:dyDescent="0.4">
      <c r="B742" s="366"/>
      <c r="C742" s="452">
        <v>46416</v>
      </c>
      <c r="D742" s="451">
        <v>347</v>
      </c>
      <c r="E742" s="581" t="s">
        <v>908</v>
      </c>
      <c r="F742" s="539">
        <f t="shared" si="33"/>
        <v>1416.6225635913461</v>
      </c>
      <c r="G742" s="540">
        <f t="shared" si="34"/>
        <v>118.05188029927884</v>
      </c>
      <c r="H742" s="541">
        <f t="shared" si="35"/>
        <v>15569.239913591344</v>
      </c>
      <c r="I742" s="446"/>
    </row>
    <row r="743" spans="2:9" ht="26.1" hidden="1" customHeight="1" thickTop="1" thickBot="1" x14ac:dyDescent="0.4">
      <c r="B743" s="366"/>
      <c r="C743" s="452">
        <v>46417</v>
      </c>
      <c r="D743" s="451">
        <v>348</v>
      </c>
      <c r="E743" s="581" t="s">
        <v>909</v>
      </c>
      <c r="F743" s="539">
        <f t="shared" si="33"/>
        <v>1420.7050493653844</v>
      </c>
      <c r="G743" s="540">
        <f t="shared" si="34"/>
        <v>118.39208744711537</v>
      </c>
      <c r="H743" s="541">
        <f t="shared" si="35"/>
        <v>15573.322399365383</v>
      </c>
      <c r="I743" s="446"/>
    </row>
    <row r="744" spans="2:9" ht="26.1" hidden="1" customHeight="1" thickTop="1" thickBot="1" x14ac:dyDescent="0.4">
      <c r="B744" s="366"/>
      <c r="C744" s="452">
        <v>46418</v>
      </c>
      <c r="D744" s="451">
        <v>349</v>
      </c>
      <c r="E744" s="581" t="s">
        <v>910</v>
      </c>
      <c r="F744" s="539">
        <f t="shared" si="33"/>
        <v>1424.787535139423</v>
      </c>
      <c r="G744" s="540">
        <f t="shared" si="34"/>
        <v>118.73229459495191</v>
      </c>
      <c r="H744" s="541">
        <f t="shared" si="35"/>
        <v>15577.404885139422</v>
      </c>
      <c r="I744" s="446"/>
    </row>
    <row r="745" spans="2:9" ht="26.1" hidden="1" customHeight="1" thickTop="1" thickBot="1" x14ac:dyDescent="0.4">
      <c r="B745" s="366"/>
      <c r="C745" s="452">
        <v>46419</v>
      </c>
      <c r="D745" s="451">
        <v>350</v>
      </c>
      <c r="E745" s="581" t="s">
        <v>904</v>
      </c>
      <c r="F745" s="539">
        <f t="shared" si="33"/>
        <v>1428.8700209134613</v>
      </c>
      <c r="G745" s="540">
        <f t="shared" si="34"/>
        <v>119.07250174278845</v>
      </c>
      <c r="H745" s="541">
        <f t="shared" si="35"/>
        <v>15581.487370913459</v>
      </c>
      <c r="I745" s="446"/>
    </row>
    <row r="746" spans="2:9" ht="26.1" hidden="1" customHeight="1" thickTop="1" thickBot="1" x14ac:dyDescent="0.4">
      <c r="B746" s="366"/>
      <c r="C746" s="452">
        <v>46420</v>
      </c>
      <c r="D746" s="451">
        <v>351</v>
      </c>
      <c r="E746" s="581" t="s">
        <v>905</v>
      </c>
      <c r="F746" s="539">
        <f t="shared" si="33"/>
        <v>1432.9525066874999</v>
      </c>
      <c r="G746" s="540">
        <f t="shared" si="34"/>
        <v>119.41270889062498</v>
      </c>
      <c r="H746" s="541">
        <f t="shared" si="35"/>
        <v>15585.569856687498</v>
      </c>
      <c r="I746" s="446"/>
    </row>
    <row r="747" spans="2:9" ht="26.1" hidden="1" customHeight="1" thickTop="1" thickBot="1" x14ac:dyDescent="0.4">
      <c r="B747" s="366"/>
      <c r="C747" s="452">
        <v>46421</v>
      </c>
      <c r="D747" s="451">
        <v>352</v>
      </c>
      <c r="E747" s="581" t="s">
        <v>906</v>
      </c>
      <c r="F747" s="539">
        <f t="shared" si="33"/>
        <v>1437.0349924615382</v>
      </c>
      <c r="G747" s="540">
        <f t="shared" si="34"/>
        <v>119.75291603846152</v>
      </c>
      <c r="H747" s="541">
        <f t="shared" si="35"/>
        <v>15589.652342461537</v>
      </c>
      <c r="I747" s="446"/>
    </row>
    <row r="748" spans="2:9" ht="26.1" hidden="1" customHeight="1" thickTop="1" thickBot="1" x14ac:dyDescent="0.4">
      <c r="B748" s="366"/>
      <c r="C748" s="452">
        <v>46422</v>
      </c>
      <c r="D748" s="451">
        <v>353</v>
      </c>
      <c r="E748" s="581" t="s">
        <v>907</v>
      </c>
      <c r="F748" s="539">
        <f t="shared" si="33"/>
        <v>1441.1174782355768</v>
      </c>
      <c r="G748" s="540">
        <f t="shared" si="34"/>
        <v>120.09312318629806</v>
      </c>
      <c r="H748" s="541">
        <f t="shared" si="35"/>
        <v>15593.734828235576</v>
      </c>
      <c r="I748" s="446"/>
    </row>
    <row r="749" spans="2:9" ht="26.1" hidden="1" customHeight="1" thickTop="1" thickBot="1" x14ac:dyDescent="0.4">
      <c r="B749" s="366"/>
      <c r="C749" s="452">
        <v>46423</v>
      </c>
      <c r="D749" s="451">
        <v>354</v>
      </c>
      <c r="E749" s="581" t="s">
        <v>908</v>
      </c>
      <c r="F749" s="539">
        <f t="shared" si="33"/>
        <v>1445.1999640096153</v>
      </c>
      <c r="G749" s="540">
        <f t="shared" si="34"/>
        <v>120.43333033413461</v>
      </c>
      <c r="H749" s="541">
        <f t="shared" si="35"/>
        <v>15597.817314009613</v>
      </c>
      <c r="I749" s="446"/>
    </row>
    <row r="750" spans="2:9" ht="26.1" hidden="1" customHeight="1" thickTop="1" thickBot="1" x14ac:dyDescent="0.4">
      <c r="B750" s="366"/>
      <c r="C750" s="452">
        <v>46424</v>
      </c>
      <c r="D750" s="451">
        <v>355</v>
      </c>
      <c r="E750" s="581" t="s">
        <v>909</v>
      </c>
      <c r="F750" s="539">
        <f t="shared" si="33"/>
        <v>1449.2824497836536</v>
      </c>
      <c r="G750" s="540">
        <f t="shared" si="34"/>
        <v>120.77353748197113</v>
      </c>
      <c r="H750" s="541">
        <f t="shared" si="35"/>
        <v>15601.899799783652</v>
      </c>
      <c r="I750" s="446"/>
    </row>
    <row r="751" spans="2:9" ht="26.1" hidden="1" customHeight="1" thickTop="1" thickBot="1" x14ac:dyDescent="0.4">
      <c r="B751" s="366"/>
      <c r="C751" s="452">
        <v>46425</v>
      </c>
      <c r="D751" s="451">
        <v>356</v>
      </c>
      <c r="E751" s="581" t="s">
        <v>910</v>
      </c>
      <c r="F751" s="539">
        <f t="shared" si="33"/>
        <v>1453.3649355576922</v>
      </c>
      <c r="G751" s="540">
        <f t="shared" si="34"/>
        <v>121.11374462980768</v>
      </c>
      <c r="H751" s="541">
        <f t="shared" si="35"/>
        <v>15605.982285557691</v>
      </c>
      <c r="I751" s="446"/>
    </row>
    <row r="752" spans="2:9" ht="26.1" hidden="1" customHeight="1" thickTop="1" thickBot="1" x14ac:dyDescent="0.4">
      <c r="B752" s="366"/>
      <c r="C752" s="452">
        <v>46426</v>
      </c>
      <c r="D752" s="451">
        <v>357</v>
      </c>
      <c r="E752" s="581" t="s">
        <v>904</v>
      </c>
      <c r="F752" s="539">
        <f t="shared" si="33"/>
        <v>1457.4474213317305</v>
      </c>
      <c r="G752" s="540">
        <f t="shared" si="34"/>
        <v>121.45395177764421</v>
      </c>
      <c r="H752" s="541">
        <f t="shared" si="35"/>
        <v>15610.064771331728</v>
      </c>
      <c r="I752" s="446"/>
    </row>
    <row r="753" spans="2:9" ht="26.1" hidden="1" customHeight="1" thickTop="1" thickBot="1" x14ac:dyDescent="0.4">
      <c r="B753" s="366"/>
      <c r="C753" s="452">
        <v>46427</v>
      </c>
      <c r="D753" s="451">
        <v>358</v>
      </c>
      <c r="E753" s="581" t="s">
        <v>905</v>
      </c>
      <c r="F753" s="539">
        <f t="shared" si="33"/>
        <v>1461.5299071057691</v>
      </c>
      <c r="G753" s="540">
        <f t="shared" si="34"/>
        <v>121.79415892548076</v>
      </c>
      <c r="H753" s="541">
        <f t="shared" si="35"/>
        <v>15614.147257105767</v>
      </c>
      <c r="I753" s="446"/>
    </row>
    <row r="754" spans="2:9" ht="26.1" hidden="1" customHeight="1" thickTop="1" thickBot="1" x14ac:dyDescent="0.4">
      <c r="B754" s="366"/>
      <c r="C754" s="452">
        <v>46428</v>
      </c>
      <c r="D754" s="451">
        <v>359</v>
      </c>
      <c r="E754" s="581" t="s">
        <v>906</v>
      </c>
      <c r="F754" s="539">
        <f t="shared" si="33"/>
        <v>1465.6123928798074</v>
      </c>
      <c r="G754" s="540">
        <f t="shared" si="34"/>
        <v>122.13436607331728</v>
      </c>
      <c r="H754" s="541">
        <f t="shared" si="35"/>
        <v>15618.229742879807</v>
      </c>
      <c r="I754" s="446"/>
    </row>
    <row r="755" spans="2:9" ht="26.1" hidden="1" customHeight="1" thickTop="1" thickBot="1" x14ac:dyDescent="0.4">
      <c r="B755" s="366"/>
      <c r="C755" s="452">
        <v>46429</v>
      </c>
      <c r="D755" s="451">
        <v>360</v>
      </c>
      <c r="E755" s="581" t="s">
        <v>907</v>
      </c>
      <c r="F755" s="539">
        <f t="shared" si="33"/>
        <v>1469.694878653846</v>
      </c>
      <c r="G755" s="540">
        <f t="shared" si="34"/>
        <v>122.47457322115383</v>
      </c>
      <c r="H755" s="541">
        <f t="shared" si="35"/>
        <v>15622.312228653846</v>
      </c>
      <c r="I755" s="446"/>
    </row>
    <row r="756" spans="2:9" ht="26.1" hidden="1" customHeight="1" thickTop="1" thickBot="1" x14ac:dyDescent="0.4">
      <c r="B756" s="366"/>
      <c r="C756" s="452">
        <v>46430</v>
      </c>
      <c r="D756" s="451">
        <v>361</v>
      </c>
      <c r="E756" s="581" t="s">
        <v>908</v>
      </c>
      <c r="F756" s="539">
        <f t="shared" si="33"/>
        <v>1473.7773644278843</v>
      </c>
      <c r="G756" s="540">
        <f t="shared" si="34"/>
        <v>122.81478036899036</v>
      </c>
      <c r="H756" s="541">
        <f t="shared" si="35"/>
        <v>15626.394714427883</v>
      </c>
      <c r="I756" s="446"/>
    </row>
    <row r="757" spans="2:9" ht="26.1" hidden="1" customHeight="1" thickTop="1" thickBot="1" x14ac:dyDescent="0.4">
      <c r="B757" s="366"/>
      <c r="C757" s="452">
        <v>46431</v>
      </c>
      <c r="D757" s="451">
        <v>362</v>
      </c>
      <c r="E757" s="581" t="s">
        <v>909</v>
      </c>
      <c r="F757" s="539">
        <f t="shared" si="33"/>
        <v>1477.8598502019229</v>
      </c>
      <c r="G757" s="540">
        <f t="shared" si="34"/>
        <v>123.15498751682691</v>
      </c>
      <c r="H757" s="541">
        <f t="shared" si="35"/>
        <v>15630.477200201922</v>
      </c>
      <c r="I757" s="446"/>
    </row>
    <row r="758" spans="2:9" ht="26.1" hidden="1" customHeight="1" thickTop="1" thickBot="1" x14ac:dyDescent="0.4">
      <c r="B758" s="366"/>
      <c r="C758" s="452">
        <v>46432</v>
      </c>
      <c r="D758" s="451">
        <v>363</v>
      </c>
      <c r="E758" s="581" t="s">
        <v>910</v>
      </c>
      <c r="F758" s="539">
        <f t="shared" si="33"/>
        <v>1481.9423359759614</v>
      </c>
      <c r="G758" s="540">
        <f t="shared" si="34"/>
        <v>123.49519466466346</v>
      </c>
      <c r="H758" s="541">
        <f t="shared" si="35"/>
        <v>15634.559685975961</v>
      </c>
      <c r="I758" s="446"/>
    </row>
    <row r="759" spans="2:9" ht="26.1" hidden="1" customHeight="1" thickTop="1" thickBot="1" x14ac:dyDescent="0.4">
      <c r="B759" s="366"/>
      <c r="C759" s="452">
        <v>46433</v>
      </c>
      <c r="D759" s="451">
        <v>364</v>
      </c>
      <c r="E759" s="581" t="s">
        <v>904</v>
      </c>
      <c r="F759" s="539">
        <f t="shared" si="33"/>
        <v>1486.0248217499998</v>
      </c>
      <c r="G759" s="540">
        <f t="shared" si="34"/>
        <v>123.83540181249998</v>
      </c>
      <c r="H759" s="541">
        <f t="shared" si="35"/>
        <v>15638.642171749998</v>
      </c>
      <c r="I759" s="447"/>
    </row>
    <row r="760" spans="2:9" ht="5.0999999999999996" hidden="1" customHeight="1" thickTop="1" thickBot="1" x14ac:dyDescent="0.35">
      <c r="B760" s="365"/>
      <c r="C760" s="419"/>
      <c r="D760" s="420"/>
      <c r="E760" s="419"/>
      <c r="F760" s="450"/>
      <c r="G760" s="450"/>
      <c r="H760" s="450"/>
      <c r="I760" s="354"/>
    </row>
    <row r="761" spans="2:9" hidden="1" x14ac:dyDescent="0.3">
      <c r="G761" s="12"/>
    </row>
    <row r="762" spans="2:9" hidden="1" x14ac:dyDescent="0.3"/>
  </sheetData>
  <mergeCells count="8">
    <mergeCell ref="C4:H4"/>
    <mergeCell ref="C385:H385"/>
    <mergeCell ref="G387:H387"/>
    <mergeCell ref="G388:H388"/>
    <mergeCell ref="C384:H384"/>
    <mergeCell ref="C5:H5"/>
    <mergeCell ref="G7:H7"/>
    <mergeCell ref="G8:H8"/>
  </mergeCells>
  <phoneticPr fontId="27" type="noConversion"/>
  <dataValidations count="2">
    <dataValidation type="list" allowBlank="1" showInputMessage="1" showErrorMessage="1" sqref="G387:H387" xr:uid="{6ADB7B62-F174-49A2-961F-68AC86B8F0C0}">
      <formula1>$C$396:$C$759</formula1>
    </dataValidation>
    <dataValidation type="list" allowBlank="1" showInputMessage="1" showErrorMessage="1" sqref="G7:H7" xr:uid="{82627EA4-617F-4097-BF4A-76EC84B24754}">
      <formula1>$C$16:$C$379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CE70D5-B8F7-404F-BBCC-31EF44B83738}">
          <x14:formula1>
            <xm:f>'B O G SHARES DEVIDENT '!$C$30:$C$41</xm:f>
          </x14:formula1>
          <xm:sqref>C4 C384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E190-C2C1-458D-8FEE-7DD305D050A5}">
  <sheetPr>
    <tabColor rgb="FFFFFF00"/>
  </sheetPr>
  <dimension ref="B1:M399"/>
  <sheetViews>
    <sheetView workbookViewId="0"/>
  </sheetViews>
  <sheetFormatPr defaultRowHeight="20.25" x14ac:dyDescent="0.3"/>
  <cols>
    <col min="1" max="1" width="4.42578125" style="12" customWidth="1"/>
    <col min="2" max="2" width="0.85546875" style="12" customWidth="1"/>
    <col min="3" max="3" width="27.28515625" style="352" bestFit="1" customWidth="1"/>
    <col min="4" max="4" width="26.28515625" style="352" customWidth="1"/>
    <col min="5" max="5" width="27.28515625" style="352" bestFit="1" customWidth="1"/>
    <col min="6" max="6" width="24.85546875" style="12" bestFit="1" customWidth="1"/>
    <col min="7" max="7" width="24.85546875" style="352" bestFit="1" customWidth="1"/>
    <col min="8" max="8" width="23.85546875" style="12" customWidth="1"/>
    <col min="9" max="9" width="0.85546875" style="12" customWidth="1"/>
    <col min="10" max="12" width="9.140625" style="12"/>
    <col min="13" max="13" width="32.140625" style="12" customWidth="1"/>
    <col min="14" max="16384" width="9.140625" style="12"/>
  </cols>
  <sheetData>
    <row r="1" spans="2:9" s="216" customFormat="1" ht="19.5" customHeight="1" x14ac:dyDescent="0.25">
      <c r="B1" s="371"/>
    </row>
    <row r="2" spans="2:9" ht="12" customHeight="1" thickBot="1" x14ac:dyDescent="0.35"/>
    <row r="3" spans="2:9" ht="5.0999999999999996" customHeight="1" thickBot="1" x14ac:dyDescent="0.35">
      <c r="B3" s="463"/>
      <c r="C3" s="368"/>
      <c r="D3" s="368"/>
      <c r="E3" s="368"/>
      <c r="F3" s="369"/>
      <c r="G3" s="368"/>
      <c r="H3" s="369"/>
      <c r="I3" s="353"/>
    </row>
    <row r="4" spans="2:9" s="383" customFormat="1" ht="70.5" customHeight="1" thickBot="1" x14ac:dyDescent="0.3">
      <c r="B4" s="595"/>
      <c r="C4" s="1115" t="s">
        <v>511</v>
      </c>
      <c r="D4" s="1115"/>
      <c r="E4" s="1115"/>
      <c r="F4" s="1115"/>
      <c r="G4" s="1115"/>
      <c r="H4" s="1115"/>
      <c r="I4" s="593"/>
    </row>
    <row r="5" spans="2:9" ht="5.0999999999999996" customHeight="1" thickBot="1" x14ac:dyDescent="0.35">
      <c r="B5" s="365"/>
      <c r="C5" s="368"/>
      <c r="D5" s="368"/>
      <c r="E5" s="368"/>
      <c r="F5" s="369"/>
      <c r="G5" s="368"/>
      <c r="H5" s="369"/>
      <c r="I5" s="365"/>
    </row>
    <row r="6" spans="2:9" s="70" customFormat="1" ht="47.25" thickBot="1" x14ac:dyDescent="0.8">
      <c r="B6" s="596"/>
      <c r="C6" s="1116" t="s">
        <v>984</v>
      </c>
      <c r="D6" s="1116"/>
      <c r="E6" s="1116"/>
      <c r="F6" s="1116"/>
      <c r="G6" s="1116"/>
      <c r="H6" s="1116"/>
      <c r="I6" s="594"/>
    </row>
    <row r="7" spans="2:9" ht="5.0999999999999996" customHeight="1" thickBot="1" x14ac:dyDescent="0.35">
      <c r="B7" s="353"/>
      <c r="C7" s="545"/>
      <c r="D7" s="546"/>
      <c r="E7" s="546"/>
      <c r="F7" s="547"/>
      <c r="G7" s="545"/>
      <c r="H7" s="547"/>
      <c r="I7" s="369"/>
    </row>
    <row r="8" spans="2:9" s="355" customFormat="1" ht="48" customHeight="1" thickTop="1" thickBot="1" x14ac:dyDescent="0.3">
      <c r="B8" s="356"/>
      <c r="C8" s="456" t="s">
        <v>919</v>
      </c>
      <c r="D8" s="457" t="s">
        <v>920</v>
      </c>
      <c r="E8" s="538" t="s">
        <v>969</v>
      </c>
      <c r="F8" s="538" t="s">
        <v>991</v>
      </c>
      <c r="G8" s="1100">
        <v>46062</v>
      </c>
      <c r="H8" s="1100"/>
      <c r="I8" s="440"/>
    </row>
    <row r="9" spans="2:9" s="64" customFormat="1" ht="48" customHeight="1" thickTop="1" thickBot="1" x14ac:dyDescent="0.4">
      <c r="B9" s="357"/>
      <c r="C9" s="443">
        <v>10000</v>
      </c>
      <c r="D9" s="444">
        <v>5.6000000000000001E-2</v>
      </c>
      <c r="E9" s="544">
        <f>C9*D9</f>
        <v>560</v>
      </c>
      <c r="F9" s="445">
        <f>C9+E9</f>
        <v>10560</v>
      </c>
      <c r="G9" s="1113" t="str">
        <f>VLOOKUP($G8,$C$16:$H$197,3,0)</f>
        <v>TUESDAY</v>
      </c>
      <c r="H9" s="1114"/>
      <c r="I9" s="441" t="e">
        <f>B9/#REF!</f>
        <v>#REF!</v>
      </c>
    </row>
    <row r="10" spans="2:9" s="64" customFormat="1" ht="62.25" thickTop="1" thickBot="1" x14ac:dyDescent="0.4">
      <c r="B10" s="357"/>
      <c r="C10" s="459" t="s">
        <v>976</v>
      </c>
      <c r="D10" s="457" t="s">
        <v>973</v>
      </c>
      <c r="E10" s="457" t="s">
        <v>974</v>
      </c>
      <c r="F10" s="458" t="s">
        <v>970</v>
      </c>
      <c r="G10" s="549" t="s">
        <v>943</v>
      </c>
      <c r="H10" s="551" t="s">
        <v>968</v>
      </c>
      <c r="I10" s="441"/>
    </row>
    <row r="11" spans="2:9" s="64" customFormat="1" ht="48" customHeight="1" thickTop="1" thickBot="1" x14ac:dyDescent="0.4">
      <c r="B11" s="357"/>
      <c r="C11" s="567" t="s">
        <v>992</v>
      </c>
      <c r="D11" s="568">
        <f>C16</f>
        <v>45881</v>
      </c>
      <c r="E11" s="568">
        <f>C397</f>
        <v>46244</v>
      </c>
      <c r="F11" s="471">
        <v>182</v>
      </c>
      <c r="G11" s="550">
        <f>VLOOKUP($G8,$C$16:$H$197,2,0)</f>
        <v>182</v>
      </c>
      <c r="H11" s="552">
        <f>F11-G11</f>
        <v>0</v>
      </c>
      <c r="I11" s="441"/>
    </row>
    <row r="12" spans="2:9" s="462" customFormat="1" ht="78" customHeight="1" thickTop="1" thickBot="1" x14ac:dyDescent="0.35">
      <c r="B12" s="460"/>
      <c r="C12" s="553" t="s">
        <v>975</v>
      </c>
      <c r="D12" s="555" t="s">
        <v>987</v>
      </c>
      <c r="E12" s="555" t="s">
        <v>988</v>
      </c>
      <c r="F12" s="557" t="s">
        <v>914</v>
      </c>
      <c r="G12" s="556" t="s">
        <v>993</v>
      </c>
      <c r="H12" s="554" t="s">
        <v>989</v>
      </c>
      <c r="I12" s="461"/>
    </row>
    <row r="13" spans="2:9" ht="51" customHeight="1" thickTop="1" thickBot="1" x14ac:dyDescent="0.35">
      <c r="B13" s="366"/>
      <c r="C13" s="564">
        <f>'B O G SHARES DEVIDENT '!B64</f>
        <v>13</v>
      </c>
      <c r="D13" s="566">
        <f>VLOOKUP($G8,$C$16:$H$197,4,0)</f>
        <v>560</v>
      </c>
      <c r="E13" s="566">
        <f>D13/$C$13</f>
        <v>43.07692307692308</v>
      </c>
      <c r="F13" s="565">
        <f>C9+D13</f>
        <v>10560</v>
      </c>
      <c r="G13" s="566">
        <f>E13</f>
        <v>43.07692307692308</v>
      </c>
      <c r="H13" s="565">
        <f>D13</f>
        <v>560</v>
      </c>
      <c r="I13" s="542"/>
    </row>
    <row r="14" spans="2:9" ht="5.0999999999999996" customHeight="1" thickTop="1" thickBot="1" x14ac:dyDescent="0.35">
      <c r="B14" s="358"/>
      <c r="C14" s="558"/>
      <c r="D14" s="559"/>
      <c r="E14" s="560"/>
      <c r="F14" s="561"/>
      <c r="G14" s="562"/>
      <c r="H14" s="563"/>
      <c r="I14" s="364"/>
    </row>
    <row r="15" spans="2:9" s="383" customFormat="1" ht="70.5" hidden="1" customHeight="1" thickBot="1" x14ac:dyDescent="0.3">
      <c r="B15" s="384"/>
      <c r="C15" s="543" t="s">
        <v>51</v>
      </c>
      <c r="D15" s="543" t="s">
        <v>903</v>
      </c>
      <c r="E15" s="543" t="s">
        <v>921</v>
      </c>
      <c r="F15" s="543" t="s">
        <v>986</v>
      </c>
      <c r="G15" s="543" t="s">
        <v>966</v>
      </c>
      <c r="H15" s="543" t="s">
        <v>1</v>
      </c>
      <c r="I15" s="442"/>
    </row>
    <row r="16" spans="2:9" ht="26.1" hidden="1" customHeight="1" thickTop="1" thickBot="1" x14ac:dyDescent="0.4">
      <c r="B16" s="366"/>
      <c r="C16" s="452">
        <v>45881</v>
      </c>
      <c r="D16" s="451">
        <v>1</v>
      </c>
      <c r="E16" s="454" t="s">
        <v>906</v>
      </c>
      <c r="F16" s="539">
        <f>$E$9/$F$11*D16</f>
        <v>3.0769230769230771</v>
      </c>
      <c r="G16" s="540">
        <f>F16/$C$13</f>
        <v>0.23668639053254439</v>
      </c>
      <c r="H16" s="541">
        <f>$C$9+F16</f>
        <v>10003.076923076924</v>
      </c>
      <c r="I16" s="446"/>
    </row>
    <row r="17" spans="2:9" ht="26.1" hidden="1" customHeight="1" thickTop="1" thickBot="1" x14ac:dyDescent="0.4">
      <c r="B17" s="366"/>
      <c r="C17" s="452">
        <v>45882</v>
      </c>
      <c r="D17" s="451">
        <v>2</v>
      </c>
      <c r="E17" s="454" t="s">
        <v>907</v>
      </c>
      <c r="F17" s="539">
        <f t="shared" ref="F17:F80" si="0">$E$9/$F$11*D17</f>
        <v>6.1538461538461542</v>
      </c>
      <c r="G17" s="540">
        <f t="shared" ref="G17:G80" si="1">F17/$C$13</f>
        <v>0.47337278106508879</v>
      </c>
      <c r="H17" s="541">
        <f t="shared" ref="H17:H19" si="2">$C$9+F17</f>
        <v>10006.153846153846</v>
      </c>
      <c r="I17" s="446"/>
    </row>
    <row r="18" spans="2:9" ht="26.1" hidden="1" customHeight="1" thickTop="1" thickBot="1" x14ac:dyDescent="0.4">
      <c r="B18" s="366"/>
      <c r="C18" s="452">
        <v>45883</v>
      </c>
      <c r="D18" s="451">
        <v>3</v>
      </c>
      <c r="E18" s="454" t="s">
        <v>908</v>
      </c>
      <c r="F18" s="539">
        <f t="shared" si="0"/>
        <v>9.2307692307692317</v>
      </c>
      <c r="G18" s="540">
        <f t="shared" si="1"/>
        <v>0.71005917159763321</v>
      </c>
      <c r="H18" s="541">
        <f t="shared" si="2"/>
        <v>10009.23076923077</v>
      </c>
      <c r="I18" s="446"/>
    </row>
    <row r="19" spans="2:9" ht="26.1" hidden="1" customHeight="1" thickTop="1" thickBot="1" x14ac:dyDescent="0.4">
      <c r="B19" s="366"/>
      <c r="C19" s="452">
        <v>45884</v>
      </c>
      <c r="D19" s="451">
        <v>4</v>
      </c>
      <c r="E19" s="454" t="s">
        <v>909</v>
      </c>
      <c r="F19" s="539">
        <f t="shared" si="0"/>
        <v>12.307692307692308</v>
      </c>
      <c r="G19" s="540">
        <f t="shared" si="1"/>
        <v>0.94674556213017758</v>
      </c>
      <c r="H19" s="541">
        <f t="shared" si="2"/>
        <v>10012.307692307691</v>
      </c>
      <c r="I19" s="446"/>
    </row>
    <row r="20" spans="2:9" ht="26.1" hidden="1" customHeight="1" thickTop="1" thickBot="1" x14ac:dyDescent="0.4">
      <c r="B20" s="366"/>
      <c r="C20" s="452">
        <v>45885</v>
      </c>
      <c r="D20" s="451">
        <v>5</v>
      </c>
      <c r="E20" s="454" t="s">
        <v>910</v>
      </c>
      <c r="F20" s="539">
        <f t="shared" si="0"/>
        <v>15.384615384615385</v>
      </c>
      <c r="G20" s="540">
        <f t="shared" si="1"/>
        <v>1.1834319526627219</v>
      </c>
      <c r="H20" s="541">
        <f t="shared" ref="H20:H51" si="3">$C$9+F20</f>
        <v>10015.384615384615</v>
      </c>
      <c r="I20" s="446"/>
    </row>
    <row r="21" spans="2:9" ht="26.1" hidden="1" customHeight="1" thickTop="1" thickBot="1" x14ac:dyDescent="0.4">
      <c r="B21" s="366"/>
      <c r="C21" s="452">
        <v>45886</v>
      </c>
      <c r="D21" s="451">
        <v>6</v>
      </c>
      <c r="E21" s="454" t="s">
        <v>904</v>
      </c>
      <c r="F21" s="539">
        <f t="shared" si="0"/>
        <v>18.461538461538463</v>
      </c>
      <c r="G21" s="540">
        <f t="shared" si="1"/>
        <v>1.4201183431952664</v>
      </c>
      <c r="H21" s="541">
        <f t="shared" si="3"/>
        <v>10018.461538461539</v>
      </c>
      <c r="I21" s="446"/>
    </row>
    <row r="22" spans="2:9" ht="26.1" hidden="1" customHeight="1" thickTop="1" thickBot="1" x14ac:dyDescent="0.4">
      <c r="B22" s="366"/>
      <c r="C22" s="452">
        <v>45887</v>
      </c>
      <c r="D22" s="451">
        <v>7</v>
      </c>
      <c r="E22" s="454" t="s">
        <v>905</v>
      </c>
      <c r="F22" s="539">
        <f t="shared" si="0"/>
        <v>21.53846153846154</v>
      </c>
      <c r="G22" s="540">
        <f t="shared" si="1"/>
        <v>1.6568047337278107</v>
      </c>
      <c r="H22" s="541">
        <f t="shared" si="3"/>
        <v>10021.538461538461</v>
      </c>
      <c r="I22" s="446"/>
    </row>
    <row r="23" spans="2:9" ht="26.1" hidden="1" customHeight="1" thickTop="1" thickBot="1" x14ac:dyDescent="0.4">
      <c r="B23" s="366"/>
      <c r="C23" s="452">
        <v>45888</v>
      </c>
      <c r="D23" s="451">
        <v>8</v>
      </c>
      <c r="E23" s="454" t="s">
        <v>906</v>
      </c>
      <c r="F23" s="539">
        <f t="shared" si="0"/>
        <v>24.615384615384617</v>
      </c>
      <c r="G23" s="540">
        <f t="shared" si="1"/>
        <v>1.8934911242603552</v>
      </c>
      <c r="H23" s="541">
        <f t="shared" si="3"/>
        <v>10024.615384615385</v>
      </c>
      <c r="I23" s="446"/>
    </row>
    <row r="24" spans="2:9" ht="26.1" hidden="1" customHeight="1" thickTop="1" thickBot="1" x14ac:dyDescent="0.4">
      <c r="B24" s="366"/>
      <c r="C24" s="452">
        <v>45889</v>
      </c>
      <c r="D24" s="451">
        <v>9</v>
      </c>
      <c r="E24" s="454" t="s">
        <v>907</v>
      </c>
      <c r="F24" s="539">
        <f t="shared" si="0"/>
        <v>27.692307692307693</v>
      </c>
      <c r="G24" s="540">
        <f t="shared" si="1"/>
        <v>2.1301775147928996</v>
      </c>
      <c r="H24" s="541">
        <f t="shared" si="3"/>
        <v>10027.692307692309</v>
      </c>
      <c r="I24" s="446"/>
    </row>
    <row r="25" spans="2:9" ht="26.1" hidden="1" customHeight="1" thickTop="1" thickBot="1" x14ac:dyDescent="0.4">
      <c r="B25" s="366"/>
      <c r="C25" s="452">
        <v>45890</v>
      </c>
      <c r="D25" s="451">
        <v>10</v>
      </c>
      <c r="E25" s="454" t="s">
        <v>908</v>
      </c>
      <c r="F25" s="539">
        <f t="shared" si="0"/>
        <v>30.76923076923077</v>
      </c>
      <c r="G25" s="540">
        <f t="shared" si="1"/>
        <v>2.3668639053254439</v>
      </c>
      <c r="H25" s="541">
        <f t="shared" si="3"/>
        <v>10030.76923076923</v>
      </c>
      <c r="I25" s="446"/>
    </row>
    <row r="26" spans="2:9" ht="26.1" hidden="1" customHeight="1" thickTop="1" thickBot="1" x14ac:dyDescent="0.4">
      <c r="B26" s="366"/>
      <c r="C26" s="452">
        <v>45891</v>
      </c>
      <c r="D26" s="451">
        <v>11</v>
      </c>
      <c r="E26" s="454" t="s">
        <v>909</v>
      </c>
      <c r="F26" s="539">
        <f t="shared" si="0"/>
        <v>33.846153846153847</v>
      </c>
      <c r="G26" s="540">
        <f t="shared" si="1"/>
        <v>2.6035502958579881</v>
      </c>
      <c r="H26" s="541">
        <f t="shared" si="3"/>
        <v>10033.846153846154</v>
      </c>
      <c r="I26" s="446"/>
    </row>
    <row r="27" spans="2:9" ht="26.1" hidden="1" customHeight="1" thickTop="1" thickBot="1" x14ac:dyDescent="0.4">
      <c r="B27" s="366"/>
      <c r="C27" s="452">
        <v>45892</v>
      </c>
      <c r="D27" s="451">
        <v>12</v>
      </c>
      <c r="E27" s="454" t="s">
        <v>910</v>
      </c>
      <c r="F27" s="539">
        <f t="shared" si="0"/>
        <v>36.923076923076927</v>
      </c>
      <c r="G27" s="540">
        <f t="shared" si="1"/>
        <v>2.8402366863905328</v>
      </c>
      <c r="H27" s="541">
        <f t="shared" si="3"/>
        <v>10036.923076923076</v>
      </c>
      <c r="I27" s="446"/>
    </row>
    <row r="28" spans="2:9" ht="26.1" hidden="1" customHeight="1" thickTop="1" thickBot="1" x14ac:dyDescent="0.4">
      <c r="B28" s="366"/>
      <c r="C28" s="452">
        <v>45893</v>
      </c>
      <c r="D28" s="451">
        <v>13</v>
      </c>
      <c r="E28" s="454" t="s">
        <v>904</v>
      </c>
      <c r="F28" s="539">
        <f t="shared" si="0"/>
        <v>40</v>
      </c>
      <c r="G28" s="540">
        <f t="shared" si="1"/>
        <v>3.0769230769230771</v>
      </c>
      <c r="H28" s="541">
        <f t="shared" si="3"/>
        <v>10040</v>
      </c>
      <c r="I28" s="446"/>
    </row>
    <row r="29" spans="2:9" ht="26.1" hidden="1" customHeight="1" thickTop="1" thickBot="1" x14ac:dyDescent="0.4">
      <c r="B29" s="366"/>
      <c r="C29" s="452">
        <v>45894</v>
      </c>
      <c r="D29" s="451">
        <v>14</v>
      </c>
      <c r="E29" s="454" t="s">
        <v>905</v>
      </c>
      <c r="F29" s="539">
        <f t="shared" si="0"/>
        <v>43.07692307692308</v>
      </c>
      <c r="G29" s="540">
        <f t="shared" si="1"/>
        <v>3.3136094674556213</v>
      </c>
      <c r="H29" s="541">
        <f t="shared" si="3"/>
        <v>10043.076923076924</v>
      </c>
      <c r="I29" s="446"/>
    </row>
    <row r="30" spans="2:9" ht="26.1" hidden="1" customHeight="1" thickTop="1" thickBot="1" x14ac:dyDescent="0.4">
      <c r="B30" s="366"/>
      <c r="C30" s="452">
        <v>45895</v>
      </c>
      <c r="D30" s="451">
        <v>15</v>
      </c>
      <c r="E30" s="454" t="s">
        <v>906</v>
      </c>
      <c r="F30" s="539">
        <f t="shared" si="0"/>
        <v>46.153846153846153</v>
      </c>
      <c r="G30" s="540">
        <f t="shared" si="1"/>
        <v>3.5502958579881656</v>
      </c>
      <c r="H30" s="541">
        <f t="shared" si="3"/>
        <v>10046.153846153846</v>
      </c>
      <c r="I30" s="446"/>
    </row>
    <row r="31" spans="2:9" ht="26.1" hidden="1" customHeight="1" thickTop="1" thickBot="1" x14ac:dyDescent="0.4">
      <c r="B31" s="366"/>
      <c r="C31" s="452">
        <v>45896</v>
      </c>
      <c r="D31" s="451">
        <v>16</v>
      </c>
      <c r="E31" s="454" t="s">
        <v>907</v>
      </c>
      <c r="F31" s="539">
        <f t="shared" si="0"/>
        <v>49.230769230769234</v>
      </c>
      <c r="G31" s="540">
        <f t="shared" si="1"/>
        <v>3.7869822485207103</v>
      </c>
      <c r="H31" s="541">
        <f t="shared" si="3"/>
        <v>10049.23076923077</v>
      </c>
      <c r="I31" s="446"/>
    </row>
    <row r="32" spans="2:9" ht="26.1" hidden="1" customHeight="1" thickTop="1" thickBot="1" x14ac:dyDescent="0.4">
      <c r="B32" s="366"/>
      <c r="C32" s="452">
        <v>45897</v>
      </c>
      <c r="D32" s="451">
        <v>17</v>
      </c>
      <c r="E32" s="454" t="s">
        <v>908</v>
      </c>
      <c r="F32" s="539">
        <f t="shared" si="0"/>
        <v>52.307692307692314</v>
      </c>
      <c r="G32" s="540">
        <f t="shared" si="1"/>
        <v>4.0236686390532546</v>
      </c>
      <c r="H32" s="541">
        <f t="shared" si="3"/>
        <v>10052.307692307691</v>
      </c>
      <c r="I32" s="446"/>
    </row>
    <row r="33" spans="2:9" ht="26.1" hidden="1" customHeight="1" thickTop="1" thickBot="1" x14ac:dyDescent="0.4">
      <c r="B33" s="366"/>
      <c r="C33" s="452">
        <v>45898</v>
      </c>
      <c r="D33" s="451">
        <v>18</v>
      </c>
      <c r="E33" s="454" t="s">
        <v>909</v>
      </c>
      <c r="F33" s="539">
        <f t="shared" si="0"/>
        <v>55.384615384615387</v>
      </c>
      <c r="G33" s="540">
        <f t="shared" si="1"/>
        <v>4.2603550295857993</v>
      </c>
      <c r="H33" s="541">
        <f t="shared" si="3"/>
        <v>10055.384615384615</v>
      </c>
      <c r="I33" s="446"/>
    </row>
    <row r="34" spans="2:9" ht="26.1" hidden="1" customHeight="1" thickTop="1" thickBot="1" x14ac:dyDescent="0.4">
      <c r="B34" s="366"/>
      <c r="C34" s="452">
        <v>45899</v>
      </c>
      <c r="D34" s="451">
        <v>19</v>
      </c>
      <c r="E34" s="454" t="s">
        <v>910</v>
      </c>
      <c r="F34" s="539">
        <f t="shared" si="0"/>
        <v>58.461538461538467</v>
      </c>
      <c r="G34" s="540">
        <f t="shared" si="1"/>
        <v>4.497041420118344</v>
      </c>
      <c r="H34" s="541">
        <f t="shared" si="3"/>
        <v>10058.461538461539</v>
      </c>
      <c r="I34" s="446"/>
    </row>
    <row r="35" spans="2:9" ht="26.1" hidden="1" customHeight="1" thickTop="1" thickBot="1" x14ac:dyDescent="0.4">
      <c r="B35" s="366"/>
      <c r="C35" s="452">
        <v>45900</v>
      </c>
      <c r="D35" s="451">
        <v>20</v>
      </c>
      <c r="E35" s="454" t="s">
        <v>904</v>
      </c>
      <c r="F35" s="539">
        <f t="shared" si="0"/>
        <v>61.53846153846154</v>
      </c>
      <c r="G35" s="540">
        <f t="shared" si="1"/>
        <v>4.7337278106508878</v>
      </c>
      <c r="H35" s="541">
        <f t="shared" si="3"/>
        <v>10061.538461538461</v>
      </c>
      <c r="I35" s="446"/>
    </row>
    <row r="36" spans="2:9" ht="26.1" hidden="1" customHeight="1" thickTop="1" thickBot="1" x14ac:dyDescent="0.4">
      <c r="B36" s="366"/>
      <c r="C36" s="452">
        <v>45901</v>
      </c>
      <c r="D36" s="451">
        <v>21</v>
      </c>
      <c r="E36" s="454" t="s">
        <v>905</v>
      </c>
      <c r="F36" s="539">
        <f t="shared" si="0"/>
        <v>64.615384615384613</v>
      </c>
      <c r="G36" s="540">
        <f t="shared" si="1"/>
        <v>4.9704142011834316</v>
      </c>
      <c r="H36" s="541">
        <f t="shared" si="3"/>
        <v>10064.615384615385</v>
      </c>
      <c r="I36" s="446"/>
    </row>
    <row r="37" spans="2:9" ht="26.1" hidden="1" customHeight="1" thickTop="1" thickBot="1" x14ac:dyDescent="0.4">
      <c r="B37" s="366"/>
      <c r="C37" s="452">
        <v>45902</v>
      </c>
      <c r="D37" s="451">
        <v>22</v>
      </c>
      <c r="E37" s="454" t="s">
        <v>906</v>
      </c>
      <c r="F37" s="539">
        <f t="shared" si="0"/>
        <v>67.692307692307693</v>
      </c>
      <c r="G37" s="540">
        <f t="shared" si="1"/>
        <v>5.2071005917159763</v>
      </c>
      <c r="H37" s="541">
        <f t="shared" si="3"/>
        <v>10067.692307692309</v>
      </c>
      <c r="I37" s="446"/>
    </row>
    <row r="38" spans="2:9" ht="26.1" hidden="1" customHeight="1" thickTop="1" thickBot="1" x14ac:dyDescent="0.4">
      <c r="B38" s="366"/>
      <c r="C38" s="452">
        <v>45903</v>
      </c>
      <c r="D38" s="451">
        <v>23</v>
      </c>
      <c r="E38" s="454" t="s">
        <v>907</v>
      </c>
      <c r="F38" s="539">
        <f t="shared" si="0"/>
        <v>70.769230769230774</v>
      </c>
      <c r="G38" s="540">
        <f t="shared" si="1"/>
        <v>5.443786982248521</v>
      </c>
      <c r="H38" s="541">
        <f t="shared" si="3"/>
        <v>10070.76923076923</v>
      </c>
      <c r="I38" s="446"/>
    </row>
    <row r="39" spans="2:9" ht="26.1" hidden="1" customHeight="1" thickTop="1" thickBot="1" x14ac:dyDescent="0.4">
      <c r="B39" s="366"/>
      <c r="C39" s="452">
        <v>45904</v>
      </c>
      <c r="D39" s="451">
        <v>24</v>
      </c>
      <c r="E39" s="454" t="s">
        <v>908</v>
      </c>
      <c r="F39" s="539">
        <f t="shared" si="0"/>
        <v>73.846153846153854</v>
      </c>
      <c r="G39" s="540">
        <f t="shared" si="1"/>
        <v>5.6804733727810657</v>
      </c>
      <c r="H39" s="541">
        <f t="shared" si="3"/>
        <v>10073.846153846154</v>
      </c>
      <c r="I39" s="446"/>
    </row>
    <row r="40" spans="2:9" ht="26.1" hidden="1" customHeight="1" thickTop="1" thickBot="1" x14ac:dyDescent="0.4">
      <c r="B40" s="366"/>
      <c r="C40" s="452">
        <v>45905</v>
      </c>
      <c r="D40" s="451">
        <v>25</v>
      </c>
      <c r="E40" s="454" t="s">
        <v>909</v>
      </c>
      <c r="F40" s="539">
        <f t="shared" si="0"/>
        <v>76.923076923076934</v>
      </c>
      <c r="G40" s="540">
        <f t="shared" si="1"/>
        <v>5.9171597633136104</v>
      </c>
      <c r="H40" s="541">
        <f t="shared" si="3"/>
        <v>10076.923076923076</v>
      </c>
      <c r="I40" s="446"/>
    </row>
    <row r="41" spans="2:9" ht="26.1" hidden="1" customHeight="1" thickTop="1" thickBot="1" x14ac:dyDescent="0.4">
      <c r="B41" s="366"/>
      <c r="C41" s="452">
        <v>45906</v>
      </c>
      <c r="D41" s="451">
        <v>26</v>
      </c>
      <c r="E41" s="454" t="s">
        <v>910</v>
      </c>
      <c r="F41" s="539">
        <f t="shared" si="0"/>
        <v>80</v>
      </c>
      <c r="G41" s="540">
        <f t="shared" si="1"/>
        <v>6.1538461538461542</v>
      </c>
      <c r="H41" s="541">
        <f t="shared" si="3"/>
        <v>10080</v>
      </c>
      <c r="I41" s="446"/>
    </row>
    <row r="42" spans="2:9" ht="26.1" hidden="1" customHeight="1" thickTop="1" thickBot="1" x14ac:dyDescent="0.4">
      <c r="B42" s="366"/>
      <c r="C42" s="452">
        <v>45907</v>
      </c>
      <c r="D42" s="451">
        <v>27</v>
      </c>
      <c r="E42" s="454" t="s">
        <v>904</v>
      </c>
      <c r="F42" s="539">
        <f t="shared" si="0"/>
        <v>83.07692307692308</v>
      </c>
      <c r="G42" s="540">
        <f t="shared" si="1"/>
        <v>6.3905325443786989</v>
      </c>
      <c r="H42" s="541">
        <f t="shared" si="3"/>
        <v>10083.076923076924</v>
      </c>
      <c r="I42" s="446"/>
    </row>
    <row r="43" spans="2:9" ht="26.1" hidden="1" customHeight="1" thickTop="1" thickBot="1" x14ac:dyDescent="0.4">
      <c r="B43" s="366"/>
      <c r="C43" s="452">
        <v>45908</v>
      </c>
      <c r="D43" s="451">
        <v>28</v>
      </c>
      <c r="E43" s="454" t="s">
        <v>905</v>
      </c>
      <c r="F43" s="539">
        <f t="shared" si="0"/>
        <v>86.15384615384616</v>
      </c>
      <c r="G43" s="540">
        <f t="shared" si="1"/>
        <v>6.6272189349112427</v>
      </c>
      <c r="H43" s="541">
        <f t="shared" si="3"/>
        <v>10086.153846153846</v>
      </c>
      <c r="I43" s="446"/>
    </row>
    <row r="44" spans="2:9" ht="26.1" hidden="1" customHeight="1" thickTop="1" thickBot="1" x14ac:dyDescent="0.4">
      <c r="B44" s="366"/>
      <c r="C44" s="452">
        <v>45909</v>
      </c>
      <c r="D44" s="451">
        <v>29</v>
      </c>
      <c r="E44" s="454" t="s">
        <v>906</v>
      </c>
      <c r="F44" s="539">
        <f t="shared" si="0"/>
        <v>89.230769230769241</v>
      </c>
      <c r="G44" s="540">
        <f t="shared" si="1"/>
        <v>6.8639053254437874</v>
      </c>
      <c r="H44" s="541">
        <f t="shared" si="3"/>
        <v>10089.23076923077</v>
      </c>
      <c r="I44" s="446"/>
    </row>
    <row r="45" spans="2:9" ht="26.1" hidden="1" customHeight="1" thickTop="1" thickBot="1" x14ac:dyDescent="0.4">
      <c r="B45" s="366"/>
      <c r="C45" s="452">
        <v>45910</v>
      </c>
      <c r="D45" s="451">
        <v>30</v>
      </c>
      <c r="E45" s="454" t="s">
        <v>907</v>
      </c>
      <c r="F45" s="539">
        <f t="shared" si="0"/>
        <v>92.307692307692307</v>
      </c>
      <c r="G45" s="540">
        <f t="shared" si="1"/>
        <v>7.1005917159763312</v>
      </c>
      <c r="H45" s="541">
        <f t="shared" si="3"/>
        <v>10092.307692307691</v>
      </c>
      <c r="I45" s="446"/>
    </row>
    <row r="46" spans="2:9" ht="26.1" hidden="1" customHeight="1" thickTop="1" thickBot="1" x14ac:dyDescent="0.4">
      <c r="B46" s="366"/>
      <c r="C46" s="452">
        <v>45911</v>
      </c>
      <c r="D46" s="451">
        <v>31</v>
      </c>
      <c r="E46" s="454" t="s">
        <v>908</v>
      </c>
      <c r="F46" s="539">
        <f t="shared" si="0"/>
        <v>95.384615384615387</v>
      </c>
      <c r="G46" s="540">
        <f t="shared" si="1"/>
        <v>7.3372781065088759</v>
      </c>
      <c r="H46" s="541">
        <f t="shared" si="3"/>
        <v>10095.384615384615</v>
      </c>
      <c r="I46" s="446"/>
    </row>
    <row r="47" spans="2:9" ht="26.1" hidden="1" customHeight="1" thickTop="1" thickBot="1" x14ac:dyDescent="0.4">
      <c r="B47" s="366"/>
      <c r="C47" s="452">
        <v>45912</v>
      </c>
      <c r="D47" s="451">
        <v>32</v>
      </c>
      <c r="E47" s="454" t="s">
        <v>909</v>
      </c>
      <c r="F47" s="539">
        <f t="shared" si="0"/>
        <v>98.461538461538467</v>
      </c>
      <c r="G47" s="540">
        <f t="shared" si="1"/>
        <v>7.5739644970414206</v>
      </c>
      <c r="H47" s="541">
        <f t="shared" si="3"/>
        <v>10098.461538461539</v>
      </c>
      <c r="I47" s="446"/>
    </row>
    <row r="48" spans="2:9" ht="26.1" hidden="1" customHeight="1" thickTop="1" thickBot="1" x14ac:dyDescent="0.4">
      <c r="B48" s="366"/>
      <c r="C48" s="452">
        <v>45913</v>
      </c>
      <c r="D48" s="451">
        <v>33</v>
      </c>
      <c r="E48" s="454" t="s">
        <v>910</v>
      </c>
      <c r="F48" s="539">
        <f t="shared" si="0"/>
        <v>101.53846153846155</v>
      </c>
      <c r="G48" s="540">
        <f t="shared" si="1"/>
        <v>7.8106508875739653</v>
      </c>
      <c r="H48" s="541">
        <f t="shared" si="3"/>
        <v>10101.538461538461</v>
      </c>
      <c r="I48" s="446"/>
    </row>
    <row r="49" spans="2:9" ht="26.1" hidden="1" customHeight="1" thickTop="1" thickBot="1" x14ac:dyDescent="0.4">
      <c r="B49" s="366"/>
      <c r="C49" s="452">
        <v>45914</v>
      </c>
      <c r="D49" s="451">
        <v>34</v>
      </c>
      <c r="E49" s="454" t="s">
        <v>904</v>
      </c>
      <c r="F49" s="539">
        <f t="shared" si="0"/>
        <v>104.61538461538463</v>
      </c>
      <c r="G49" s="540">
        <f t="shared" si="1"/>
        <v>8.0473372781065091</v>
      </c>
      <c r="H49" s="541">
        <f t="shared" si="3"/>
        <v>10104.615384615385</v>
      </c>
      <c r="I49" s="446"/>
    </row>
    <row r="50" spans="2:9" ht="26.1" hidden="1" customHeight="1" thickTop="1" thickBot="1" x14ac:dyDescent="0.4">
      <c r="B50" s="366"/>
      <c r="C50" s="452">
        <v>45915</v>
      </c>
      <c r="D50" s="451">
        <v>35</v>
      </c>
      <c r="E50" s="454" t="s">
        <v>905</v>
      </c>
      <c r="F50" s="539">
        <f t="shared" si="0"/>
        <v>107.69230769230769</v>
      </c>
      <c r="G50" s="540">
        <f t="shared" si="1"/>
        <v>8.2840236686390529</v>
      </c>
      <c r="H50" s="541">
        <f t="shared" si="3"/>
        <v>10107.692307692309</v>
      </c>
      <c r="I50" s="446"/>
    </row>
    <row r="51" spans="2:9" ht="26.1" hidden="1" customHeight="1" thickTop="1" thickBot="1" x14ac:dyDescent="0.4">
      <c r="B51" s="366"/>
      <c r="C51" s="452">
        <v>45916</v>
      </c>
      <c r="D51" s="451">
        <v>36</v>
      </c>
      <c r="E51" s="454" t="s">
        <v>906</v>
      </c>
      <c r="F51" s="539">
        <f t="shared" si="0"/>
        <v>110.76923076923077</v>
      </c>
      <c r="G51" s="540">
        <f t="shared" si="1"/>
        <v>8.5207100591715985</v>
      </c>
      <c r="H51" s="541">
        <f t="shared" si="3"/>
        <v>10110.76923076923</v>
      </c>
      <c r="I51" s="446"/>
    </row>
    <row r="52" spans="2:9" ht="26.1" hidden="1" customHeight="1" thickTop="1" thickBot="1" x14ac:dyDescent="0.4">
      <c r="B52" s="366"/>
      <c r="C52" s="452">
        <v>45917</v>
      </c>
      <c r="D52" s="451">
        <v>37</v>
      </c>
      <c r="E52" s="454" t="s">
        <v>907</v>
      </c>
      <c r="F52" s="539">
        <f t="shared" si="0"/>
        <v>113.84615384615385</v>
      </c>
      <c r="G52" s="540">
        <f t="shared" si="1"/>
        <v>8.7573964497041423</v>
      </c>
      <c r="H52" s="541">
        <f t="shared" ref="H52:H80" si="4">$C$9+F52</f>
        <v>10113.846153846154</v>
      </c>
      <c r="I52" s="446"/>
    </row>
    <row r="53" spans="2:9" ht="26.1" hidden="1" customHeight="1" thickTop="1" thickBot="1" x14ac:dyDescent="0.4">
      <c r="B53" s="366"/>
      <c r="C53" s="452">
        <v>45918</v>
      </c>
      <c r="D53" s="451">
        <v>38</v>
      </c>
      <c r="E53" s="454" t="s">
        <v>908</v>
      </c>
      <c r="F53" s="539">
        <f t="shared" si="0"/>
        <v>116.92307692307693</v>
      </c>
      <c r="G53" s="540">
        <f t="shared" si="1"/>
        <v>8.9940828402366879</v>
      </c>
      <c r="H53" s="541">
        <f t="shared" si="4"/>
        <v>10116.923076923076</v>
      </c>
      <c r="I53" s="446"/>
    </row>
    <row r="54" spans="2:9" ht="26.1" hidden="1" customHeight="1" thickTop="1" thickBot="1" x14ac:dyDescent="0.4">
      <c r="B54" s="366"/>
      <c r="C54" s="452">
        <v>45919</v>
      </c>
      <c r="D54" s="451">
        <v>39</v>
      </c>
      <c r="E54" s="454" t="s">
        <v>909</v>
      </c>
      <c r="F54" s="539">
        <f t="shared" si="0"/>
        <v>120</v>
      </c>
      <c r="G54" s="540">
        <f t="shared" si="1"/>
        <v>9.2307692307692299</v>
      </c>
      <c r="H54" s="541">
        <f t="shared" si="4"/>
        <v>10120</v>
      </c>
      <c r="I54" s="446"/>
    </row>
    <row r="55" spans="2:9" ht="26.1" hidden="1" customHeight="1" thickTop="1" thickBot="1" x14ac:dyDescent="0.4">
      <c r="B55" s="366"/>
      <c r="C55" s="452">
        <v>45920</v>
      </c>
      <c r="D55" s="451">
        <v>40</v>
      </c>
      <c r="E55" s="454" t="s">
        <v>910</v>
      </c>
      <c r="F55" s="539">
        <f t="shared" si="0"/>
        <v>123.07692307692308</v>
      </c>
      <c r="G55" s="540">
        <f t="shared" si="1"/>
        <v>9.4674556213017755</v>
      </c>
      <c r="H55" s="541">
        <f t="shared" si="4"/>
        <v>10123.076923076924</v>
      </c>
      <c r="I55" s="446"/>
    </row>
    <row r="56" spans="2:9" ht="26.1" hidden="1" customHeight="1" thickTop="1" thickBot="1" x14ac:dyDescent="0.4">
      <c r="B56" s="366"/>
      <c r="C56" s="452">
        <v>45921</v>
      </c>
      <c r="D56" s="451">
        <v>41</v>
      </c>
      <c r="E56" s="454" t="s">
        <v>904</v>
      </c>
      <c r="F56" s="539">
        <f t="shared" si="0"/>
        <v>126.15384615384616</v>
      </c>
      <c r="G56" s="540">
        <f t="shared" si="1"/>
        <v>9.7041420118343193</v>
      </c>
      <c r="H56" s="541">
        <f t="shared" si="4"/>
        <v>10126.153846153846</v>
      </c>
      <c r="I56" s="446"/>
    </row>
    <row r="57" spans="2:9" ht="26.1" hidden="1" customHeight="1" thickTop="1" thickBot="1" x14ac:dyDescent="0.4">
      <c r="B57" s="366"/>
      <c r="C57" s="452">
        <v>45922</v>
      </c>
      <c r="D57" s="451">
        <v>42</v>
      </c>
      <c r="E57" s="454" t="s">
        <v>905</v>
      </c>
      <c r="F57" s="539">
        <f t="shared" si="0"/>
        <v>129.23076923076923</v>
      </c>
      <c r="G57" s="540">
        <f t="shared" si="1"/>
        <v>9.9408284023668632</v>
      </c>
      <c r="H57" s="541">
        <f t="shared" si="4"/>
        <v>10129.23076923077</v>
      </c>
      <c r="I57" s="446"/>
    </row>
    <row r="58" spans="2:9" ht="26.1" hidden="1" customHeight="1" thickTop="1" thickBot="1" x14ac:dyDescent="0.4">
      <c r="B58" s="366"/>
      <c r="C58" s="452">
        <v>45923</v>
      </c>
      <c r="D58" s="451">
        <v>43</v>
      </c>
      <c r="E58" s="454" t="s">
        <v>906</v>
      </c>
      <c r="F58" s="539">
        <f t="shared" si="0"/>
        <v>132.30769230769232</v>
      </c>
      <c r="G58" s="540">
        <f t="shared" si="1"/>
        <v>10.177514792899409</v>
      </c>
      <c r="H58" s="541">
        <f t="shared" si="4"/>
        <v>10132.307692307691</v>
      </c>
      <c r="I58" s="446"/>
    </row>
    <row r="59" spans="2:9" ht="26.1" hidden="1" customHeight="1" thickTop="1" thickBot="1" x14ac:dyDescent="0.4">
      <c r="B59" s="366"/>
      <c r="C59" s="452">
        <v>45924</v>
      </c>
      <c r="D59" s="451">
        <v>44</v>
      </c>
      <c r="E59" s="454" t="s">
        <v>907</v>
      </c>
      <c r="F59" s="539">
        <f t="shared" si="0"/>
        <v>135.38461538461539</v>
      </c>
      <c r="G59" s="540">
        <f t="shared" si="1"/>
        <v>10.414201183431953</v>
      </c>
      <c r="H59" s="541">
        <f t="shared" si="4"/>
        <v>10135.384615384615</v>
      </c>
      <c r="I59" s="446"/>
    </row>
    <row r="60" spans="2:9" ht="26.1" hidden="1" customHeight="1" thickTop="1" thickBot="1" x14ac:dyDescent="0.4">
      <c r="B60" s="366"/>
      <c r="C60" s="452">
        <v>45925</v>
      </c>
      <c r="D60" s="451">
        <v>45</v>
      </c>
      <c r="E60" s="454" t="s">
        <v>908</v>
      </c>
      <c r="F60" s="539">
        <f t="shared" si="0"/>
        <v>138.46153846153848</v>
      </c>
      <c r="G60" s="540">
        <f t="shared" si="1"/>
        <v>10.650887573964498</v>
      </c>
      <c r="H60" s="541">
        <f t="shared" si="4"/>
        <v>10138.461538461539</v>
      </c>
      <c r="I60" s="446"/>
    </row>
    <row r="61" spans="2:9" ht="26.1" hidden="1" customHeight="1" thickTop="1" thickBot="1" x14ac:dyDescent="0.4">
      <c r="B61" s="366"/>
      <c r="C61" s="452">
        <v>45926</v>
      </c>
      <c r="D61" s="451">
        <v>46</v>
      </c>
      <c r="E61" s="454" t="s">
        <v>909</v>
      </c>
      <c r="F61" s="539">
        <f t="shared" si="0"/>
        <v>141.53846153846155</v>
      </c>
      <c r="G61" s="540">
        <f t="shared" si="1"/>
        <v>10.887573964497042</v>
      </c>
      <c r="H61" s="541">
        <f t="shared" si="4"/>
        <v>10141.538461538461</v>
      </c>
      <c r="I61" s="446"/>
    </row>
    <row r="62" spans="2:9" ht="26.1" hidden="1" customHeight="1" thickTop="1" thickBot="1" x14ac:dyDescent="0.4">
      <c r="B62" s="366"/>
      <c r="C62" s="452">
        <v>45927</v>
      </c>
      <c r="D62" s="451">
        <v>47</v>
      </c>
      <c r="E62" s="454" t="s">
        <v>910</v>
      </c>
      <c r="F62" s="539">
        <f t="shared" si="0"/>
        <v>144.61538461538461</v>
      </c>
      <c r="G62" s="540">
        <f t="shared" si="1"/>
        <v>11.124260355029586</v>
      </c>
      <c r="H62" s="541">
        <f t="shared" si="4"/>
        <v>10144.615384615385</v>
      </c>
      <c r="I62" s="446"/>
    </row>
    <row r="63" spans="2:9" ht="26.1" hidden="1" customHeight="1" thickTop="1" thickBot="1" x14ac:dyDescent="0.4">
      <c r="B63" s="366"/>
      <c r="C63" s="452">
        <v>45928</v>
      </c>
      <c r="D63" s="451">
        <v>48</v>
      </c>
      <c r="E63" s="454" t="s">
        <v>904</v>
      </c>
      <c r="F63" s="539">
        <f t="shared" si="0"/>
        <v>147.69230769230771</v>
      </c>
      <c r="G63" s="540">
        <f t="shared" si="1"/>
        <v>11.360946745562131</v>
      </c>
      <c r="H63" s="541">
        <f t="shared" si="4"/>
        <v>10147.692307692309</v>
      </c>
      <c r="I63" s="446"/>
    </row>
    <row r="64" spans="2:9" ht="26.1" hidden="1" customHeight="1" thickTop="1" thickBot="1" x14ac:dyDescent="0.4">
      <c r="B64" s="366"/>
      <c r="C64" s="452">
        <v>45929</v>
      </c>
      <c r="D64" s="451">
        <v>49</v>
      </c>
      <c r="E64" s="454" t="s">
        <v>905</v>
      </c>
      <c r="F64" s="539">
        <f t="shared" si="0"/>
        <v>150.76923076923077</v>
      </c>
      <c r="G64" s="540">
        <f t="shared" si="1"/>
        <v>11.597633136094675</v>
      </c>
      <c r="H64" s="541">
        <f t="shared" si="4"/>
        <v>10150.76923076923</v>
      </c>
      <c r="I64" s="446"/>
    </row>
    <row r="65" spans="2:9" ht="26.1" hidden="1" customHeight="1" thickTop="1" thickBot="1" x14ac:dyDescent="0.4">
      <c r="B65" s="366"/>
      <c r="C65" s="452">
        <v>45930</v>
      </c>
      <c r="D65" s="451">
        <v>50</v>
      </c>
      <c r="E65" s="454" t="s">
        <v>906</v>
      </c>
      <c r="F65" s="539">
        <f t="shared" si="0"/>
        <v>153.84615384615387</v>
      </c>
      <c r="G65" s="540">
        <f t="shared" si="1"/>
        <v>11.834319526627221</v>
      </c>
      <c r="H65" s="541">
        <f t="shared" si="4"/>
        <v>10153.846153846154</v>
      </c>
      <c r="I65" s="446"/>
    </row>
    <row r="66" spans="2:9" ht="26.1" hidden="1" customHeight="1" thickTop="1" thickBot="1" x14ac:dyDescent="0.4">
      <c r="B66" s="366"/>
      <c r="C66" s="452">
        <v>45931</v>
      </c>
      <c r="D66" s="451">
        <v>51</v>
      </c>
      <c r="E66" s="454" t="s">
        <v>907</v>
      </c>
      <c r="F66" s="539">
        <f t="shared" si="0"/>
        <v>156.92307692307693</v>
      </c>
      <c r="G66" s="540">
        <f t="shared" si="1"/>
        <v>12.071005917159765</v>
      </c>
      <c r="H66" s="541">
        <f t="shared" si="4"/>
        <v>10156.923076923076</v>
      </c>
      <c r="I66" s="446"/>
    </row>
    <row r="67" spans="2:9" ht="26.1" hidden="1" customHeight="1" thickTop="1" thickBot="1" x14ac:dyDescent="0.4">
      <c r="B67" s="366"/>
      <c r="C67" s="452">
        <v>45932</v>
      </c>
      <c r="D67" s="451">
        <v>52</v>
      </c>
      <c r="E67" s="454" t="s">
        <v>908</v>
      </c>
      <c r="F67" s="539">
        <f t="shared" si="0"/>
        <v>160</v>
      </c>
      <c r="G67" s="540">
        <f t="shared" si="1"/>
        <v>12.307692307692308</v>
      </c>
      <c r="H67" s="541">
        <f t="shared" si="4"/>
        <v>10160</v>
      </c>
      <c r="I67" s="446"/>
    </row>
    <row r="68" spans="2:9" ht="26.1" hidden="1" customHeight="1" thickTop="1" thickBot="1" x14ac:dyDescent="0.4">
      <c r="B68" s="366"/>
      <c r="C68" s="452">
        <v>45933</v>
      </c>
      <c r="D68" s="451">
        <v>53</v>
      </c>
      <c r="E68" s="454" t="s">
        <v>909</v>
      </c>
      <c r="F68" s="539">
        <f t="shared" si="0"/>
        <v>163.07692307692309</v>
      </c>
      <c r="G68" s="540">
        <f t="shared" si="1"/>
        <v>12.544378698224854</v>
      </c>
      <c r="H68" s="541">
        <f t="shared" si="4"/>
        <v>10163.076923076924</v>
      </c>
      <c r="I68" s="446"/>
    </row>
    <row r="69" spans="2:9" ht="26.1" hidden="1" customHeight="1" thickTop="1" thickBot="1" x14ac:dyDescent="0.4">
      <c r="B69" s="366"/>
      <c r="C69" s="452">
        <v>45934</v>
      </c>
      <c r="D69" s="451">
        <v>54</v>
      </c>
      <c r="E69" s="454" t="s">
        <v>910</v>
      </c>
      <c r="F69" s="539">
        <f t="shared" si="0"/>
        <v>166.15384615384616</v>
      </c>
      <c r="G69" s="540">
        <f t="shared" si="1"/>
        <v>12.781065088757398</v>
      </c>
      <c r="H69" s="541">
        <f t="shared" si="4"/>
        <v>10166.153846153846</v>
      </c>
      <c r="I69" s="446"/>
    </row>
    <row r="70" spans="2:9" ht="26.1" hidden="1" customHeight="1" thickTop="1" thickBot="1" x14ac:dyDescent="0.4">
      <c r="B70" s="366"/>
      <c r="C70" s="452">
        <v>45935</v>
      </c>
      <c r="D70" s="451">
        <v>55</v>
      </c>
      <c r="E70" s="454" t="s">
        <v>904</v>
      </c>
      <c r="F70" s="539">
        <f t="shared" si="0"/>
        <v>169.23076923076923</v>
      </c>
      <c r="G70" s="540">
        <f t="shared" si="1"/>
        <v>13.01775147928994</v>
      </c>
      <c r="H70" s="541">
        <f t="shared" si="4"/>
        <v>10169.23076923077</v>
      </c>
      <c r="I70" s="446"/>
    </row>
    <row r="71" spans="2:9" ht="26.1" hidden="1" customHeight="1" thickTop="1" thickBot="1" x14ac:dyDescent="0.4">
      <c r="B71" s="366"/>
      <c r="C71" s="452">
        <v>45936</v>
      </c>
      <c r="D71" s="451">
        <v>56</v>
      </c>
      <c r="E71" s="454" t="s">
        <v>905</v>
      </c>
      <c r="F71" s="539">
        <f t="shared" si="0"/>
        <v>172.30769230769232</v>
      </c>
      <c r="G71" s="540">
        <f t="shared" si="1"/>
        <v>13.254437869822485</v>
      </c>
      <c r="H71" s="541">
        <f t="shared" si="4"/>
        <v>10172.307692307691</v>
      </c>
      <c r="I71" s="446"/>
    </row>
    <row r="72" spans="2:9" ht="26.1" hidden="1" customHeight="1" thickTop="1" thickBot="1" x14ac:dyDescent="0.4">
      <c r="B72" s="366"/>
      <c r="C72" s="452">
        <v>45937</v>
      </c>
      <c r="D72" s="451">
        <v>57</v>
      </c>
      <c r="E72" s="454" t="s">
        <v>906</v>
      </c>
      <c r="F72" s="539">
        <f t="shared" si="0"/>
        <v>175.38461538461539</v>
      </c>
      <c r="G72" s="540">
        <f t="shared" si="1"/>
        <v>13.491124260355029</v>
      </c>
      <c r="H72" s="541">
        <f t="shared" si="4"/>
        <v>10175.384615384615</v>
      </c>
      <c r="I72" s="446"/>
    </row>
    <row r="73" spans="2:9" ht="26.1" hidden="1" customHeight="1" thickTop="1" thickBot="1" x14ac:dyDescent="0.4">
      <c r="B73" s="366"/>
      <c r="C73" s="452">
        <v>45938</v>
      </c>
      <c r="D73" s="451">
        <v>58</v>
      </c>
      <c r="E73" s="454" t="s">
        <v>907</v>
      </c>
      <c r="F73" s="539">
        <f t="shared" si="0"/>
        <v>178.46153846153848</v>
      </c>
      <c r="G73" s="540">
        <f t="shared" si="1"/>
        <v>13.727810650887575</v>
      </c>
      <c r="H73" s="541">
        <f t="shared" si="4"/>
        <v>10178.461538461539</v>
      </c>
      <c r="I73" s="446"/>
    </row>
    <row r="74" spans="2:9" ht="26.1" hidden="1" customHeight="1" thickTop="1" thickBot="1" x14ac:dyDescent="0.4">
      <c r="B74" s="366"/>
      <c r="C74" s="452">
        <v>45939</v>
      </c>
      <c r="D74" s="451">
        <v>59</v>
      </c>
      <c r="E74" s="454" t="s">
        <v>908</v>
      </c>
      <c r="F74" s="539">
        <f t="shared" si="0"/>
        <v>181.53846153846155</v>
      </c>
      <c r="G74" s="540">
        <f t="shared" si="1"/>
        <v>13.964497041420119</v>
      </c>
      <c r="H74" s="541">
        <f t="shared" si="4"/>
        <v>10181.538461538461</v>
      </c>
      <c r="I74" s="446"/>
    </row>
    <row r="75" spans="2:9" ht="26.1" hidden="1" customHeight="1" thickTop="1" thickBot="1" x14ac:dyDescent="0.4">
      <c r="B75" s="366"/>
      <c r="C75" s="452">
        <v>45940</v>
      </c>
      <c r="D75" s="451">
        <v>60</v>
      </c>
      <c r="E75" s="454" t="s">
        <v>909</v>
      </c>
      <c r="F75" s="539">
        <f t="shared" si="0"/>
        <v>184.61538461538461</v>
      </c>
      <c r="G75" s="540">
        <f t="shared" si="1"/>
        <v>14.201183431952662</v>
      </c>
      <c r="H75" s="541">
        <f t="shared" si="4"/>
        <v>10184.615384615385</v>
      </c>
      <c r="I75" s="446"/>
    </row>
    <row r="76" spans="2:9" ht="26.1" hidden="1" customHeight="1" thickTop="1" thickBot="1" x14ac:dyDescent="0.4">
      <c r="B76" s="366"/>
      <c r="C76" s="452">
        <v>45941</v>
      </c>
      <c r="D76" s="451">
        <v>61</v>
      </c>
      <c r="E76" s="454" t="s">
        <v>910</v>
      </c>
      <c r="F76" s="539">
        <f t="shared" si="0"/>
        <v>187.69230769230771</v>
      </c>
      <c r="G76" s="540">
        <f t="shared" si="1"/>
        <v>14.437869822485208</v>
      </c>
      <c r="H76" s="541">
        <f t="shared" si="4"/>
        <v>10187.692307692309</v>
      </c>
      <c r="I76" s="446"/>
    </row>
    <row r="77" spans="2:9" ht="26.1" hidden="1" customHeight="1" thickTop="1" thickBot="1" x14ac:dyDescent="0.4">
      <c r="B77" s="366"/>
      <c r="C77" s="452">
        <v>45942</v>
      </c>
      <c r="D77" s="451">
        <v>62</v>
      </c>
      <c r="E77" s="454" t="s">
        <v>904</v>
      </c>
      <c r="F77" s="539">
        <f t="shared" si="0"/>
        <v>190.76923076923077</v>
      </c>
      <c r="G77" s="540">
        <f t="shared" si="1"/>
        <v>14.674556213017752</v>
      </c>
      <c r="H77" s="541">
        <f t="shared" si="4"/>
        <v>10190.76923076923</v>
      </c>
      <c r="I77" s="446"/>
    </row>
    <row r="78" spans="2:9" ht="26.1" hidden="1" customHeight="1" thickTop="1" thickBot="1" x14ac:dyDescent="0.4">
      <c r="B78" s="366"/>
      <c r="C78" s="452">
        <v>45943</v>
      </c>
      <c r="D78" s="451">
        <v>63</v>
      </c>
      <c r="E78" s="454" t="s">
        <v>905</v>
      </c>
      <c r="F78" s="539">
        <f t="shared" si="0"/>
        <v>193.84615384615387</v>
      </c>
      <c r="G78" s="540">
        <f t="shared" si="1"/>
        <v>14.911242603550297</v>
      </c>
      <c r="H78" s="541">
        <f t="shared" si="4"/>
        <v>10193.846153846154</v>
      </c>
      <c r="I78" s="446"/>
    </row>
    <row r="79" spans="2:9" ht="26.1" hidden="1" customHeight="1" thickTop="1" thickBot="1" x14ac:dyDescent="0.4">
      <c r="B79" s="366"/>
      <c r="C79" s="452">
        <v>45944</v>
      </c>
      <c r="D79" s="451">
        <v>64</v>
      </c>
      <c r="E79" s="454" t="s">
        <v>906</v>
      </c>
      <c r="F79" s="539">
        <f t="shared" si="0"/>
        <v>196.92307692307693</v>
      </c>
      <c r="G79" s="540">
        <f t="shared" si="1"/>
        <v>15.147928994082841</v>
      </c>
      <c r="H79" s="541">
        <f t="shared" si="4"/>
        <v>10196.923076923076</v>
      </c>
      <c r="I79" s="446"/>
    </row>
    <row r="80" spans="2:9" ht="26.1" hidden="1" customHeight="1" thickTop="1" thickBot="1" x14ac:dyDescent="0.4">
      <c r="B80" s="366"/>
      <c r="C80" s="452">
        <v>45945</v>
      </c>
      <c r="D80" s="451">
        <v>65</v>
      </c>
      <c r="E80" s="454" t="s">
        <v>907</v>
      </c>
      <c r="F80" s="539">
        <f t="shared" si="0"/>
        <v>200</v>
      </c>
      <c r="G80" s="540">
        <f t="shared" si="1"/>
        <v>15.384615384615385</v>
      </c>
      <c r="H80" s="541">
        <f t="shared" si="4"/>
        <v>10200</v>
      </c>
      <c r="I80" s="446"/>
    </row>
    <row r="81" spans="2:9" ht="26.1" hidden="1" customHeight="1" thickTop="1" thickBot="1" x14ac:dyDescent="0.4">
      <c r="B81" s="366"/>
      <c r="C81" s="452">
        <v>45946</v>
      </c>
      <c r="D81" s="451">
        <v>66</v>
      </c>
      <c r="E81" s="454" t="s">
        <v>908</v>
      </c>
      <c r="F81" s="539">
        <f t="shared" ref="F81:F144" si="5">$E$9/$F$11*D81</f>
        <v>203.07692307692309</v>
      </c>
      <c r="G81" s="540">
        <f t="shared" ref="G81:G144" si="6">F81/$C$13</f>
        <v>15.621301775147931</v>
      </c>
      <c r="H81" s="541">
        <f t="shared" ref="H81:H144" si="7">$C$9+F81</f>
        <v>10203.076923076924</v>
      </c>
      <c r="I81" s="446"/>
    </row>
    <row r="82" spans="2:9" ht="26.1" hidden="1" customHeight="1" thickTop="1" thickBot="1" x14ac:dyDescent="0.4">
      <c r="B82" s="366"/>
      <c r="C82" s="452">
        <v>45947</v>
      </c>
      <c r="D82" s="451">
        <v>67</v>
      </c>
      <c r="E82" s="454" t="s">
        <v>909</v>
      </c>
      <c r="F82" s="539">
        <f t="shared" si="5"/>
        <v>206.15384615384616</v>
      </c>
      <c r="G82" s="540">
        <f t="shared" si="6"/>
        <v>15.857988165680474</v>
      </c>
      <c r="H82" s="541">
        <f t="shared" si="7"/>
        <v>10206.153846153846</v>
      </c>
      <c r="I82" s="446"/>
    </row>
    <row r="83" spans="2:9" ht="26.1" hidden="1" customHeight="1" thickTop="1" thickBot="1" x14ac:dyDescent="0.4">
      <c r="B83" s="366"/>
      <c r="C83" s="452">
        <v>45948</v>
      </c>
      <c r="D83" s="451">
        <v>68</v>
      </c>
      <c r="E83" s="454" t="s">
        <v>910</v>
      </c>
      <c r="F83" s="539">
        <f t="shared" si="5"/>
        <v>209.23076923076925</v>
      </c>
      <c r="G83" s="540">
        <f t="shared" si="6"/>
        <v>16.094674556213018</v>
      </c>
      <c r="H83" s="541">
        <f t="shared" si="7"/>
        <v>10209.23076923077</v>
      </c>
      <c r="I83" s="446"/>
    </row>
    <row r="84" spans="2:9" ht="26.1" hidden="1" customHeight="1" thickTop="1" thickBot="1" x14ac:dyDescent="0.4">
      <c r="B84" s="366"/>
      <c r="C84" s="452">
        <v>45949</v>
      </c>
      <c r="D84" s="451">
        <v>69</v>
      </c>
      <c r="E84" s="454" t="s">
        <v>904</v>
      </c>
      <c r="F84" s="539">
        <f t="shared" si="5"/>
        <v>212.30769230769232</v>
      </c>
      <c r="G84" s="540">
        <f t="shared" si="6"/>
        <v>16.331360946745562</v>
      </c>
      <c r="H84" s="541">
        <f t="shared" si="7"/>
        <v>10212.307692307691</v>
      </c>
      <c r="I84" s="446"/>
    </row>
    <row r="85" spans="2:9" ht="26.1" hidden="1" customHeight="1" thickTop="1" thickBot="1" x14ac:dyDescent="0.4">
      <c r="B85" s="366"/>
      <c r="C85" s="452">
        <v>45950</v>
      </c>
      <c r="D85" s="451">
        <v>70</v>
      </c>
      <c r="E85" s="454" t="s">
        <v>905</v>
      </c>
      <c r="F85" s="539">
        <f t="shared" si="5"/>
        <v>215.38461538461539</v>
      </c>
      <c r="G85" s="540">
        <f t="shared" si="6"/>
        <v>16.568047337278106</v>
      </c>
      <c r="H85" s="541">
        <f t="shared" si="7"/>
        <v>10215.384615384615</v>
      </c>
      <c r="I85" s="446"/>
    </row>
    <row r="86" spans="2:9" ht="26.1" hidden="1" customHeight="1" thickTop="1" thickBot="1" x14ac:dyDescent="0.4">
      <c r="B86" s="366"/>
      <c r="C86" s="452">
        <v>45951</v>
      </c>
      <c r="D86" s="451">
        <v>71</v>
      </c>
      <c r="E86" s="454" t="s">
        <v>906</v>
      </c>
      <c r="F86" s="539">
        <f t="shared" si="5"/>
        <v>218.46153846153848</v>
      </c>
      <c r="G86" s="540">
        <f t="shared" si="6"/>
        <v>16.804733727810653</v>
      </c>
      <c r="H86" s="541">
        <f t="shared" si="7"/>
        <v>10218.461538461539</v>
      </c>
      <c r="I86" s="446"/>
    </row>
    <row r="87" spans="2:9" ht="26.1" hidden="1" customHeight="1" thickTop="1" thickBot="1" x14ac:dyDescent="0.4">
      <c r="B87" s="366"/>
      <c r="C87" s="452">
        <v>45952</v>
      </c>
      <c r="D87" s="451">
        <v>72</v>
      </c>
      <c r="E87" s="454" t="s">
        <v>907</v>
      </c>
      <c r="F87" s="539">
        <f t="shared" si="5"/>
        <v>221.53846153846155</v>
      </c>
      <c r="G87" s="540">
        <f t="shared" si="6"/>
        <v>17.041420118343197</v>
      </c>
      <c r="H87" s="541">
        <f t="shared" si="7"/>
        <v>10221.538461538461</v>
      </c>
      <c r="I87" s="446"/>
    </row>
    <row r="88" spans="2:9" ht="26.1" hidden="1" customHeight="1" thickTop="1" thickBot="1" x14ac:dyDescent="0.4">
      <c r="B88" s="366"/>
      <c r="C88" s="452">
        <v>45953</v>
      </c>
      <c r="D88" s="451">
        <v>73</v>
      </c>
      <c r="E88" s="454" t="s">
        <v>908</v>
      </c>
      <c r="F88" s="539">
        <f t="shared" si="5"/>
        <v>224.61538461538464</v>
      </c>
      <c r="G88" s="540">
        <f t="shared" si="6"/>
        <v>17.278106508875741</v>
      </c>
      <c r="H88" s="541">
        <f t="shared" si="7"/>
        <v>10224.615384615385</v>
      </c>
      <c r="I88" s="446"/>
    </row>
    <row r="89" spans="2:9" ht="26.1" hidden="1" customHeight="1" thickTop="1" thickBot="1" x14ac:dyDescent="0.4">
      <c r="B89" s="366"/>
      <c r="C89" s="452">
        <v>45954</v>
      </c>
      <c r="D89" s="451">
        <v>74</v>
      </c>
      <c r="E89" s="454" t="s">
        <v>909</v>
      </c>
      <c r="F89" s="539">
        <f t="shared" si="5"/>
        <v>227.69230769230771</v>
      </c>
      <c r="G89" s="540">
        <f t="shared" si="6"/>
        <v>17.514792899408285</v>
      </c>
      <c r="H89" s="541">
        <f t="shared" si="7"/>
        <v>10227.692307692309</v>
      </c>
      <c r="I89" s="446"/>
    </row>
    <row r="90" spans="2:9" ht="26.1" hidden="1" customHeight="1" thickTop="1" thickBot="1" x14ac:dyDescent="0.4">
      <c r="B90" s="366"/>
      <c r="C90" s="452">
        <v>45955</v>
      </c>
      <c r="D90" s="451">
        <v>75</v>
      </c>
      <c r="E90" s="454" t="s">
        <v>910</v>
      </c>
      <c r="F90" s="539">
        <f t="shared" si="5"/>
        <v>230.76923076923077</v>
      </c>
      <c r="G90" s="540">
        <f t="shared" si="6"/>
        <v>17.751479289940828</v>
      </c>
      <c r="H90" s="541">
        <f t="shared" si="7"/>
        <v>10230.76923076923</v>
      </c>
      <c r="I90" s="446"/>
    </row>
    <row r="91" spans="2:9" ht="26.1" hidden="1" customHeight="1" thickTop="1" thickBot="1" x14ac:dyDescent="0.4">
      <c r="B91" s="366"/>
      <c r="C91" s="452">
        <v>45956</v>
      </c>
      <c r="D91" s="451">
        <v>76</v>
      </c>
      <c r="E91" s="454" t="s">
        <v>904</v>
      </c>
      <c r="F91" s="539">
        <f t="shared" si="5"/>
        <v>233.84615384615387</v>
      </c>
      <c r="G91" s="540">
        <f t="shared" si="6"/>
        <v>17.988165680473376</v>
      </c>
      <c r="H91" s="541">
        <f t="shared" si="7"/>
        <v>10233.846153846154</v>
      </c>
      <c r="I91" s="446"/>
    </row>
    <row r="92" spans="2:9" ht="26.1" hidden="1" customHeight="1" thickTop="1" thickBot="1" x14ac:dyDescent="0.4">
      <c r="B92" s="366"/>
      <c r="C92" s="452">
        <v>45957</v>
      </c>
      <c r="D92" s="451">
        <v>77</v>
      </c>
      <c r="E92" s="454" t="s">
        <v>905</v>
      </c>
      <c r="F92" s="539">
        <f t="shared" si="5"/>
        <v>236.92307692307693</v>
      </c>
      <c r="G92" s="540">
        <f t="shared" si="6"/>
        <v>18.22485207100592</v>
      </c>
      <c r="H92" s="541">
        <f t="shared" si="7"/>
        <v>10236.923076923076</v>
      </c>
      <c r="I92" s="446"/>
    </row>
    <row r="93" spans="2:9" ht="26.1" hidden="1" customHeight="1" thickTop="1" thickBot="1" x14ac:dyDescent="0.4">
      <c r="B93" s="366"/>
      <c r="C93" s="452">
        <v>45958</v>
      </c>
      <c r="D93" s="451">
        <v>78</v>
      </c>
      <c r="E93" s="454" t="s">
        <v>906</v>
      </c>
      <c r="F93" s="539">
        <f t="shared" si="5"/>
        <v>240</v>
      </c>
      <c r="G93" s="540">
        <f t="shared" si="6"/>
        <v>18.46153846153846</v>
      </c>
      <c r="H93" s="541">
        <f t="shared" si="7"/>
        <v>10240</v>
      </c>
      <c r="I93" s="446"/>
    </row>
    <row r="94" spans="2:9" ht="26.1" hidden="1" customHeight="1" thickTop="1" thickBot="1" x14ac:dyDescent="0.4">
      <c r="B94" s="366"/>
      <c r="C94" s="452">
        <v>45959</v>
      </c>
      <c r="D94" s="451">
        <v>79</v>
      </c>
      <c r="E94" s="454" t="s">
        <v>907</v>
      </c>
      <c r="F94" s="539">
        <f t="shared" si="5"/>
        <v>243.07692307692309</v>
      </c>
      <c r="G94" s="540">
        <f t="shared" si="6"/>
        <v>18.698224852071007</v>
      </c>
      <c r="H94" s="541">
        <f t="shared" si="7"/>
        <v>10243.076923076924</v>
      </c>
      <c r="I94" s="446"/>
    </row>
    <row r="95" spans="2:9" ht="26.1" hidden="1" customHeight="1" thickTop="1" thickBot="1" x14ac:dyDescent="0.4">
      <c r="B95" s="366"/>
      <c r="C95" s="452">
        <v>45960</v>
      </c>
      <c r="D95" s="451">
        <v>80</v>
      </c>
      <c r="E95" s="454" t="s">
        <v>908</v>
      </c>
      <c r="F95" s="539">
        <f t="shared" si="5"/>
        <v>246.15384615384616</v>
      </c>
      <c r="G95" s="540">
        <f t="shared" si="6"/>
        <v>18.934911242603551</v>
      </c>
      <c r="H95" s="541">
        <f t="shared" si="7"/>
        <v>10246.153846153846</v>
      </c>
      <c r="I95" s="446"/>
    </row>
    <row r="96" spans="2:9" ht="26.1" hidden="1" customHeight="1" thickTop="1" thickBot="1" x14ac:dyDescent="0.4">
      <c r="B96" s="366"/>
      <c r="C96" s="452">
        <v>45961</v>
      </c>
      <c r="D96" s="451">
        <v>81</v>
      </c>
      <c r="E96" s="454" t="s">
        <v>909</v>
      </c>
      <c r="F96" s="539">
        <f t="shared" si="5"/>
        <v>249.23076923076925</v>
      </c>
      <c r="G96" s="540">
        <f t="shared" si="6"/>
        <v>19.171597633136095</v>
      </c>
      <c r="H96" s="541">
        <f t="shared" si="7"/>
        <v>10249.23076923077</v>
      </c>
      <c r="I96" s="446"/>
    </row>
    <row r="97" spans="2:9" ht="26.1" hidden="1" customHeight="1" thickTop="1" thickBot="1" x14ac:dyDescent="0.4">
      <c r="B97" s="366"/>
      <c r="C97" s="452">
        <v>45962</v>
      </c>
      <c r="D97" s="451">
        <v>82</v>
      </c>
      <c r="E97" s="454" t="s">
        <v>910</v>
      </c>
      <c r="F97" s="539">
        <f t="shared" si="5"/>
        <v>252.30769230769232</v>
      </c>
      <c r="G97" s="540">
        <f t="shared" si="6"/>
        <v>19.408284023668639</v>
      </c>
      <c r="H97" s="541">
        <f t="shared" si="7"/>
        <v>10252.307692307691</v>
      </c>
      <c r="I97" s="446"/>
    </row>
    <row r="98" spans="2:9" ht="26.1" hidden="1" customHeight="1" thickTop="1" thickBot="1" x14ac:dyDescent="0.4">
      <c r="B98" s="366"/>
      <c r="C98" s="452">
        <v>45963</v>
      </c>
      <c r="D98" s="451">
        <v>83</v>
      </c>
      <c r="E98" s="454" t="s">
        <v>904</v>
      </c>
      <c r="F98" s="539">
        <f t="shared" si="5"/>
        <v>255.38461538461539</v>
      </c>
      <c r="G98" s="540">
        <f t="shared" si="6"/>
        <v>19.644970414201183</v>
      </c>
      <c r="H98" s="541">
        <f t="shared" si="7"/>
        <v>10255.384615384615</v>
      </c>
      <c r="I98" s="446"/>
    </row>
    <row r="99" spans="2:9" ht="26.1" hidden="1" customHeight="1" thickTop="1" thickBot="1" x14ac:dyDescent="0.4">
      <c r="B99" s="366"/>
      <c r="C99" s="452">
        <v>45964</v>
      </c>
      <c r="D99" s="451">
        <v>84</v>
      </c>
      <c r="E99" s="454" t="s">
        <v>905</v>
      </c>
      <c r="F99" s="539">
        <f t="shared" si="5"/>
        <v>258.46153846153845</v>
      </c>
      <c r="G99" s="540">
        <f t="shared" si="6"/>
        <v>19.881656804733726</v>
      </c>
      <c r="H99" s="541">
        <f t="shared" si="7"/>
        <v>10258.461538461539</v>
      </c>
      <c r="I99" s="446"/>
    </row>
    <row r="100" spans="2:9" ht="26.1" hidden="1" customHeight="1" thickTop="1" thickBot="1" x14ac:dyDescent="0.4">
      <c r="B100" s="366"/>
      <c r="C100" s="452">
        <v>45965</v>
      </c>
      <c r="D100" s="451">
        <v>85</v>
      </c>
      <c r="E100" s="454" t="s">
        <v>906</v>
      </c>
      <c r="F100" s="539">
        <f t="shared" si="5"/>
        <v>261.53846153846155</v>
      </c>
      <c r="G100" s="540">
        <f t="shared" si="6"/>
        <v>20.118343195266274</v>
      </c>
      <c r="H100" s="541">
        <f t="shared" si="7"/>
        <v>10261.538461538461</v>
      </c>
      <c r="I100" s="446"/>
    </row>
    <row r="101" spans="2:9" ht="26.1" hidden="1" customHeight="1" thickTop="1" thickBot="1" x14ac:dyDescent="0.4">
      <c r="B101" s="366"/>
      <c r="C101" s="452">
        <v>45966</v>
      </c>
      <c r="D101" s="451">
        <v>86</v>
      </c>
      <c r="E101" s="454" t="s">
        <v>907</v>
      </c>
      <c r="F101" s="539">
        <f t="shared" si="5"/>
        <v>264.61538461538464</v>
      </c>
      <c r="G101" s="540">
        <f t="shared" si="6"/>
        <v>20.355029585798817</v>
      </c>
      <c r="H101" s="541">
        <f t="shared" si="7"/>
        <v>10264.615384615385</v>
      </c>
      <c r="I101" s="446"/>
    </row>
    <row r="102" spans="2:9" ht="26.1" hidden="1" customHeight="1" thickTop="1" thickBot="1" x14ac:dyDescent="0.4">
      <c r="B102" s="366"/>
      <c r="C102" s="452">
        <v>45967</v>
      </c>
      <c r="D102" s="451">
        <v>87</v>
      </c>
      <c r="E102" s="454" t="s">
        <v>908</v>
      </c>
      <c r="F102" s="539">
        <f t="shared" si="5"/>
        <v>267.69230769230768</v>
      </c>
      <c r="G102" s="540">
        <f t="shared" si="6"/>
        <v>20.591715976331361</v>
      </c>
      <c r="H102" s="541">
        <f t="shared" si="7"/>
        <v>10267.692307692309</v>
      </c>
      <c r="I102" s="446"/>
    </row>
    <row r="103" spans="2:9" ht="26.1" hidden="1" customHeight="1" thickTop="1" thickBot="1" x14ac:dyDescent="0.4">
      <c r="B103" s="366"/>
      <c r="C103" s="452">
        <v>45968</v>
      </c>
      <c r="D103" s="451">
        <v>88</v>
      </c>
      <c r="E103" s="454" t="s">
        <v>909</v>
      </c>
      <c r="F103" s="539">
        <f t="shared" si="5"/>
        <v>270.76923076923077</v>
      </c>
      <c r="G103" s="540">
        <f t="shared" si="6"/>
        <v>20.828402366863905</v>
      </c>
      <c r="H103" s="541">
        <f t="shared" si="7"/>
        <v>10270.76923076923</v>
      </c>
      <c r="I103" s="446"/>
    </row>
    <row r="104" spans="2:9" ht="26.1" hidden="1" customHeight="1" thickTop="1" thickBot="1" x14ac:dyDescent="0.4">
      <c r="B104" s="366"/>
      <c r="C104" s="452">
        <v>45969</v>
      </c>
      <c r="D104" s="451">
        <v>89</v>
      </c>
      <c r="E104" s="454" t="s">
        <v>910</v>
      </c>
      <c r="F104" s="539">
        <f t="shared" si="5"/>
        <v>273.84615384615387</v>
      </c>
      <c r="G104" s="540">
        <f t="shared" si="6"/>
        <v>21.065088757396452</v>
      </c>
      <c r="H104" s="541">
        <f t="shared" si="7"/>
        <v>10273.846153846154</v>
      </c>
      <c r="I104" s="446"/>
    </row>
    <row r="105" spans="2:9" ht="26.1" hidden="1" customHeight="1" thickTop="1" thickBot="1" x14ac:dyDescent="0.4">
      <c r="B105" s="366"/>
      <c r="C105" s="452">
        <v>45970</v>
      </c>
      <c r="D105" s="451">
        <v>90</v>
      </c>
      <c r="E105" s="454" t="s">
        <v>904</v>
      </c>
      <c r="F105" s="539">
        <f t="shared" si="5"/>
        <v>276.92307692307696</v>
      </c>
      <c r="G105" s="540">
        <f t="shared" si="6"/>
        <v>21.301775147928996</v>
      </c>
      <c r="H105" s="541">
        <f t="shared" si="7"/>
        <v>10276.923076923076</v>
      </c>
      <c r="I105" s="446"/>
    </row>
    <row r="106" spans="2:9" ht="26.1" hidden="1" customHeight="1" thickTop="1" thickBot="1" x14ac:dyDescent="0.4">
      <c r="B106" s="366"/>
      <c r="C106" s="452">
        <v>45971</v>
      </c>
      <c r="D106" s="451">
        <v>91</v>
      </c>
      <c r="E106" s="454" t="s">
        <v>905</v>
      </c>
      <c r="F106" s="539">
        <f t="shared" si="5"/>
        <v>280</v>
      </c>
      <c r="G106" s="540">
        <f t="shared" si="6"/>
        <v>21.53846153846154</v>
      </c>
      <c r="H106" s="541">
        <f t="shared" si="7"/>
        <v>10280</v>
      </c>
      <c r="I106" s="446"/>
    </row>
    <row r="107" spans="2:9" ht="26.1" hidden="1" customHeight="1" thickTop="1" thickBot="1" x14ac:dyDescent="0.4">
      <c r="B107" s="366"/>
      <c r="C107" s="452">
        <v>45972</v>
      </c>
      <c r="D107" s="451">
        <v>92</v>
      </c>
      <c r="E107" s="454" t="s">
        <v>906</v>
      </c>
      <c r="F107" s="539">
        <f t="shared" si="5"/>
        <v>283.07692307692309</v>
      </c>
      <c r="G107" s="540">
        <f t="shared" si="6"/>
        <v>21.775147928994084</v>
      </c>
      <c r="H107" s="541">
        <f t="shared" si="7"/>
        <v>10283.076923076924</v>
      </c>
      <c r="I107" s="446"/>
    </row>
    <row r="108" spans="2:9" ht="26.1" hidden="1" customHeight="1" thickTop="1" thickBot="1" x14ac:dyDescent="0.4">
      <c r="B108" s="366"/>
      <c r="C108" s="452">
        <v>45973</v>
      </c>
      <c r="D108" s="451">
        <v>93</v>
      </c>
      <c r="E108" s="454" t="s">
        <v>907</v>
      </c>
      <c r="F108" s="539">
        <f t="shared" si="5"/>
        <v>286.15384615384619</v>
      </c>
      <c r="G108" s="540">
        <f t="shared" si="6"/>
        <v>22.011834319526631</v>
      </c>
      <c r="H108" s="541">
        <f t="shared" si="7"/>
        <v>10286.153846153846</v>
      </c>
      <c r="I108" s="446"/>
    </row>
    <row r="109" spans="2:9" ht="26.1" hidden="1" customHeight="1" thickTop="1" thickBot="1" x14ac:dyDescent="0.4">
      <c r="B109" s="366"/>
      <c r="C109" s="452">
        <v>45974</v>
      </c>
      <c r="D109" s="451">
        <v>94</v>
      </c>
      <c r="E109" s="454" t="s">
        <v>908</v>
      </c>
      <c r="F109" s="539">
        <f t="shared" si="5"/>
        <v>289.23076923076923</v>
      </c>
      <c r="G109" s="540">
        <f t="shared" si="6"/>
        <v>22.248520710059172</v>
      </c>
      <c r="H109" s="541">
        <f t="shared" si="7"/>
        <v>10289.23076923077</v>
      </c>
      <c r="I109" s="446"/>
    </row>
    <row r="110" spans="2:9" ht="26.1" hidden="1" customHeight="1" thickTop="1" thickBot="1" x14ac:dyDescent="0.4">
      <c r="B110" s="366"/>
      <c r="C110" s="452">
        <v>45975</v>
      </c>
      <c r="D110" s="451">
        <v>95</v>
      </c>
      <c r="E110" s="454" t="s">
        <v>909</v>
      </c>
      <c r="F110" s="539">
        <f t="shared" si="5"/>
        <v>292.30769230769232</v>
      </c>
      <c r="G110" s="540">
        <f t="shared" si="6"/>
        <v>22.485207100591715</v>
      </c>
      <c r="H110" s="541">
        <f t="shared" si="7"/>
        <v>10292.307692307691</v>
      </c>
      <c r="I110" s="446"/>
    </row>
    <row r="111" spans="2:9" ht="26.1" hidden="1" customHeight="1" thickTop="1" thickBot="1" x14ac:dyDescent="0.4">
      <c r="B111" s="366"/>
      <c r="C111" s="452">
        <v>45976</v>
      </c>
      <c r="D111" s="451">
        <v>96</v>
      </c>
      <c r="E111" s="454" t="s">
        <v>910</v>
      </c>
      <c r="F111" s="539">
        <f t="shared" si="5"/>
        <v>295.38461538461542</v>
      </c>
      <c r="G111" s="540">
        <f t="shared" si="6"/>
        <v>22.721893491124263</v>
      </c>
      <c r="H111" s="541">
        <f t="shared" si="7"/>
        <v>10295.384615384615</v>
      </c>
      <c r="I111" s="446"/>
    </row>
    <row r="112" spans="2:9" ht="26.1" hidden="1" customHeight="1" thickTop="1" thickBot="1" x14ac:dyDescent="0.4">
      <c r="B112" s="366"/>
      <c r="C112" s="452">
        <v>45977</v>
      </c>
      <c r="D112" s="451">
        <v>97</v>
      </c>
      <c r="E112" s="454" t="s">
        <v>904</v>
      </c>
      <c r="F112" s="539">
        <f t="shared" si="5"/>
        <v>298.46153846153845</v>
      </c>
      <c r="G112" s="540">
        <f t="shared" si="6"/>
        <v>22.958579881656803</v>
      </c>
      <c r="H112" s="541">
        <f t="shared" si="7"/>
        <v>10298.461538461539</v>
      </c>
      <c r="I112" s="446"/>
    </row>
    <row r="113" spans="2:9" ht="26.1" hidden="1" customHeight="1" thickTop="1" thickBot="1" x14ac:dyDescent="0.4">
      <c r="B113" s="366"/>
      <c r="C113" s="452">
        <v>45978</v>
      </c>
      <c r="D113" s="451">
        <v>98</v>
      </c>
      <c r="E113" s="454" t="s">
        <v>905</v>
      </c>
      <c r="F113" s="539">
        <f t="shared" si="5"/>
        <v>301.53846153846155</v>
      </c>
      <c r="G113" s="540">
        <f t="shared" si="6"/>
        <v>23.19526627218935</v>
      </c>
      <c r="H113" s="541">
        <f t="shared" si="7"/>
        <v>10301.538461538461</v>
      </c>
      <c r="I113" s="446"/>
    </row>
    <row r="114" spans="2:9" ht="26.1" hidden="1" customHeight="1" thickTop="1" thickBot="1" x14ac:dyDescent="0.4">
      <c r="B114" s="366"/>
      <c r="C114" s="452">
        <v>45979</v>
      </c>
      <c r="D114" s="451">
        <v>99</v>
      </c>
      <c r="E114" s="454" t="s">
        <v>906</v>
      </c>
      <c r="F114" s="539">
        <f t="shared" si="5"/>
        <v>304.61538461538464</v>
      </c>
      <c r="G114" s="540">
        <f t="shared" si="6"/>
        <v>23.431952662721894</v>
      </c>
      <c r="H114" s="541">
        <f t="shared" si="7"/>
        <v>10304.615384615385</v>
      </c>
      <c r="I114" s="446"/>
    </row>
    <row r="115" spans="2:9" ht="26.1" hidden="1" customHeight="1" thickTop="1" thickBot="1" x14ac:dyDescent="0.4">
      <c r="B115" s="366"/>
      <c r="C115" s="452">
        <v>45980</v>
      </c>
      <c r="D115" s="451">
        <v>100</v>
      </c>
      <c r="E115" s="454" t="s">
        <v>907</v>
      </c>
      <c r="F115" s="539">
        <f t="shared" si="5"/>
        <v>307.69230769230774</v>
      </c>
      <c r="G115" s="540">
        <f t="shared" si="6"/>
        <v>23.668639053254442</v>
      </c>
      <c r="H115" s="541">
        <f t="shared" si="7"/>
        <v>10307.692307692309</v>
      </c>
      <c r="I115" s="446"/>
    </row>
    <row r="116" spans="2:9" ht="26.1" hidden="1" customHeight="1" thickTop="1" thickBot="1" x14ac:dyDescent="0.4">
      <c r="B116" s="366"/>
      <c r="C116" s="452">
        <v>45981</v>
      </c>
      <c r="D116" s="451">
        <v>101</v>
      </c>
      <c r="E116" s="454" t="s">
        <v>908</v>
      </c>
      <c r="F116" s="539">
        <f t="shared" si="5"/>
        <v>310.76923076923077</v>
      </c>
      <c r="G116" s="540">
        <f t="shared" si="6"/>
        <v>23.905325443786982</v>
      </c>
      <c r="H116" s="541">
        <f t="shared" si="7"/>
        <v>10310.76923076923</v>
      </c>
      <c r="I116" s="446"/>
    </row>
    <row r="117" spans="2:9" ht="26.1" hidden="1" customHeight="1" thickTop="1" thickBot="1" x14ac:dyDescent="0.4">
      <c r="B117" s="366"/>
      <c r="C117" s="452">
        <v>45982</v>
      </c>
      <c r="D117" s="451">
        <v>102</v>
      </c>
      <c r="E117" s="454" t="s">
        <v>909</v>
      </c>
      <c r="F117" s="539">
        <f t="shared" si="5"/>
        <v>313.84615384615387</v>
      </c>
      <c r="G117" s="540">
        <f t="shared" si="6"/>
        <v>24.142011834319529</v>
      </c>
      <c r="H117" s="541">
        <f t="shared" si="7"/>
        <v>10313.846153846154</v>
      </c>
      <c r="I117" s="446"/>
    </row>
    <row r="118" spans="2:9" ht="26.1" hidden="1" customHeight="1" thickTop="1" thickBot="1" x14ac:dyDescent="0.4">
      <c r="B118" s="366"/>
      <c r="C118" s="452">
        <v>45983</v>
      </c>
      <c r="D118" s="451">
        <v>103</v>
      </c>
      <c r="E118" s="454" t="s">
        <v>910</v>
      </c>
      <c r="F118" s="539">
        <f t="shared" si="5"/>
        <v>316.92307692307696</v>
      </c>
      <c r="G118" s="540">
        <f t="shared" si="6"/>
        <v>24.378698224852073</v>
      </c>
      <c r="H118" s="541">
        <f t="shared" si="7"/>
        <v>10316.923076923076</v>
      </c>
      <c r="I118" s="446"/>
    </row>
    <row r="119" spans="2:9" ht="26.1" hidden="1" customHeight="1" thickTop="1" thickBot="1" x14ac:dyDescent="0.4">
      <c r="B119" s="366"/>
      <c r="C119" s="452">
        <v>45984</v>
      </c>
      <c r="D119" s="451">
        <v>104</v>
      </c>
      <c r="E119" s="454" t="s">
        <v>904</v>
      </c>
      <c r="F119" s="539">
        <f t="shared" si="5"/>
        <v>320</v>
      </c>
      <c r="G119" s="540">
        <f t="shared" si="6"/>
        <v>24.615384615384617</v>
      </c>
      <c r="H119" s="541">
        <f t="shared" si="7"/>
        <v>10320</v>
      </c>
      <c r="I119" s="446"/>
    </row>
    <row r="120" spans="2:9" ht="26.1" hidden="1" customHeight="1" thickTop="1" thickBot="1" x14ac:dyDescent="0.4">
      <c r="B120" s="366"/>
      <c r="C120" s="452">
        <v>45985</v>
      </c>
      <c r="D120" s="451">
        <v>105</v>
      </c>
      <c r="E120" s="454" t="s">
        <v>905</v>
      </c>
      <c r="F120" s="539">
        <f t="shared" si="5"/>
        <v>323.07692307692309</v>
      </c>
      <c r="G120" s="540">
        <f t="shared" si="6"/>
        <v>24.852071005917161</v>
      </c>
      <c r="H120" s="541">
        <f t="shared" si="7"/>
        <v>10323.076923076924</v>
      </c>
      <c r="I120" s="446"/>
    </row>
    <row r="121" spans="2:9" ht="26.1" hidden="1" customHeight="1" thickTop="1" thickBot="1" x14ac:dyDescent="0.4">
      <c r="B121" s="366"/>
      <c r="C121" s="452">
        <v>45986</v>
      </c>
      <c r="D121" s="451">
        <v>106</v>
      </c>
      <c r="E121" s="454" t="s">
        <v>906</v>
      </c>
      <c r="F121" s="539">
        <f t="shared" si="5"/>
        <v>326.15384615384619</v>
      </c>
      <c r="G121" s="540">
        <f t="shared" si="6"/>
        <v>25.088757396449708</v>
      </c>
      <c r="H121" s="541">
        <f t="shared" si="7"/>
        <v>10326.153846153846</v>
      </c>
      <c r="I121" s="446"/>
    </row>
    <row r="122" spans="2:9" ht="26.1" hidden="1" customHeight="1" thickTop="1" thickBot="1" x14ac:dyDescent="0.4">
      <c r="B122" s="366"/>
      <c r="C122" s="452">
        <v>45987</v>
      </c>
      <c r="D122" s="451">
        <v>107</v>
      </c>
      <c r="E122" s="454" t="s">
        <v>907</v>
      </c>
      <c r="F122" s="539">
        <f t="shared" si="5"/>
        <v>329.23076923076923</v>
      </c>
      <c r="G122" s="540">
        <f t="shared" si="6"/>
        <v>25.325443786982248</v>
      </c>
      <c r="H122" s="541">
        <f t="shared" si="7"/>
        <v>10329.23076923077</v>
      </c>
      <c r="I122" s="446"/>
    </row>
    <row r="123" spans="2:9" ht="26.1" hidden="1" customHeight="1" thickTop="1" thickBot="1" x14ac:dyDescent="0.4">
      <c r="B123" s="366"/>
      <c r="C123" s="452">
        <v>45988</v>
      </c>
      <c r="D123" s="451">
        <v>108</v>
      </c>
      <c r="E123" s="454" t="s">
        <v>908</v>
      </c>
      <c r="F123" s="539">
        <f t="shared" si="5"/>
        <v>332.30769230769232</v>
      </c>
      <c r="G123" s="540">
        <f t="shared" si="6"/>
        <v>25.562130177514796</v>
      </c>
      <c r="H123" s="541">
        <f t="shared" si="7"/>
        <v>10332.307692307691</v>
      </c>
      <c r="I123" s="446"/>
    </row>
    <row r="124" spans="2:9" ht="26.1" hidden="1" customHeight="1" thickTop="1" thickBot="1" x14ac:dyDescent="0.4">
      <c r="B124" s="366"/>
      <c r="C124" s="452">
        <v>45989</v>
      </c>
      <c r="D124" s="451">
        <v>109</v>
      </c>
      <c r="E124" s="454" t="s">
        <v>909</v>
      </c>
      <c r="F124" s="539">
        <f t="shared" si="5"/>
        <v>335.38461538461542</v>
      </c>
      <c r="G124" s="540">
        <f t="shared" si="6"/>
        <v>25.798816568047339</v>
      </c>
      <c r="H124" s="541">
        <f t="shared" si="7"/>
        <v>10335.384615384615</v>
      </c>
      <c r="I124" s="446"/>
    </row>
    <row r="125" spans="2:9" ht="26.1" hidden="1" customHeight="1" thickTop="1" thickBot="1" x14ac:dyDescent="0.4">
      <c r="B125" s="366"/>
      <c r="C125" s="452">
        <v>45990</v>
      </c>
      <c r="D125" s="451">
        <v>110</v>
      </c>
      <c r="E125" s="454" t="s">
        <v>910</v>
      </c>
      <c r="F125" s="539">
        <f t="shared" si="5"/>
        <v>338.46153846153845</v>
      </c>
      <c r="G125" s="540">
        <f t="shared" si="6"/>
        <v>26.03550295857988</v>
      </c>
      <c r="H125" s="541">
        <f t="shared" si="7"/>
        <v>10338.461538461539</v>
      </c>
      <c r="I125" s="446"/>
    </row>
    <row r="126" spans="2:9" ht="26.1" hidden="1" customHeight="1" thickTop="1" thickBot="1" x14ac:dyDescent="0.4">
      <c r="B126" s="366"/>
      <c r="C126" s="452">
        <v>45991</v>
      </c>
      <c r="D126" s="451">
        <v>111</v>
      </c>
      <c r="E126" s="454" t="s">
        <v>904</v>
      </c>
      <c r="F126" s="539">
        <f t="shared" si="5"/>
        <v>341.53846153846155</v>
      </c>
      <c r="G126" s="540">
        <f t="shared" si="6"/>
        <v>26.272189349112427</v>
      </c>
      <c r="H126" s="541">
        <f t="shared" si="7"/>
        <v>10341.538461538461</v>
      </c>
      <c r="I126" s="446"/>
    </row>
    <row r="127" spans="2:9" ht="26.1" hidden="1" customHeight="1" thickTop="1" thickBot="1" x14ac:dyDescent="0.4">
      <c r="B127" s="366"/>
      <c r="C127" s="452">
        <v>45992</v>
      </c>
      <c r="D127" s="451">
        <v>112</v>
      </c>
      <c r="E127" s="454" t="s">
        <v>905</v>
      </c>
      <c r="F127" s="539">
        <f t="shared" si="5"/>
        <v>344.61538461538464</v>
      </c>
      <c r="G127" s="540">
        <f t="shared" si="6"/>
        <v>26.508875739644971</v>
      </c>
      <c r="H127" s="541">
        <f t="shared" si="7"/>
        <v>10344.615384615385</v>
      </c>
      <c r="I127" s="446"/>
    </row>
    <row r="128" spans="2:9" ht="26.1" hidden="1" customHeight="1" thickTop="1" thickBot="1" x14ac:dyDescent="0.4">
      <c r="B128" s="366"/>
      <c r="C128" s="452">
        <v>45993</v>
      </c>
      <c r="D128" s="451">
        <v>113</v>
      </c>
      <c r="E128" s="454" t="s">
        <v>906</v>
      </c>
      <c r="F128" s="539">
        <f t="shared" si="5"/>
        <v>347.69230769230774</v>
      </c>
      <c r="G128" s="540">
        <f t="shared" si="6"/>
        <v>26.745562130177518</v>
      </c>
      <c r="H128" s="541">
        <f t="shared" si="7"/>
        <v>10347.692307692309</v>
      </c>
      <c r="I128" s="446"/>
    </row>
    <row r="129" spans="2:9" ht="26.1" hidden="1" customHeight="1" thickTop="1" thickBot="1" x14ac:dyDescent="0.4">
      <c r="B129" s="366"/>
      <c r="C129" s="452">
        <v>45994</v>
      </c>
      <c r="D129" s="451">
        <v>114</v>
      </c>
      <c r="E129" s="454" t="s">
        <v>907</v>
      </c>
      <c r="F129" s="539">
        <f t="shared" si="5"/>
        <v>350.76923076923077</v>
      </c>
      <c r="G129" s="540">
        <f t="shared" si="6"/>
        <v>26.982248520710058</v>
      </c>
      <c r="H129" s="541">
        <f t="shared" si="7"/>
        <v>10350.76923076923</v>
      </c>
      <c r="I129" s="446"/>
    </row>
    <row r="130" spans="2:9" ht="26.1" hidden="1" customHeight="1" thickTop="1" thickBot="1" x14ac:dyDescent="0.4">
      <c r="B130" s="366"/>
      <c r="C130" s="452">
        <v>45995</v>
      </c>
      <c r="D130" s="451">
        <v>115</v>
      </c>
      <c r="E130" s="454" t="s">
        <v>908</v>
      </c>
      <c r="F130" s="539">
        <f t="shared" si="5"/>
        <v>353.84615384615387</v>
      </c>
      <c r="G130" s="540">
        <f t="shared" si="6"/>
        <v>27.218934911242606</v>
      </c>
      <c r="H130" s="541">
        <f t="shared" si="7"/>
        <v>10353.846153846154</v>
      </c>
      <c r="I130" s="446"/>
    </row>
    <row r="131" spans="2:9" ht="26.1" hidden="1" customHeight="1" thickTop="1" thickBot="1" x14ac:dyDescent="0.4">
      <c r="B131" s="366"/>
      <c r="C131" s="452">
        <v>45996</v>
      </c>
      <c r="D131" s="451">
        <v>116</v>
      </c>
      <c r="E131" s="454" t="s">
        <v>909</v>
      </c>
      <c r="F131" s="539">
        <f t="shared" si="5"/>
        <v>356.92307692307696</v>
      </c>
      <c r="G131" s="540">
        <f t="shared" si="6"/>
        <v>27.45562130177515</v>
      </c>
      <c r="H131" s="541">
        <f t="shared" si="7"/>
        <v>10356.923076923076</v>
      </c>
      <c r="I131" s="446"/>
    </row>
    <row r="132" spans="2:9" ht="26.1" hidden="1" customHeight="1" thickTop="1" thickBot="1" x14ac:dyDescent="0.4">
      <c r="B132" s="366"/>
      <c r="C132" s="452">
        <v>45997</v>
      </c>
      <c r="D132" s="451">
        <v>117</v>
      </c>
      <c r="E132" s="454" t="s">
        <v>910</v>
      </c>
      <c r="F132" s="539">
        <f t="shared" si="5"/>
        <v>360</v>
      </c>
      <c r="G132" s="540">
        <f t="shared" si="6"/>
        <v>27.692307692307693</v>
      </c>
      <c r="H132" s="541">
        <f t="shared" si="7"/>
        <v>10360</v>
      </c>
      <c r="I132" s="446"/>
    </row>
    <row r="133" spans="2:9" ht="26.1" hidden="1" customHeight="1" thickTop="1" thickBot="1" x14ac:dyDescent="0.4">
      <c r="B133" s="366"/>
      <c r="C133" s="452">
        <v>45998</v>
      </c>
      <c r="D133" s="451">
        <v>118</v>
      </c>
      <c r="E133" s="454" t="s">
        <v>904</v>
      </c>
      <c r="F133" s="539">
        <f t="shared" si="5"/>
        <v>363.07692307692309</v>
      </c>
      <c r="G133" s="540">
        <f t="shared" si="6"/>
        <v>27.928994082840237</v>
      </c>
      <c r="H133" s="541">
        <f t="shared" si="7"/>
        <v>10363.076923076924</v>
      </c>
      <c r="I133" s="446"/>
    </row>
    <row r="134" spans="2:9" ht="26.1" hidden="1" customHeight="1" thickTop="1" thickBot="1" x14ac:dyDescent="0.4">
      <c r="B134" s="366"/>
      <c r="C134" s="452">
        <v>45999</v>
      </c>
      <c r="D134" s="451">
        <v>119</v>
      </c>
      <c r="E134" s="454" t="s">
        <v>905</v>
      </c>
      <c r="F134" s="539">
        <f t="shared" si="5"/>
        <v>366.15384615384619</v>
      </c>
      <c r="G134" s="540">
        <f t="shared" si="6"/>
        <v>28.165680473372785</v>
      </c>
      <c r="H134" s="541">
        <f t="shared" si="7"/>
        <v>10366.153846153846</v>
      </c>
      <c r="I134" s="446"/>
    </row>
    <row r="135" spans="2:9" ht="26.1" hidden="1" customHeight="1" thickTop="1" thickBot="1" x14ac:dyDescent="0.4">
      <c r="B135" s="366"/>
      <c r="C135" s="452">
        <v>46000</v>
      </c>
      <c r="D135" s="451">
        <v>120</v>
      </c>
      <c r="E135" s="454" t="s">
        <v>906</v>
      </c>
      <c r="F135" s="539">
        <f t="shared" si="5"/>
        <v>369.23076923076923</v>
      </c>
      <c r="G135" s="540">
        <f t="shared" si="6"/>
        <v>28.402366863905325</v>
      </c>
      <c r="H135" s="541">
        <f t="shared" si="7"/>
        <v>10369.23076923077</v>
      </c>
      <c r="I135" s="446"/>
    </row>
    <row r="136" spans="2:9" ht="26.1" hidden="1" customHeight="1" thickTop="1" thickBot="1" x14ac:dyDescent="0.4">
      <c r="B136" s="366"/>
      <c r="C136" s="452">
        <v>46001</v>
      </c>
      <c r="D136" s="451">
        <v>121</v>
      </c>
      <c r="E136" s="454" t="s">
        <v>907</v>
      </c>
      <c r="F136" s="539">
        <f t="shared" si="5"/>
        <v>372.30769230769232</v>
      </c>
      <c r="G136" s="540">
        <f t="shared" si="6"/>
        <v>28.639053254437872</v>
      </c>
      <c r="H136" s="541">
        <f t="shared" si="7"/>
        <v>10372.307692307691</v>
      </c>
      <c r="I136" s="446"/>
    </row>
    <row r="137" spans="2:9" ht="26.1" hidden="1" customHeight="1" thickTop="1" thickBot="1" x14ac:dyDescent="0.4">
      <c r="B137" s="366"/>
      <c r="C137" s="452">
        <v>46002</v>
      </c>
      <c r="D137" s="451">
        <v>122</v>
      </c>
      <c r="E137" s="454" t="s">
        <v>908</v>
      </c>
      <c r="F137" s="539">
        <f t="shared" si="5"/>
        <v>375.38461538461542</v>
      </c>
      <c r="G137" s="540">
        <f t="shared" si="6"/>
        <v>28.875739644970416</v>
      </c>
      <c r="H137" s="541">
        <f t="shared" si="7"/>
        <v>10375.384615384615</v>
      </c>
      <c r="I137" s="446"/>
    </row>
    <row r="138" spans="2:9" ht="26.1" hidden="1" customHeight="1" thickTop="1" thickBot="1" x14ac:dyDescent="0.4">
      <c r="B138" s="366"/>
      <c r="C138" s="452">
        <v>46003</v>
      </c>
      <c r="D138" s="451">
        <v>123</v>
      </c>
      <c r="E138" s="454" t="s">
        <v>909</v>
      </c>
      <c r="F138" s="539">
        <f t="shared" si="5"/>
        <v>378.46153846153851</v>
      </c>
      <c r="G138" s="540">
        <f t="shared" si="6"/>
        <v>29.112426035502963</v>
      </c>
      <c r="H138" s="541">
        <f t="shared" si="7"/>
        <v>10378.461538461539</v>
      </c>
      <c r="I138" s="446"/>
    </row>
    <row r="139" spans="2:9" ht="26.1" hidden="1" customHeight="1" thickTop="1" thickBot="1" x14ac:dyDescent="0.4">
      <c r="B139" s="366"/>
      <c r="C139" s="452">
        <v>46004</v>
      </c>
      <c r="D139" s="451">
        <v>124</v>
      </c>
      <c r="E139" s="454" t="s">
        <v>910</v>
      </c>
      <c r="F139" s="539">
        <f t="shared" si="5"/>
        <v>381.53846153846155</v>
      </c>
      <c r="G139" s="540">
        <f t="shared" si="6"/>
        <v>29.349112426035504</v>
      </c>
      <c r="H139" s="541">
        <f t="shared" si="7"/>
        <v>10381.538461538461</v>
      </c>
      <c r="I139" s="446"/>
    </row>
    <row r="140" spans="2:9" ht="26.1" hidden="1" customHeight="1" thickTop="1" thickBot="1" x14ac:dyDescent="0.4">
      <c r="B140" s="366"/>
      <c r="C140" s="452">
        <v>46005</v>
      </c>
      <c r="D140" s="451">
        <v>125</v>
      </c>
      <c r="E140" s="454" t="s">
        <v>904</v>
      </c>
      <c r="F140" s="539">
        <f t="shared" si="5"/>
        <v>384.61538461538464</v>
      </c>
      <c r="G140" s="540">
        <f t="shared" si="6"/>
        <v>29.585798816568051</v>
      </c>
      <c r="H140" s="541">
        <f t="shared" si="7"/>
        <v>10384.615384615385</v>
      </c>
      <c r="I140" s="446"/>
    </row>
    <row r="141" spans="2:9" ht="26.1" hidden="1" customHeight="1" thickTop="1" thickBot="1" x14ac:dyDescent="0.4">
      <c r="B141" s="366"/>
      <c r="C141" s="452">
        <v>46006</v>
      </c>
      <c r="D141" s="451">
        <v>126</v>
      </c>
      <c r="E141" s="454" t="s">
        <v>905</v>
      </c>
      <c r="F141" s="539">
        <f t="shared" si="5"/>
        <v>387.69230769230774</v>
      </c>
      <c r="G141" s="540">
        <f t="shared" si="6"/>
        <v>29.822485207100595</v>
      </c>
      <c r="H141" s="541">
        <f t="shared" si="7"/>
        <v>10387.692307692309</v>
      </c>
      <c r="I141" s="446"/>
    </row>
    <row r="142" spans="2:9" ht="26.1" hidden="1" customHeight="1" thickTop="1" thickBot="1" x14ac:dyDescent="0.4">
      <c r="B142" s="366"/>
      <c r="C142" s="452">
        <v>46007</v>
      </c>
      <c r="D142" s="451">
        <v>127</v>
      </c>
      <c r="E142" s="454" t="s">
        <v>906</v>
      </c>
      <c r="F142" s="539">
        <f t="shared" si="5"/>
        <v>390.76923076923077</v>
      </c>
      <c r="G142" s="540">
        <f t="shared" si="6"/>
        <v>30.059171597633135</v>
      </c>
      <c r="H142" s="541">
        <f t="shared" si="7"/>
        <v>10390.76923076923</v>
      </c>
      <c r="I142" s="446"/>
    </row>
    <row r="143" spans="2:9" ht="26.1" hidden="1" customHeight="1" thickTop="1" thickBot="1" x14ac:dyDescent="0.4">
      <c r="B143" s="366"/>
      <c r="C143" s="452">
        <v>46008</v>
      </c>
      <c r="D143" s="451">
        <v>128</v>
      </c>
      <c r="E143" s="454" t="s">
        <v>907</v>
      </c>
      <c r="F143" s="539">
        <f t="shared" si="5"/>
        <v>393.84615384615387</v>
      </c>
      <c r="G143" s="540">
        <f t="shared" si="6"/>
        <v>30.295857988165682</v>
      </c>
      <c r="H143" s="541">
        <f t="shared" si="7"/>
        <v>10393.846153846154</v>
      </c>
      <c r="I143" s="446"/>
    </row>
    <row r="144" spans="2:9" ht="26.1" hidden="1" customHeight="1" thickTop="1" thickBot="1" x14ac:dyDescent="0.4">
      <c r="B144" s="366"/>
      <c r="C144" s="452">
        <v>46009</v>
      </c>
      <c r="D144" s="451">
        <v>129</v>
      </c>
      <c r="E144" s="454" t="s">
        <v>908</v>
      </c>
      <c r="F144" s="539">
        <f t="shared" si="5"/>
        <v>396.92307692307696</v>
      </c>
      <c r="G144" s="540">
        <f t="shared" si="6"/>
        <v>30.532544378698226</v>
      </c>
      <c r="H144" s="541">
        <f t="shared" si="7"/>
        <v>10396.923076923076</v>
      </c>
      <c r="I144" s="446"/>
    </row>
    <row r="145" spans="2:9" ht="26.1" hidden="1" customHeight="1" thickTop="1" thickBot="1" x14ac:dyDescent="0.4">
      <c r="B145" s="366"/>
      <c r="C145" s="452">
        <v>46010</v>
      </c>
      <c r="D145" s="451">
        <v>130</v>
      </c>
      <c r="E145" s="454" t="s">
        <v>909</v>
      </c>
      <c r="F145" s="539">
        <f t="shared" ref="F145:F197" si="8">$E$9/$F$11*D145</f>
        <v>400</v>
      </c>
      <c r="G145" s="540">
        <f t="shared" ref="G145:G197" si="9">F145/$C$13</f>
        <v>30.76923076923077</v>
      </c>
      <c r="H145" s="541">
        <f t="shared" ref="H145:H197" si="10">$C$9+F145</f>
        <v>10400</v>
      </c>
      <c r="I145" s="446"/>
    </row>
    <row r="146" spans="2:9" ht="26.1" hidden="1" customHeight="1" thickTop="1" thickBot="1" x14ac:dyDescent="0.4">
      <c r="B146" s="366"/>
      <c r="C146" s="452">
        <v>46011</v>
      </c>
      <c r="D146" s="451">
        <v>131</v>
      </c>
      <c r="E146" s="454" t="s">
        <v>910</v>
      </c>
      <c r="F146" s="539">
        <f t="shared" si="8"/>
        <v>403.07692307692309</v>
      </c>
      <c r="G146" s="540">
        <f t="shared" si="9"/>
        <v>31.005917159763314</v>
      </c>
      <c r="H146" s="541">
        <f t="shared" si="10"/>
        <v>10403.076923076924</v>
      </c>
      <c r="I146" s="446"/>
    </row>
    <row r="147" spans="2:9" ht="26.1" hidden="1" customHeight="1" thickTop="1" thickBot="1" x14ac:dyDescent="0.4">
      <c r="B147" s="366"/>
      <c r="C147" s="452">
        <v>46012</v>
      </c>
      <c r="D147" s="451">
        <v>132</v>
      </c>
      <c r="E147" s="454" t="s">
        <v>904</v>
      </c>
      <c r="F147" s="539">
        <f t="shared" si="8"/>
        <v>406.15384615384619</v>
      </c>
      <c r="G147" s="540">
        <f t="shared" si="9"/>
        <v>31.242603550295861</v>
      </c>
      <c r="H147" s="541">
        <f t="shared" si="10"/>
        <v>10406.153846153846</v>
      </c>
      <c r="I147" s="446"/>
    </row>
    <row r="148" spans="2:9" ht="26.1" hidden="1" customHeight="1" thickTop="1" thickBot="1" x14ac:dyDescent="0.4">
      <c r="B148" s="366"/>
      <c r="C148" s="452">
        <v>46013</v>
      </c>
      <c r="D148" s="451">
        <v>133</v>
      </c>
      <c r="E148" s="454" t="s">
        <v>905</v>
      </c>
      <c r="F148" s="539">
        <f t="shared" si="8"/>
        <v>409.23076923076923</v>
      </c>
      <c r="G148" s="540">
        <f t="shared" si="9"/>
        <v>31.479289940828401</v>
      </c>
      <c r="H148" s="541">
        <f t="shared" si="10"/>
        <v>10409.23076923077</v>
      </c>
      <c r="I148" s="446"/>
    </row>
    <row r="149" spans="2:9" ht="26.1" hidden="1" customHeight="1" thickTop="1" thickBot="1" x14ac:dyDescent="0.4">
      <c r="B149" s="366"/>
      <c r="C149" s="452">
        <v>46014</v>
      </c>
      <c r="D149" s="451">
        <v>134</v>
      </c>
      <c r="E149" s="454" t="s">
        <v>906</v>
      </c>
      <c r="F149" s="539">
        <f t="shared" si="8"/>
        <v>412.30769230769232</v>
      </c>
      <c r="G149" s="540">
        <f t="shared" si="9"/>
        <v>31.715976331360949</v>
      </c>
      <c r="H149" s="541">
        <f t="shared" si="10"/>
        <v>10412.307692307691</v>
      </c>
      <c r="I149" s="446"/>
    </row>
    <row r="150" spans="2:9" ht="26.1" hidden="1" customHeight="1" thickTop="1" thickBot="1" x14ac:dyDescent="0.4">
      <c r="B150" s="366"/>
      <c r="C150" s="452">
        <v>46015</v>
      </c>
      <c r="D150" s="451">
        <v>135</v>
      </c>
      <c r="E150" s="454" t="s">
        <v>907</v>
      </c>
      <c r="F150" s="539">
        <f t="shared" si="8"/>
        <v>415.38461538461542</v>
      </c>
      <c r="G150" s="540">
        <f t="shared" si="9"/>
        <v>31.952662721893493</v>
      </c>
      <c r="H150" s="541">
        <f t="shared" si="10"/>
        <v>10415.384615384615</v>
      </c>
      <c r="I150" s="446"/>
    </row>
    <row r="151" spans="2:9" ht="26.1" hidden="1" customHeight="1" thickTop="1" thickBot="1" x14ac:dyDescent="0.4">
      <c r="B151" s="366"/>
      <c r="C151" s="452">
        <v>46016</v>
      </c>
      <c r="D151" s="451">
        <v>136</v>
      </c>
      <c r="E151" s="454" t="s">
        <v>908</v>
      </c>
      <c r="F151" s="539">
        <f t="shared" si="8"/>
        <v>418.46153846153851</v>
      </c>
      <c r="G151" s="540">
        <f t="shared" si="9"/>
        <v>32.189349112426036</v>
      </c>
      <c r="H151" s="541">
        <f t="shared" si="10"/>
        <v>10418.461538461539</v>
      </c>
      <c r="I151" s="446"/>
    </row>
    <row r="152" spans="2:9" ht="26.1" hidden="1" customHeight="1" thickTop="1" thickBot="1" x14ac:dyDescent="0.4">
      <c r="B152" s="366"/>
      <c r="C152" s="452">
        <v>46017</v>
      </c>
      <c r="D152" s="451">
        <v>137</v>
      </c>
      <c r="E152" s="454" t="s">
        <v>909</v>
      </c>
      <c r="F152" s="539">
        <f t="shared" si="8"/>
        <v>421.53846153846155</v>
      </c>
      <c r="G152" s="540">
        <f t="shared" si="9"/>
        <v>32.426035502958584</v>
      </c>
      <c r="H152" s="541">
        <f t="shared" si="10"/>
        <v>10421.538461538461</v>
      </c>
      <c r="I152" s="446"/>
    </row>
    <row r="153" spans="2:9" ht="26.1" hidden="1" customHeight="1" thickTop="1" thickBot="1" x14ac:dyDescent="0.4">
      <c r="B153" s="366"/>
      <c r="C153" s="452">
        <v>46018</v>
      </c>
      <c r="D153" s="451">
        <v>138</v>
      </c>
      <c r="E153" s="454" t="s">
        <v>910</v>
      </c>
      <c r="F153" s="539">
        <f t="shared" si="8"/>
        <v>424.61538461538464</v>
      </c>
      <c r="G153" s="540">
        <f t="shared" si="9"/>
        <v>32.662721893491124</v>
      </c>
      <c r="H153" s="541">
        <f t="shared" si="10"/>
        <v>10424.615384615385</v>
      </c>
      <c r="I153" s="446"/>
    </row>
    <row r="154" spans="2:9" ht="26.1" hidden="1" customHeight="1" thickTop="1" thickBot="1" x14ac:dyDescent="0.4">
      <c r="B154" s="366"/>
      <c r="C154" s="452">
        <v>46019</v>
      </c>
      <c r="D154" s="451">
        <v>139</v>
      </c>
      <c r="E154" s="454" t="s">
        <v>904</v>
      </c>
      <c r="F154" s="539">
        <f t="shared" si="8"/>
        <v>427.69230769230774</v>
      </c>
      <c r="G154" s="540">
        <f t="shared" si="9"/>
        <v>32.899408284023671</v>
      </c>
      <c r="H154" s="541">
        <f t="shared" si="10"/>
        <v>10427.692307692309</v>
      </c>
      <c r="I154" s="446"/>
    </row>
    <row r="155" spans="2:9" ht="26.1" hidden="1" customHeight="1" thickTop="1" thickBot="1" x14ac:dyDescent="0.4">
      <c r="B155" s="366"/>
      <c r="C155" s="452">
        <v>46020</v>
      </c>
      <c r="D155" s="451">
        <v>140</v>
      </c>
      <c r="E155" s="454" t="s">
        <v>905</v>
      </c>
      <c r="F155" s="539">
        <f t="shared" si="8"/>
        <v>430.76923076923077</v>
      </c>
      <c r="G155" s="540">
        <f t="shared" si="9"/>
        <v>33.136094674556212</v>
      </c>
      <c r="H155" s="541">
        <f t="shared" si="10"/>
        <v>10430.76923076923</v>
      </c>
      <c r="I155" s="446"/>
    </row>
    <row r="156" spans="2:9" ht="26.1" hidden="1" customHeight="1" thickTop="1" thickBot="1" x14ac:dyDescent="0.4">
      <c r="B156" s="366"/>
      <c r="C156" s="452">
        <v>46021</v>
      </c>
      <c r="D156" s="451">
        <v>141</v>
      </c>
      <c r="E156" s="454" t="s">
        <v>906</v>
      </c>
      <c r="F156" s="539">
        <f t="shared" si="8"/>
        <v>433.84615384615387</v>
      </c>
      <c r="G156" s="540">
        <f t="shared" si="9"/>
        <v>33.372781065088759</v>
      </c>
      <c r="H156" s="541">
        <f t="shared" si="10"/>
        <v>10433.846153846154</v>
      </c>
      <c r="I156" s="446"/>
    </row>
    <row r="157" spans="2:9" ht="26.1" hidden="1" customHeight="1" thickTop="1" thickBot="1" x14ac:dyDescent="0.4">
      <c r="B157" s="366"/>
      <c r="C157" s="452">
        <v>46022</v>
      </c>
      <c r="D157" s="451">
        <v>142</v>
      </c>
      <c r="E157" s="454" t="s">
        <v>907</v>
      </c>
      <c r="F157" s="539">
        <f t="shared" si="8"/>
        <v>436.92307692307696</v>
      </c>
      <c r="G157" s="540">
        <f t="shared" si="9"/>
        <v>33.609467455621306</v>
      </c>
      <c r="H157" s="541">
        <f t="shared" si="10"/>
        <v>10436.923076923076</v>
      </c>
      <c r="I157" s="446"/>
    </row>
    <row r="158" spans="2:9" ht="26.1" hidden="1" customHeight="1" thickTop="1" thickBot="1" x14ac:dyDescent="0.4">
      <c r="B158" s="366"/>
      <c r="C158" s="452">
        <v>46023</v>
      </c>
      <c r="D158" s="451">
        <v>143</v>
      </c>
      <c r="E158" s="454" t="s">
        <v>908</v>
      </c>
      <c r="F158" s="539">
        <f t="shared" si="8"/>
        <v>440</v>
      </c>
      <c r="G158" s="540">
        <f t="shared" si="9"/>
        <v>33.846153846153847</v>
      </c>
      <c r="H158" s="541">
        <f t="shared" si="10"/>
        <v>10440</v>
      </c>
      <c r="I158" s="446"/>
    </row>
    <row r="159" spans="2:9" ht="26.1" hidden="1" customHeight="1" thickTop="1" thickBot="1" x14ac:dyDescent="0.4">
      <c r="B159" s="366"/>
      <c r="C159" s="452">
        <v>46024</v>
      </c>
      <c r="D159" s="451">
        <v>144</v>
      </c>
      <c r="E159" s="454" t="s">
        <v>909</v>
      </c>
      <c r="F159" s="539">
        <f t="shared" si="8"/>
        <v>443.07692307692309</v>
      </c>
      <c r="G159" s="540">
        <f t="shared" si="9"/>
        <v>34.082840236686394</v>
      </c>
      <c r="H159" s="541">
        <f t="shared" si="10"/>
        <v>10443.076923076924</v>
      </c>
      <c r="I159" s="446"/>
    </row>
    <row r="160" spans="2:9" ht="26.1" hidden="1" customHeight="1" thickTop="1" thickBot="1" x14ac:dyDescent="0.4">
      <c r="B160" s="366"/>
      <c r="C160" s="452">
        <v>46025</v>
      </c>
      <c r="D160" s="451">
        <v>145</v>
      </c>
      <c r="E160" s="454" t="s">
        <v>910</v>
      </c>
      <c r="F160" s="539">
        <f t="shared" si="8"/>
        <v>446.15384615384619</v>
      </c>
      <c r="G160" s="540">
        <f t="shared" si="9"/>
        <v>34.319526627218934</v>
      </c>
      <c r="H160" s="541">
        <f t="shared" si="10"/>
        <v>10446.153846153846</v>
      </c>
      <c r="I160" s="446"/>
    </row>
    <row r="161" spans="2:9" ht="26.1" hidden="1" customHeight="1" thickTop="1" thickBot="1" x14ac:dyDescent="0.4">
      <c r="B161" s="366"/>
      <c r="C161" s="452">
        <v>46026</v>
      </c>
      <c r="D161" s="451">
        <v>146</v>
      </c>
      <c r="E161" s="454" t="s">
        <v>904</v>
      </c>
      <c r="F161" s="539">
        <f t="shared" si="8"/>
        <v>449.23076923076928</v>
      </c>
      <c r="G161" s="540">
        <f t="shared" si="9"/>
        <v>34.556213017751482</v>
      </c>
      <c r="H161" s="541">
        <f t="shared" si="10"/>
        <v>10449.23076923077</v>
      </c>
      <c r="I161" s="446"/>
    </row>
    <row r="162" spans="2:9" ht="26.1" hidden="1" customHeight="1" thickTop="1" thickBot="1" x14ac:dyDescent="0.4">
      <c r="B162" s="366"/>
      <c r="C162" s="452">
        <v>46027</v>
      </c>
      <c r="D162" s="451">
        <v>147</v>
      </c>
      <c r="E162" s="454" t="s">
        <v>905</v>
      </c>
      <c r="F162" s="539">
        <f t="shared" si="8"/>
        <v>452.30769230769232</v>
      </c>
      <c r="G162" s="540">
        <f t="shared" si="9"/>
        <v>34.792899408284022</v>
      </c>
      <c r="H162" s="541">
        <f t="shared" si="10"/>
        <v>10452.307692307691</v>
      </c>
      <c r="I162" s="446"/>
    </row>
    <row r="163" spans="2:9" ht="26.1" hidden="1" customHeight="1" thickTop="1" thickBot="1" x14ac:dyDescent="0.4">
      <c r="B163" s="366"/>
      <c r="C163" s="452">
        <v>46028</v>
      </c>
      <c r="D163" s="451">
        <v>148</v>
      </c>
      <c r="E163" s="454" t="s">
        <v>906</v>
      </c>
      <c r="F163" s="539">
        <f t="shared" si="8"/>
        <v>455.38461538461542</v>
      </c>
      <c r="G163" s="540">
        <f t="shared" si="9"/>
        <v>35.029585798816569</v>
      </c>
      <c r="H163" s="541">
        <f t="shared" si="10"/>
        <v>10455.384615384615</v>
      </c>
      <c r="I163" s="446"/>
    </row>
    <row r="164" spans="2:9" ht="26.1" hidden="1" customHeight="1" thickTop="1" thickBot="1" x14ac:dyDescent="0.4">
      <c r="B164" s="366"/>
      <c r="C164" s="452">
        <v>46029</v>
      </c>
      <c r="D164" s="451">
        <v>149</v>
      </c>
      <c r="E164" s="454" t="s">
        <v>907</v>
      </c>
      <c r="F164" s="539">
        <f t="shared" si="8"/>
        <v>458.46153846153851</v>
      </c>
      <c r="G164" s="540">
        <f t="shared" si="9"/>
        <v>35.266272189349117</v>
      </c>
      <c r="H164" s="541">
        <f t="shared" si="10"/>
        <v>10458.461538461539</v>
      </c>
      <c r="I164" s="446"/>
    </row>
    <row r="165" spans="2:9" ht="26.1" hidden="1" customHeight="1" thickTop="1" thickBot="1" x14ac:dyDescent="0.4">
      <c r="B165" s="366"/>
      <c r="C165" s="452">
        <v>46030</v>
      </c>
      <c r="D165" s="451">
        <v>150</v>
      </c>
      <c r="E165" s="454" t="s">
        <v>908</v>
      </c>
      <c r="F165" s="539">
        <f t="shared" si="8"/>
        <v>461.53846153846155</v>
      </c>
      <c r="G165" s="540">
        <f t="shared" si="9"/>
        <v>35.502958579881657</v>
      </c>
      <c r="H165" s="541">
        <f t="shared" si="10"/>
        <v>10461.538461538461</v>
      </c>
      <c r="I165" s="446"/>
    </row>
    <row r="166" spans="2:9" ht="26.1" hidden="1" customHeight="1" thickTop="1" thickBot="1" x14ac:dyDescent="0.4">
      <c r="B166" s="366"/>
      <c r="C166" s="452">
        <v>46031</v>
      </c>
      <c r="D166" s="451">
        <v>151</v>
      </c>
      <c r="E166" s="454" t="s">
        <v>909</v>
      </c>
      <c r="F166" s="539">
        <f t="shared" si="8"/>
        <v>464.61538461538464</v>
      </c>
      <c r="G166" s="540">
        <f t="shared" si="9"/>
        <v>35.739644970414204</v>
      </c>
      <c r="H166" s="541">
        <f t="shared" si="10"/>
        <v>10464.615384615385</v>
      </c>
      <c r="I166" s="446"/>
    </row>
    <row r="167" spans="2:9" ht="26.1" hidden="1" customHeight="1" thickTop="1" thickBot="1" x14ac:dyDescent="0.4">
      <c r="B167" s="366"/>
      <c r="C167" s="452">
        <v>46032</v>
      </c>
      <c r="D167" s="451">
        <v>152</v>
      </c>
      <c r="E167" s="454" t="s">
        <v>910</v>
      </c>
      <c r="F167" s="539">
        <f t="shared" si="8"/>
        <v>467.69230769230774</v>
      </c>
      <c r="G167" s="540">
        <f t="shared" si="9"/>
        <v>35.976331360946752</v>
      </c>
      <c r="H167" s="541">
        <f t="shared" si="10"/>
        <v>10467.692307692309</v>
      </c>
      <c r="I167" s="446"/>
    </row>
    <row r="168" spans="2:9" ht="26.1" hidden="1" customHeight="1" thickTop="1" thickBot="1" x14ac:dyDescent="0.4">
      <c r="B168" s="366"/>
      <c r="C168" s="452">
        <v>46033</v>
      </c>
      <c r="D168" s="451">
        <v>153</v>
      </c>
      <c r="E168" s="454" t="s">
        <v>904</v>
      </c>
      <c r="F168" s="539">
        <f t="shared" si="8"/>
        <v>470.76923076923077</v>
      </c>
      <c r="G168" s="540">
        <f t="shared" si="9"/>
        <v>36.213017751479292</v>
      </c>
      <c r="H168" s="541">
        <f t="shared" si="10"/>
        <v>10470.76923076923</v>
      </c>
      <c r="I168" s="446"/>
    </row>
    <row r="169" spans="2:9" ht="26.1" hidden="1" customHeight="1" thickTop="1" thickBot="1" x14ac:dyDescent="0.4">
      <c r="B169" s="366"/>
      <c r="C169" s="452">
        <v>46034</v>
      </c>
      <c r="D169" s="451">
        <v>154</v>
      </c>
      <c r="E169" s="454" t="s">
        <v>905</v>
      </c>
      <c r="F169" s="539">
        <f t="shared" si="8"/>
        <v>473.84615384615387</v>
      </c>
      <c r="G169" s="540">
        <f t="shared" si="9"/>
        <v>36.449704142011839</v>
      </c>
      <c r="H169" s="541">
        <f t="shared" si="10"/>
        <v>10473.846153846154</v>
      </c>
      <c r="I169" s="446"/>
    </row>
    <row r="170" spans="2:9" ht="26.1" hidden="1" customHeight="1" thickTop="1" thickBot="1" x14ac:dyDescent="0.4">
      <c r="B170" s="366"/>
      <c r="C170" s="452">
        <v>46035</v>
      </c>
      <c r="D170" s="451">
        <v>155</v>
      </c>
      <c r="E170" s="454" t="s">
        <v>906</v>
      </c>
      <c r="F170" s="539">
        <f t="shared" si="8"/>
        <v>476.92307692307696</v>
      </c>
      <c r="G170" s="540">
        <f t="shared" si="9"/>
        <v>36.68639053254438</v>
      </c>
      <c r="H170" s="541">
        <f t="shared" si="10"/>
        <v>10476.923076923076</v>
      </c>
      <c r="I170" s="446"/>
    </row>
    <row r="171" spans="2:9" ht="26.1" hidden="1" customHeight="1" thickTop="1" thickBot="1" x14ac:dyDescent="0.4">
      <c r="B171" s="366"/>
      <c r="C171" s="452">
        <v>46036</v>
      </c>
      <c r="D171" s="451">
        <v>156</v>
      </c>
      <c r="E171" s="454" t="s">
        <v>907</v>
      </c>
      <c r="F171" s="539">
        <f t="shared" si="8"/>
        <v>480</v>
      </c>
      <c r="G171" s="540">
        <f t="shared" si="9"/>
        <v>36.92307692307692</v>
      </c>
      <c r="H171" s="541">
        <f t="shared" si="10"/>
        <v>10480</v>
      </c>
      <c r="I171" s="446"/>
    </row>
    <row r="172" spans="2:9" ht="26.1" hidden="1" customHeight="1" thickTop="1" thickBot="1" x14ac:dyDescent="0.4">
      <c r="B172" s="366"/>
      <c r="C172" s="452">
        <v>46037</v>
      </c>
      <c r="D172" s="451">
        <v>157</v>
      </c>
      <c r="E172" s="454" t="s">
        <v>908</v>
      </c>
      <c r="F172" s="539">
        <f t="shared" si="8"/>
        <v>483.07692307692309</v>
      </c>
      <c r="G172" s="540">
        <f t="shared" si="9"/>
        <v>37.159763313609467</v>
      </c>
      <c r="H172" s="541">
        <f t="shared" si="10"/>
        <v>10483.076923076924</v>
      </c>
      <c r="I172" s="446"/>
    </row>
    <row r="173" spans="2:9" ht="26.1" hidden="1" customHeight="1" thickTop="1" thickBot="1" x14ac:dyDescent="0.4">
      <c r="B173" s="366"/>
      <c r="C173" s="452">
        <v>46038</v>
      </c>
      <c r="D173" s="451">
        <v>158</v>
      </c>
      <c r="E173" s="454" t="s">
        <v>909</v>
      </c>
      <c r="F173" s="539">
        <f t="shared" si="8"/>
        <v>486.15384615384619</v>
      </c>
      <c r="G173" s="540">
        <f t="shared" si="9"/>
        <v>37.396449704142015</v>
      </c>
      <c r="H173" s="541">
        <f t="shared" si="10"/>
        <v>10486.153846153846</v>
      </c>
      <c r="I173" s="446"/>
    </row>
    <row r="174" spans="2:9" ht="26.1" hidden="1" customHeight="1" thickTop="1" thickBot="1" x14ac:dyDescent="0.4">
      <c r="B174" s="366"/>
      <c r="C174" s="452">
        <v>46039</v>
      </c>
      <c r="D174" s="451">
        <v>159</v>
      </c>
      <c r="E174" s="454" t="s">
        <v>910</v>
      </c>
      <c r="F174" s="539">
        <f t="shared" si="8"/>
        <v>489.23076923076928</v>
      </c>
      <c r="G174" s="540">
        <f t="shared" si="9"/>
        <v>37.633136094674562</v>
      </c>
      <c r="H174" s="541">
        <f t="shared" si="10"/>
        <v>10489.23076923077</v>
      </c>
      <c r="I174" s="446"/>
    </row>
    <row r="175" spans="2:9" ht="26.1" hidden="1" customHeight="1" thickTop="1" thickBot="1" x14ac:dyDescent="0.4">
      <c r="B175" s="366"/>
      <c r="C175" s="452">
        <v>46040</v>
      </c>
      <c r="D175" s="451">
        <v>160</v>
      </c>
      <c r="E175" s="454" t="s">
        <v>904</v>
      </c>
      <c r="F175" s="539">
        <f t="shared" si="8"/>
        <v>492.30769230769232</v>
      </c>
      <c r="G175" s="540">
        <f t="shared" si="9"/>
        <v>37.869822485207102</v>
      </c>
      <c r="H175" s="541">
        <f t="shared" si="10"/>
        <v>10492.307692307691</v>
      </c>
      <c r="I175" s="446"/>
    </row>
    <row r="176" spans="2:9" ht="26.1" hidden="1" customHeight="1" thickTop="1" thickBot="1" x14ac:dyDescent="0.4">
      <c r="B176" s="366"/>
      <c r="C176" s="452">
        <v>46041</v>
      </c>
      <c r="D176" s="451">
        <v>161</v>
      </c>
      <c r="E176" s="454" t="s">
        <v>905</v>
      </c>
      <c r="F176" s="539">
        <f t="shared" si="8"/>
        <v>495.38461538461542</v>
      </c>
      <c r="G176" s="540">
        <f t="shared" si="9"/>
        <v>38.10650887573965</v>
      </c>
      <c r="H176" s="541">
        <f t="shared" si="10"/>
        <v>10495.384615384615</v>
      </c>
      <c r="I176" s="446"/>
    </row>
    <row r="177" spans="2:9" ht="26.1" hidden="1" customHeight="1" thickTop="1" thickBot="1" x14ac:dyDescent="0.4">
      <c r="B177" s="366"/>
      <c r="C177" s="452">
        <v>46042</v>
      </c>
      <c r="D177" s="451">
        <v>162</v>
      </c>
      <c r="E177" s="454" t="s">
        <v>906</v>
      </c>
      <c r="F177" s="539">
        <f t="shared" si="8"/>
        <v>498.46153846153851</v>
      </c>
      <c r="G177" s="540">
        <f t="shared" si="9"/>
        <v>38.34319526627219</v>
      </c>
      <c r="H177" s="541">
        <f t="shared" si="10"/>
        <v>10498.461538461539</v>
      </c>
      <c r="I177" s="446"/>
    </row>
    <row r="178" spans="2:9" ht="26.1" hidden="1" customHeight="1" thickTop="1" thickBot="1" x14ac:dyDescent="0.4">
      <c r="B178" s="366"/>
      <c r="C178" s="452">
        <v>46043</v>
      </c>
      <c r="D178" s="451">
        <v>163</v>
      </c>
      <c r="E178" s="454" t="s">
        <v>907</v>
      </c>
      <c r="F178" s="539">
        <f t="shared" si="8"/>
        <v>501.53846153846155</v>
      </c>
      <c r="G178" s="540">
        <f t="shared" si="9"/>
        <v>38.579881656804737</v>
      </c>
      <c r="H178" s="541">
        <f t="shared" si="10"/>
        <v>10501.538461538461</v>
      </c>
      <c r="I178" s="446"/>
    </row>
    <row r="179" spans="2:9" ht="26.1" hidden="1" customHeight="1" thickTop="1" thickBot="1" x14ac:dyDescent="0.4">
      <c r="B179" s="366"/>
      <c r="C179" s="452">
        <v>46044</v>
      </c>
      <c r="D179" s="451">
        <v>164</v>
      </c>
      <c r="E179" s="454" t="s">
        <v>908</v>
      </c>
      <c r="F179" s="539">
        <f t="shared" si="8"/>
        <v>504.61538461538464</v>
      </c>
      <c r="G179" s="540">
        <f t="shared" si="9"/>
        <v>38.816568047337277</v>
      </c>
      <c r="H179" s="541">
        <f t="shared" si="10"/>
        <v>10504.615384615385</v>
      </c>
      <c r="I179" s="446"/>
    </row>
    <row r="180" spans="2:9" ht="26.1" hidden="1" customHeight="1" thickTop="1" thickBot="1" x14ac:dyDescent="0.4">
      <c r="B180" s="366"/>
      <c r="C180" s="452">
        <v>46045</v>
      </c>
      <c r="D180" s="451">
        <v>165</v>
      </c>
      <c r="E180" s="454" t="s">
        <v>909</v>
      </c>
      <c r="F180" s="539">
        <f t="shared" si="8"/>
        <v>507.69230769230774</v>
      </c>
      <c r="G180" s="540">
        <f t="shared" si="9"/>
        <v>39.053254437869825</v>
      </c>
      <c r="H180" s="541">
        <f t="shared" si="10"/>
        <v>10507.692307692309</v>
      </c>
      <c r="I180" s="446"/>
    </row>
    <row r="181" spans="2:9" ht="26.1" hidden="1" customHeight="1" thickTop="1" thickBot="1" x14ac:dyDescent="0.4">
      <c r="B181" s="366"/>
      <c r="C181" s="452">
        <v>46046</v>
      </c>
      <c r="D181" s="451">
        <v>166</v>
      </c>
      <c r="E181" s="454" t="s">
        <v>910</v>
      </c>
      <c r="F181" s="539">
        <f t="shared" si="8"/>
        <v>510.76923076923077</v>
      </c>
      <c r="G181" s="540">
        <f t="shared" si="9"/>
        <v>39.289940828402365</v>
      </c>
      <c r="H181" s="541">
        <f t="shared" si="10"/>
        <v>10510.76923076923</v>
      </c>
      <c r="I181" s="446"/>
    </row>
    <row r="182" spans="2:9" ht="26.1" hidden="1" customHeight="1" thickTop="1" thickBot="1" x14ac:dyDescent="0.4">
      <c r="B182" s="366"/>
      <c r="C182" s="452">
        <v>46047</v>
      </c>
      <c r="D182" s="451">
        <v>167</v>
      </c>
      <c r="E182" s="454" t="s">
        <v>904</v>
      </c>
      <c r="F182" s="539">
        <f t="shared" si="8"/>
        <v>513.84615384615392</v>
      </c>
      <c r="G182" s="540">
        <f t="shared" si="9"/>
        <v>39.526627218934919</v>
      </c>
      <c r="H182" s="541">
        <f t="shared" si="10"/>
        <v>10513.846153846154</v>
      </c>
      <c r="I182" s="446"/>
    </row>
    <row r="183" spans="2:9" ht="26.1" hidden="1" customHeight="1" thickTop="1" thickBot="1" x14ac:dyDescent="0.4">
      <c r="B183" s="366"/>
      <c r="C183" s="452">
        <v>46048</v>
      </c>
      <c r="D183" s="451">
        <v>168</v>
      </c>
      <c r="E183" s="454" t="s">
        <v>905</v>
      </c>
      <c r="F183" s="539">
        <f t="shared" si="8"/>
        <v>516.92307692307691</v>
      </c>
      <c r="G183" s="540">
        <f t="shared" si="9"/>
        <v>39.763313609467453</v>
      </c>
      <c r="H183" s="541">
        <f t="shared" si="10"/>
        <v>10516.923076923076</v>
      </c>
      <c r="I183" s="446"/>
    </row>
    <row r="184" spans="2:9" ht="26.1" hidden="1" customHeight="1" thickTop="1" thickBot="1" x14ac:dyDescent="0.4">
      <c r="B184" s="366"/>
      <c r="C184" s="452">
        <v>46049</v>
      </c>
      <c r="D184" s="451">
        <v>169</v>
      </c>
      <c r="E184" s="454" t="s">
        <v>906</v>
      </c>
      <c r="F184" s="539">
        <f t="shared" si="8"/>
        <v>520</v>
      </c>
      <c r="G184" s="540">
        <f t="shared" si="9"/>
        <v>40</v>
      </c>
      <c r="H184" s="541">
        <f t="shared" si="10"/>
        <v>10520</v>
      </c>
      <c r="I184" s="446"/>
    </row>
    <row r="185" spans="2:9" ht="26.1" hidden="1" customHeight="1" thickTop="1" thickBot="1" x14ac:dyDescent="0.4">
      <c r="B185" s="366"/>
      <c r="C185" s="452">
        <v>46050</v>
      </c>
      <c r="D185" s="451">
        <v>170</v>
      </c>
      <c r="E185" s="454" t="s">
        <v>907</v>
      </c>
      <c r="F185" s="539">
        <f t="shared" si="8"/>
        <v>523.07692307692309</v>
      </c>
      <c r="G185" s="540">
        <f t="shared" si="9"/>
        <v>40.236686390532547</v>
      </c>
      <c r="H185" s="541">
        <f t="shared" si="10"/>
        <v>10523.076923076924</v>
      </c>
      <c r="I185" s="446"/>
    </row>
    <row r="186" spans="2:9" ht="26.1" hidden="1" customHeight="1" thickTop="1" thickBot="1" x14ac:dyDescent="0.4">
      <c r="B186" s="366"/>
      <c r="C186" s="452">
        <v>46051</v>
      </c>
      <c r="D186" s="451">
        <v>171</v>
      </c>
      <c r="E186" s="454" t="s">
        <v>908</v>
      </c>
      <c r="F186" s="539">
        <f t="shared" si="8"/>
        <v>526.15384615384619</v>
      </c>
      <c r="G186" s="540">
        <f t="shared" si="9"/>
        <v>40.473372781065095</v>
      </c>
      <c r="H186" s="541">
        <f t="shared" si="10"/>
        <v>10526.153846153846</v>
      </c>
      <c r="I186" s="446"/>
    </row>
    <row r="187" spans="2:9" ht="26.1" hidden="1" customHeight="1" thickTop="1" thickBot="1" x14ac:dyDescent="0.4">
      <c r="B187" s="366"/>
      <c r="C187" s="452">
        <v>46052</v>
      </c>
      <c r="D187" s="451">
        <v>172</v>
      </c>
      <c r="E187" s="454" t="s">
        <v>909</v>
      </c>
      <c r="F187" s="539">
        <f t="shared" si="8"/>
        <v>529.23076923076928</v>
      </c>
      <c r="G187" s="540">
        <f t="shared" si="9"/>
        <v>40.710059171597635</v>
      </c>
      <c r="H187" s="541">
        <f t="shared" si="10"/>
        <v>10529.23076923077</v>
      </c>
      <c r="I187" s="446"/>
    </row>
    <row r="188" spans="2:9" ht="26.1" hidden="1" customHeight="1" thickTop="1" thickBot="1" x14ac:dyDescent="0.4">
      <c r="B188" s="366"/>
      <c r="C188" s="452">
        <v>46053</v>
      </c>
      <c r="D188" s="451">
        <v>173</v>
      </c>
      <c r="E188" s="454" t="s">
        <v>910</v>
      </c>
      <c r="F188" s="539">
        <f t="shared" si="8"/>
        <v>532.30769230769238</v>
      </c>
      <c r="G188" s="540">
        <f t="shared" si="9"/>
        <v>40.946745562130182</v>
      </c>
      <c r="H188" s="541">
        <f t="shared" si="10"/>
        <v>10532.307692307691</v>
      </c>
      <c r="I188" s="446"/>
    </row>
    <row r="189" spans="2:9" ht="26.1" hidden="1" customHeight="1" thickTop="1" thickBot="1" x14ac:dyDescent="0.4">
      <c r="B189" s="366"/>
      <c r="C189" s="452">
        <v>46054</v>
      </c>
      <c r="D189" s="451">
        <v>174</v>
      </c>
      <c r="E189" s="454" t="s">
        <v>904</v>
      </c>
      <c r="F189" s="539">
        <f t="shared" si="8"/>
        <v>535.38461538461536</v>
      </c>
      <c r="G189" s="540">
        <f t="shared" si="9"/>
        <v>41.183431952662723</v>
      </c>
      <c r="H189" s="541">
        <f t="shared" si="10"/>
        <v>10535.384615384615</v>
      </c>
      <c r="I189" s="446"/>
    </row>
    <row r="190" spans="2:9" ht="26.1" hidden="1" customHeight="1" thickTop="1" thickBot="1" x14ac:dyDescent="0.4">
      <c r="B190" s="366"/>
      <c r="C190" s="452">
        <v>46055</v>
      </c>
      <c r="D190" s="451">
        <v>175</v>
      </c>
      <c r="E190" s="454" t="s">
        <v>905</v>
      </c>
      <c r="F190" s="539">
        <f t="shared" si="8"/>
        <v>538.46153846153845</v>
      </c>
      <c r="G190" s="540">
        <f t="shared" si="9"/>
        <v>41.420118343195263</v>
      </c>
      <c r="H190" s="541">
        <f t="shared" si="10"/>
        <v>10538.461538461539</v>
      </c>
      <c r="I190" s="446"/>
    </row>
    <row r="191" spans="2:9" ht="26.1" hidden="1" customHeight="1" thickTop="1" thickBot="1" x14ac:dyDescent="0.4">
      <c r="B191" s="366"/>
      <c r="C191" s="452">
        <v>46056</v>
      </c>
      <c r="D191" s="451">
        <v>176</v>
      </c>
      <c r="E191" s="454" t="s">
        <v>906</v>
      </c>
      <c r="F191" s="539">
        <f t="shared" si="8"/>
        <v>541.53846153846155</v>
      </c>
      <c r="G191" s="540">
        <f t="shared" si="9"/>
        <v>41.65680473372781</v>
      </c>
      <c r="H191" s="541">
        <f t="shared" si="10"/>
        <v>10541.538461538461</v>
      </c>
      <c r="I191" s="446"/>
    </row>
    <row r="192" spans="2:9" ht="26.1" hidden="1" customHeight="1" thickTop="1" thickBot="1" x14ac:dyDescent="0.4">
      <c r="B192" s="366"/>
      <c r="C192" s="452">
        <v>46057</v>
      </c>
      <c r="D192" s="451">
        <v>177</v>
      </c>
      <c r="E192" s="454" t="s">
        <v>907</v>
      </c>
      <c r="F192" s="539">
        <f t="shared" si="8"/>
        <v>544.61538461538464</v>
      </c>
      <c r="G192" s="540">
        <f t="shared" si="9"/>
        <v>41.893491124260358</v>
      </c>
      <c r="H192" s="541">
        <f t="shared" si="10"/>
        <v>10544.615384615385</v>
      </c>
      <c r="I192" s="446"/>
    </row>
    <row r="193" spans="2:9" ht="26.1" hidden="1" customHeight="1" thickTop="1" thickBot="1" x14ac:dyDescent="0.4">
      <c r="B193" s="366"/>
      <c r="C193" s="452">
        <v>46058</v>
      </c>
      <c r="D193" s="451">
        <v>178</v>
      </c>
      <c r="E193" s="454" t="s">
        <v>908</v>
      </c>
      <c r="F193" s="539">
        <f t="shared" si="8"/>
        <v>547.69230769230774</v>
      </c>
      <c r="G193" s="540">
        <f t="shared" si="9"/>
        <v>42.130177514792905</v>
      </c>
      <c r="H193" s="541">
        <f t="shared" si="10"/>
        <v>10547.692307692309</v>
      </c>
      <c r="I193" s="446"/>
    </row>
    <row r="194" spans="2:9" ht="26.1" hidden="1" customHeight="1" thickTop="1" thickBot="1" x14ac:dyDescent="0.4">
      <c r="B194" s="366"/>
      <c r="C194" s="452">
        <v>46059</v>
      </c>
      <c r="D194" s="451">
        <v>179</v>
      </c>
      <c r="E194" s="454" t="s">
        <v>909</v>
      </c>
      <c r="F194" s="539">
        <f t="shared" si="8"/>
        <v>550.76923076923083</v>
      </c>
      <c r="G194" s="540">
        <f t="shared" si="9"/>
        <v>42.366863905325445</v>
      </c>
      <c r="H194" s="541">
        <f t="shared" si="10"/>
        <v>10550.76923076923</v>
      </c>
      <c r="I194" s="446"/>
    </row>
    <row r="195" spans="2:9" ht="26.1" hidden="1" customHeight="1" thickTop="1" thickBot="1" x14ac:dyDescent="0.4">
      <c r="B195" s="366"/>
      <c r="C195" s="452">
        <v>46060</v>
      </c>
      <c r="D195" s="451">
        <v>180</v>
      </c>
      <c r="E195" s="454" t="s">
        <v>910</v>
      </c>
      <c r="F195" s="539">
        <f t="shared" si="8"/>
        <v>553.84615384615392</v>
      </c>
      <c r="G195" s="540">
        <f t="shared" si="9"/>
        <v>42.603550295857993</v>
      </c>
      <c r="H195" s="541">
        <f t="shared" si="10"/>
        <v>10553.846153846154</v>
      </c>
      <c r="I195" s="446"/>
    </row>
    <row r="196" spans="2:9" ht="26.1" hidden="1" customHeight="1" thickTop="1" thickBot="1" x14ac:dyDescent="0.4">
      <c r="B196" s="366"/>
      <c r="C196" s="452">
        <v>46061</v>
      </c>
      <c r="D196" s="451">
        <v>181</v>
      </c>
      <c r="E196" s="454" t="s">
        <v>904</v>
      </c>
      <c r="F196" s="539">
        <f t="shared" si="8"/>
        <v>556.92307692307691</v>
      </c>
      <c r="G196" s="540">
        <f t="shared" si="9"/>
        <v>42.840236686390533</v>
      </c>
      <c r="H196" s="541">
        <f t="shared" si="10"/>
        <v>10556.923076923076</v>
      </c>
      <c r="I196" s="446"/>
    </row>
    <row r="197" spans="2:9" ht="26.1" hidden="1" customHeight="1" thickTop="1" thickBot="1" x14ac:dyDescent="0.4">
      <c r="B197" s="366"/>
      <c r="C197" s="452">
        <v>46062</v>
      </c>
      <c r="D197" s="451">
        <v>182</v>
      </c>
      <c r="E197" s="454" t="s">
        <v>905</v>
      </c>
      <c r="F197" s="539">
        <f t="shared" si="8"/>
        <v>560</v>
      </c>
      <c r="G197" s="540">
        <f t="shared" si="9"/>
        <v>43.07692307692308</v>
      </c>
      <c r="H197" s="541">
        <f t="shared" si="10"/>
        <v>10560</v>
      </c>
      <c r="I197" s="446"/>
    </row>
    <row r="198" spans="2:9" ht="5.0999999999999996" hidden="1" customHeight="1" thickTop="1" thickBot="1" x14ac:dyDescent="0.35">
      <c r="B198" s="365"/>
      <c r="C198" s="367"/>
      <c r="D198" s="367"/>
      <c r="E198" s="368"/>
      <c r="F198" s="369"/>
      <c r="G198" s="354"/>
      <c r="H198" s="369"/>
      <c r="I198" s="354"/>
    </row>
    <row r="199" spans="2:9" hidden="1" x14ac:dyDescent="0.3">
      <c r="G199" s="12"/>
    </row>
    <row r="200" spans="2:9" x14ac:dyDescent="0.3">
      <c r="G200" s="12"/>
    </row>
    <row r="201" spans="2:9" ht="21" thickBot="1" x14ac:dyDescent="0.35">
      <c r="G201" s="12"/>
    </row>
    <row r="202" spans="2:9" ht="5.0999999999999996" customHeight="1" thickBot="1" x14ac:dyDescent="0.35">
      <c r="B202" s="463"/>
      <c r="C202" s="368"/>
      <c r="D202" s="368"/>
      <c r="E202" s="368"/>
      <c r="F202" s="369"/>
      <c r="G202" s="368"/>
      <c r="H202" s="369"/>
      <c r="I202" s="353"/>
    </row>
    <row r="203" spans="2:9" s="383" customFormat="1" ht="70.5" customHeight="1" thickBot="1" x14ac:dyDescent="0.3">
      <c r="B203" s="597"/>
      <c r="C203" s="1115" t="s">
        <v>511</v>
      </c>
      <c r="D203" s="1115"/>
      <c r="E203" s="1115"/>
      <c r="F203" s="1115"/>
      <c r="G203" s="1115"/>
      <c r="H203" s="1115"/>
      <c r="I203" s="595"/>
    </row>
    <row r="204" spans="2:9" ht="5.0999999999999996" customHeight="1" thickBot="1" x14ac:dyDescent="0.35">
      <c r="B204" s="598"/>
      <c r="C204" s="368"/>
      <c r="D204" s="368"/>
      <c r="E204" s="368"/>
      <c r="F204" s="369"/>
      <c r="G204" s="368"/>
      <c r="H204" s="369"/>
      <c r="I204" s="365"/>
    </row>
    <row r="205" spans="2:9" s="70" customFormat="1" ht="48" thickTop="1" thickBot="1" x14ac:dyDescent="0.8">
      <c r="B205" s="596"/>
      <c r="C205" s="1106" t="s">
        <v>995</v>
      </c>
      <c r="D205" s="1106"/>
      <c r="E205" s="1106"/>
      <c r="F205" s="1106"/>
      <c r="G205" s="1106"/>
      <c r="H205" s="1106"/>
      <c r="I205" s="594"/>
    </row>
    <row r="206" spans="2:9" ht="5.0999999999999996" customHeight="1" thickBot="1" x14ac:dyDescent="0.35">
      <c r="B206" s="353"/>
      <c r="C206" s="545"/>
      <c r="D206" s="546"/>
      <c r="E206" s="546"/>
      <c r="F206" s="547"/>
      <c r="G206" s="545"/>
      <c r="H206" s="547"/>
      <c r="I206" s="369"/>
    </row>
    <row r="207" spans="2:9" s="355" customFormat="1" ht="48" customHeight="1" thickTop="1" thickBot="1" x14ac:dyDescent="0.3">
      <c r="B207" s="356"/>
      <c r="C207" s="456" t="s">
        <v>919</v>
      </c>
      <c r="D207" s="457" t="s">
        <v>920</v>
      </c>
      <c r="E207" s="538" t="s">
        <v>969</v>
      </c>
      <c r="F207" s="538" t="s">
        <v>991</v>
      </c>
      <c r="G207" s="1100">
        <v>46107</v>
      </c>
      <c r="H207" s="1100"/>
      <c r="I207" s="440"/>
    </row>
    <row r="208" spans="2:9" s="64" customFormat="1" ht="48" customHeight="1" thickTop="1" thickBot="1" x14ac:dyDescent="0.4">
      <c r="B208" s="357"/>
      <c r="C208" s="443">
        <f>F9</f>
        <v>10560</v>
      </c>
      <c r="D208" s="444">
        <v>5.45E-2</v>
      </c>
      <c r="E208" s="544">
        <f>C208*D208</f>
        <v>575.52</v>
      </c>
      <c r="F208" s="445">
        <f>C208+E208</f>
        <v>11135.52</v>
      </c>
      <c r="G208" s="1113" t="str">
        <f>VLOOKUP($G207,$C$216:$H$397,3,0)</f>
        <v>THURSDAY</v>
      </c>
      <c r="H208" s="1114"/>
      <c r="I208" s="441" t="e">
        <f>B208/#REF!</f>
        <v>#REF!</v>
      </c>
    </row>
    <row r="209" spans="2:13" s="64" customFormat="1" ht="62.25" thickTop="1" thickBot="1" x14ac:dyDescent="0.4">
      <c r="B209" s="357"/>
      <c r="C209" s="459" t="s">
        <v>976</v>
      </c>
      <c r="D209" s="457" t="s">
        <v>973</v>
      </c>
      <c r="E209" s="457" t="s">
        <v>974</v>
      </c>
      <c r="F209" s="458" t="s">
        <v>970</v>
      </c>
      <c r="G209" s="549" t="s">
        <v>943</v>
      </c>
      <c r="H209" s="551" t="s">
        <v>968</v>
      </c>
      <c r="I209" s="441"/>
    </row>
    <row r="210" spans="2:13" s="576" customFormat="1" ht="48" customHeight="1" thickTop="1" thickBot="1" x14ac:dyDescent="0.4">
      <c r="B210" s="569"/>
      <c r="C210" s="570" t="s">
        <v>996</v>
      </c>
      <c r="D210" s="571">
        <f>C216</f>
        <v>46063</v>
      </c>
      <c r="E210" s="571">
        <f>C397</f>
        <v>46244</v>
      </c>
      <c r="F210" s="572">
        <v>182</v>
      </c>
      <c r="G210" s="573">
        <f>VLOOKUP($G207,$C$216:$H$397,2,0)</f>
        <v>45</v>
      </c>
      <c r="H210" s="574">
        <f>F210-G210</f>
        <v>137</v>
      </c>
      <c r="I210" s="575"/>
    </row>
    <row r="211" spans="2:13" s="462" customFormat="1" ht="78" customHeight="1" thickTop="1" thickBot="1" x14ac:dyDescent="0.35">
      <c r="B211" s="460"/>
      <c r="C211" s="553" t="s">
        <v>975</v>
      </c>
      <c r="D211" s="555" t="s">
        <v>987</v>
      </c>
      <c r="E211" s="555" t="s">
        <v>988</v>
      </c>
      <c r="F211" s="557" t="s">
        <v>914</v>
      </c>
      <c r="G211" s="556" t="s">
        <v>993</v>
      </c>
      <c r="H211" s="554" t="s">
        <v>989</v>
      </c>
      <c r="I211" s="461"/>
    </row>
    <row r="212" spans="2:13" ht="51" customHeight="1" thickTop="1" thickBot="1" x14ac:dyDescent="0.35">
      <c r="B212" s="366"/>
      <c r="C212" s="564">
        <f>C13</f>
        <v>13</v>
      </c>
      <c r="D212" s="566">
        <f>VLOOKUP($G207,$C$216:$H$397,4,0)</f>
        <v>142.2989010989011</v>
      </c>
      <c r="E212" s="566">
        <f>VLOOKUP($G207,$C$216:$H$397,5,0)</f>
        <v>10.946069315300084</v>
      </c>
      <c r="F212" s="565">
        <f>C208+D212</f>
        <v>10702.2989010989</v>
      </c>
      <c r="G212" s="566">
        <f>G13+E212</f>
        <v>54.022992392223166</v>
      </c>
      <c r="H212" s="565">
        <f>D13+D212</f>
        <v>702.29890109890107</v>
      </c>
      <c r="I212" s="542"/>
      <c r="M212" s="84"/>
    </row>
    <row r="213" spans="2:13" ht="5.0999999999999996" customHeight="1" thickTop="1" thickBot="1" x14ac:dyDescent="0.35">
      <c r="B213" s="358"/>
      <c r="C213" s="558"/>
      <c r="D213" s="559"/>
      <c r="E213" s="560"/>
      <c r="F213" s="561"/>
      <c r="G213" s="562"/>
      <c r="H213" s="563"/>
      <c r="I213" s="364"/>
    </row>
    <row r="214" spans="2:13" s="383" customFormat="1" ht="70.5" hidden="1" customHeight="1" thickBot="1" x14ac:dyDescent="0.3">
      <c r="B214" s="384"/>
      <c r="C214" s="543" t="s">
        <v>51</v>
      </c>
      <c r="D214" s="543" t="s">
        <v>903</v>
      </c>
      <c r="E214" s="543" t="s">
        <v>921</v>
      </c>
      <c r="F214" s="543" t="s">
        <v>986</v>
      </c>
      <c r="G214" s="543" t="s">
        <v>966</v>
      </c>
      <c r="H214" s="543" t="s">
        <v>1</v>
      </c>
      <c r="I214" s="442"/>
    </row>
    <row r="215" spans="2:13" s="383" customFormat="1" ht="5.0999999999999996" hidden="1" customHeight="1" thickTop="1" thickBot="1" x14ac:dyDescent="0.3">
      <c r="B215" s="384"/>
      <c r="C215" s="448"/>
      <c r="D215" s="449"/>
      <c r="E215" s="449"/>
      <c r="F215" s="449"/>
      <c r="G215" s="449"/>
      <c r="H215" s="449"/>
      <c r="I215" s="385"/>
    </row>
    <row r="216" spans="2:13" ht="26.1" hidden="1" customHeight="1" thickBot="1" x14ac:dyDescent="0.4">
      <c r="B216" s="366"/>
      <c r="C216" s="452">
        <v>46063</v>
      </c>
      <c r="D216" s="453">
        <v>1</v>
      </c>
      <c r="E216" s="454" t="s">
        <v>905</v>
      </c>
      <c r="F216" s="539">
        <f>$E$208/$F$210*D216</f>
        <v>3.1621978021978019</v>
      </c>
      <c r="G216" s="540">
        <f>F216/$C$212</f>
        <v>0.24324598478444631</v>
      </c>
      <c r="H216" s="541">
        <f>$C$208+F216</f>
        <v>10563.162197802198</v>
      </c>
      <c r="I216" s="446"/>
    </row>
    <row r="217" spans="2:13" ht="26.1" hidden="1" customHeight="1" thickTop="1" thickBot="1" x14ac:dyDescent="0.4">
      <c r="B217" s="366"/>
      <c r="C217" s="452">
        <v>46064</v>
      </c>
      <c r="D217" s="451">
        <v>2</v>
      </c>
      <c r="E217" s="454" t="s">
        <v>906</v>
      </c>
      <c r="F217" s="539">
        <f t="shared" ref="F217:F280" si="11">$E$208/$F$210*D217</f>
        <v>6.3243956043956038</v>
      </c>
      <c r="G217" s="540">
        <f t="shared" ref="G217:G280" si="12">F217/$C$212</f>
        <v>0.48649196956889262</v>
      </c>
      <c r="H217" s="541">
        <f t="shared" ref="H217:H280" si="13">$C$208+F217</f>
        <v>10566.324395604395</v>
      </c>
      <c r="I217" s="446"/>
    </row>
    <row r="218" spans="2:13" ht="26.1" hidden="1" customHeight="1" thickTop="1" thickBot="1" x14ac:dyDescent="0.4">
      <c r="B218" s="366"/>
      <c r="C218" s="452">
        <v>46065</v>
      </c>
      <c r="D218" s="451">
        <v>3</v>
      </c>
      <c r="E218" s="454" t="s">
        <v>907</v>
      </c>
      <c r="F218" s="539">
        <f t="shared" si="11"/>
        <v>9.4865934065934052</v>
      </c>
      <c r="G218" s="540">
        <f t="shared" si="12"/>
        <v>0.72973795435333888</v>
      </c>
      <c r="H218" s="541">
        <f t="shared" si="13"/>
        <v>10569.486593406593</v>
      </c>
      <c r="I218" s="446"/>
    </row>
    <row r="219" spans="2:13" ht="26.1" hidden="1" customHeight="1" thickTop="1" thickBot="1" x14ac:dyDescent="0.4">
      <c r="B219" s="366"/>
      <c r="C219" s="452">
        <v>46066</v>
      </c>
      <c r="D219" s="451">
        <v>4</v>
      </c>
      <c r="E219" s="454" t="s">
        <v>908</v>
      </c>
      <c r="F219" s="539">
        <f t="shared" si="11"/>
        <v>12.648791208791208</v>
      </c>
      <c r="G219" s="540">
        <f t="shared" si="12"/>
        <v>0.97298393913778525</v>
      </c>
      <c r="H219" s="541">
        <f t="shared" si="13"/>
        <v>10572.64879120879</v>
      </c>
      <c r="I219" s="446"/>
    </row>
    <row r="220" spans="2:13" ht="26.1" hidden="1" customHeight="1" thickTop="1" thickBot="1" x14ac:dyDescent="0.4">
      <c r="B220" s="366"/>
      <c r="C220" s="452">
        <v>46067</v>
      </c>
      <c r="D220" s="451">
        <v>5</v>
      </c>
      <c r="E220" s="454" t="s">
        <v>909</v>
      </c>
      <c r="F220" s="539">
        <f t="shared" si="11"/>
        <v>15.81098901098901</v>
      </c>
      <c r="G220" s="540">
        <f t="shared" si="12"/>
        <v>1.2162299239222316</v>
      </c>
      <c r="H220" s="541">
        <f t="shared" si="13"/>
        <v>10575.810989010988</v>
      </c>
      <c r="I220" s="446"/>
    </row>
    <row r="221" spans="2:13" ht="26.1" hidden="1" customHeight="1" thickTop="1" thickBot="1" x14ac:dyDescent="0.4">
      <c r="B221" s="366"/>
      <c r="C221" s="452">
        <v>46068</v>
      </c>
      <c r="D221" s="451">
        <v>6</v>
      </c>
      <c r="E221" s="454" t="s">
        <v>910</v>
      </c>
      <c r="F221" s="539">
        <f t="shared" si="11"/>
        <v>18.97318681318681</v>
      </c>
      <c r="G221" s="540">
        <f t="shared" si="12"/>
        <v>1.4594759087066778</v>
      </c>
      <c r="H221" s="541">
        <f t="shared" si="13"/>
        <v>10578.973186813188</v>
      </c>
      <c r="I221" s="446"/>
    </row>
    <row r="222" spans="2:13" ht="26.1" hidden="1" customHeight="1" thickTop="1" thickBot="1" x14ac:dyDescent="0.4">
      <c r="B222" s="366"/>
      <c r="C222" s="452">
        <v>46069</v>
      </c>
      <c r="D222" s="451">
        <v>7</v>
      </c>
      <c r="E222" s="454" t="s">
        <v>904</v>
      </c>
      <c r="F222" s="539">
        <f t="shared" si="11"/>
        <v>22.135384615384613</v>
      </c>
      <c r="G222" s="540">
        <f t="shared" si="12"/>
        <v>1.7027218934911241</v>
      </c>
      <c r="H222" s="541">
        <f t="shared" si="13"/>
        <v>10582.135384615385</v>
      </c>
      <c r="I222" s="446"/>
    </row>
    <row r="223" spans="2:13" ht="26.1" hidden="1" customHeight="1" thickTop="1" thickBot="1" x14ac:dyDescent="0.4">
      <c r="B223" s="366"/>
      <c r="C223" s="452">
        <v>46070</v>
      </c>
      <c r="D223" s="451">
        <v>8</v>
      </c>
      <c r="E223" s="454" t="s">
        <v>905</v>
      </c>
      <c r="F223" s="539">
        <f t="shared" si="11"/>
        <v>25.297582417582415</v>
      </c>
      <c r="G223" s="540">
        <f t="shared" si="12"/>
        <v>1.9459678782755705</v>
      </c>
      <c r="H223" s="541">
        <f t="shared" si="13"/>
        <v>10585.297582417583</v>
      </c>
      <c r="I223" s="446"/>
    </row>
    <row r="224" spans="2:13" ht="26.1" hidden="1" customHeight="1" thickTop="1" thickBot="1" x14ac:dyDescent="0.4">
      <c r="B224" s="366"/>
      <c r="C224" s="452">
        <v>46071</v>
      </c>
      <c r="D224" s="451">
        <v>9</v>
      </c>
      <c r="E224" s="454" t="s">
        <v>906</v>
      </c>
      <c r="F224" s="539">
        <f t="shared" si="11"/>
        <v>28.459780219780217</v>
      </c>
      <c r="G224" s="540">
        <f t="shared" si="12"/>
        <v>2.1892138630600169</v>
      </c>
      <c r="H224" s="541">
        <f t="shared" si="13"/>
        <v>10588.45978021978</v>
      </c>
      <c r="I224" s="446"/>
    </row>
    <row r="225" spans="2:9" ht="26.1" hidden="1" customHeight="1" thickTop="1" thickBot="1" x14ac:dyDescent="0.4">
      <c r="B225" s="366"/>
      <c r="C225" s="452">
        <v>46072</v>
      </c>
      <c r="D225" s="451">
        <v>10</v>
      </c>
      <c r="E225" s="454" t="s">
        <v>907</v>
      </c>
      <c r="F225" s="539">
        <f t="shared" si="11"/>
        <v>31.62197802197802</v>
      </c>
      <c r="G225" s="540">
        <f t="shared" si="12"/>
        <v>2.4324598478444632</v>
      </c>
      <c r="H225" s="541">
        <f t="shared" si="13"/>
        <v>10591.621978021978</v>
      </c>
      <c r="I225" s="446"/>
    </row>
    <row r="226" spans="2:9" ht="26.1" hidden="1" customHeight="1" thickTop="1" thickBot="1" x14ac:dyDescent="0.4">
      <c r="B226" s="366"/>
      <c r="C226" s="452">
        <v>46073</v>
      </c>
      <c r="D226" s="451">
        <v>11</v>
      </c>
      <c r="E226" s="454" t="s">
        <v>908</v>
      </c>
      <c r="F226" s="539">
        <f t="shared" si="11"/>
        <v>34.784175824175819</v>
      </c>
      <c r="G226" s="540">
        <f t="shared" si="12"/>
        <v>2.6757058326289092</v>
      </c>
      <c r="H226" s="541">
        <f t="shared" si="13"/>
        <v>10594.784175824176</v>
      </c>
      <c r="I226" s="446"/>
    </row>
    <row r="227" spans="2:9" ht="26.1" hidden="1" customHeight="1" thickTop="1" thickBot="1" x14ac:dyDescent="0.4">
      <c r="B227" s="366"/>
      <c r="C227" s="452">
        <v>46074</v>
      </c>
      <c r="D227" s="451">
        <v>12</v>
      </c>
      <c r="E227" s="454" t="s">
        <v>909</v>
      </c>
      <c r="F227" s="539">
        <f t="shared" si="11"/>
        <v>37.946373626373621</v>
      </c>
      <c r="G227" s="540">
        <f t="shared" si="12"/>
        <v>2.9189518174133555</v>
      </c>
      <c r="H227" s="541">
        <f t="shared" si="13"/>
        <v>10597.946373626373</v>
      </c>
      <c r="I227" s="446"/>
    </row>
    <row r="228" spans="2:9" ht="26.1" hidden="1" customHeight="1" thickTop="1" thickBot="1" x14ac:dyDescent="0.4">
      <c r="B228" s="366"/>
      <c r="C228" s="452">
        <v>46075</v>
      </c>
      <c r="D228" s="451">
        <v>13</v>
      </c>
      <c r="E228" s="454" t="s">
        <v>910</v>
      </c>
      <c r="F228" s="539">
        <f t="shared" si="11"/>
        <v>41.108571428571423</v>
      </c>
      <c r="G228" s="540">
        <f t="shared" si="12"/>
        <v>3.1621978021978019</v>
      </c>
      <c r="H228" s="541">
        <f t="shared" si="13"/>
        <v>10601.108571428571</v>
      </c>
      <c r="I228" s="446"/>
    </row>
    <row r="229" spans="2:9" ht="26.1" hidden="1" customHeight="1" thickTop="1" thickBot="1" x14ac:dyDescent="0.4">
      <c r="B229" s="366"/>
      <c r="C229" s="452">
        <v>46076</v>
      </c>
      <c r="D229" s="451">
        <v>14</v>
      </c>
      <c r="E229" s="454" t="s">
        <v>904</v>
      </c>
      <c r="F229" s="539">
        <f t="shared" si="11"/>
        <v>44.270769230769226</v>
      </c>
      <c r="G229" s="540">
        <f t="shared" si="12"/>
        <v>3.4054437869822483</v>
      </c>
      <c r="H229" s="541">
        <f t="shared" si="13"/>
        <v>10604.270769230769</v>
      </c>
      <c r="I229" s="446"/>
    </row>
    <row r="230" spans="2:9" ht="26.1" hidden="1" customHeight="1" thickTop="1" thickBot="1" x14ac:dyDescent="0.4">
      <c r="B230" s="366"/>
      <c r="C230" s="452">
        <v>46077</v>
      </c>
      <c r="D230" s="451">
        <v>15</v>
      </c>
      <c r="E230" s="454" t="s">
        <v>905</v>
      </c>
      <c r="F230" s="539">
        <f t="shared" si="11"/>
        <v>47.432967032967028</v>
      </c>
      <c r="G230" s="540">
        <f t="shared" si="12"/>
        <v>3.6486897717666946</v>
      </c>
      <c r="H230" s="541">
        <f t="shared" si="13"/>
        <v>10607.432967032966</v>
      </c>
      <c r="I230" s="446"/>
    </row>
    <row r="231" spans="2:9" ht="26.1" hidden="1" customHeight="1" thickTop="1" thickBot="1" x14ac:dyDescent="0.4">
      <c r="B231" s="366"/>
      <c r="C231" s="452">
        <v>46078</v>
      </c>
      <c r="D231" s="451">
        <v>16</v>
      </c>
      <c r="E231" s="454" t="s">
        <v>906</v>
      </c>
      <c r="F231" s="539">
        <f t="shared" si="11"/>
        <v>50.59516483516483</v>
      </c>
      <c r="G231" s="540">
        <f t="shared" si="12"/>
        <v>3.891935756551141</v>
      </c>
      <c r="H231" s="541">
        <f t="shared" si="13"/>
        <v>10610.595164835166</v>
      </c>
      <c r="I231" s="446"/>
    </row>
    <row r="232" spans="2:9" ht="26.1" hidden="1" customHeight="1" thickTop="1" thickBot="1" x14ac:dyDescent="0.4">
      <c r="B232" s="366"/>
      <c r="C232" s="452">
        <v>46079</v>
      </c>
      <c r="D232" s="451">
        <v>17</v>
      </c>
      <c r="E232" s="454" t="s">
        <v>907</v>
      </c>
      <c r="F232" s="539">
        <f t="shared" si="11"/>
        <v>53.757362637362633</v>
      </c>
      <c r="G232" s="540">
        <f t="shared" si="12"/>
        <v>4.1351817413355869</v>
      </c>
      <c r="H232" s="541">
        <f t="shared" si="13"/>
        <v>10613.757362637363</v>
      </c>
      <c r="I232" s="446"/>
    </row>
    <row r="233" spans="2:9" ht="26.1" hidden="1" customHeight="1" thickTop="1" thickBot="1" x14ac:dyDescent="0.4">
      <c r="B233" s="366"/>
      <c r="C233" s="452">
        <v>46080</v>
      </c>
      <c r="D233" s="451">
        <v>18</v>
      </c>
      <c r="E233" s="454" t="s">
        <v>908</v>
      </c>
      <c r="F233" s="539">
        <f t="shared" si="11"/>
        <v>56.919560439560435</v>
      </c>
      <c r="G233" s="540">
        <f t="shared" si="12"/>
        <v>4.3784277261200337</v>
      </c>
      <c r="H233" s="541">
        <f t="shared" si="13"/>
        <v>10616.919560439561</v>
      </c>
      <c r="I233" s="446"/>
    </row>
    <row r="234" spans="2:9" ht="26.1" hidden="1" customHeight="1" thickTop="1" thickBot="1" x14ac:dyDescent="0.4">
      <c r="B234" s="366"/>
      <c r="C234" s="452">
        <v>46081</v>
      </c>
      <c r="D234" s="451">
        <v>19</v>
      </c>
      <c r="E234" s="454" t="s">
        <v>909</v>
      </c>
      <c r="F234" s="539">
        <f t="shared" si="11"/>
        <v>60.081758241758237</v>
      </c>
      <c r="G234" s="540">
        <f t="shared" si="12"/>
        <v>4.6216737109044796</v>
      </c>
      <c r="H234" s="541">
        <f t="shared" si="13"/>
        <v>10620.081758241759</v>
      </c>
      <c r="I234" s="446"/>
    </row>
    <row r="235" spans="2:9" ht="26.1" hidden="1" customHeight="1" thickTop="1" thickBot="1" x14ac:dyDescent="0.4">
      <c r="B235" s="366"/>
      <c r="C235" s="452">
        <v>46082</v>
      </c>
      <c r="D235" s="451">
        <v>20</v>
      </c>
      <c r="E235" s="454" t="s">
        <v>910</v>
      </c>
      <c r="F235" s="539">
        <f t="shared" si="11"/>
        <v>63.24395604395604</v>
      </c>
      <c r="G235" s="540">
        <f t="shared" si="12"/>
        <v>4.8649196956889265</v>
      </c>
      <c r="H235" s="541">
        <f t="shared" si="13"/>
        <v>10623.243956043956</v>
      </c>
      <c r="I235" s="446"/>
    </row>
    <row r="236" spans="2:9" ht="26.1" hidden="1" customHeight="1" thickTop="1" thickBot="1" x14ac:dyDescent="0.4">
      <c r="B236" s="366"/>
      <c r="C236" s="452">
        <v>46083</v>
      </c>
      <c r="D236" s="451">
        <v>21</v>
      </c>
      <c r="E236" s="454" t="s">
        <v>904</v>
      </c>
      <c r="F236" s="539">
        <f t="shared" si="11"/>
        <v>66.406153846153842</v>
      </c>
      <c r="G236" s="540">
        <f t="shared" si="12"/>
        <v>5.1081656804733724</v>
      </c>
      <c r="H236" s="541">
        <f t="shared" si="13"/>
        <v>10626.406153846154</v>
      </c>
      <c r="I236" s="446"/>
    </row>
    <row r="237" spans="2:9" ht="26.1" hidden="1" customHeight="1" thickTop="1" thickBot="1" x14ac:dyDescent="0.4">
      <c r="B237" s="366"/>
      <c r="C237" s="452">
        <v>46084</v>
      </c>
      <c r="D237" s="451">
        <v>22</v>
      </c>
      <c r="E237" s="454" t="s">
        <v>905</v>
      </c>
      <c r="F237" s="539">
        <f t="shared" si="11"/>
        <v>69.568351648351637</v>
      </c>
      <c r="G237" s="540">
        <f t="shared" si="12"/>
        <v>5.3514116652578183</v>
      </c>
      <c r="H237" s="541">
        <f t="shared" si="13"/>
        <v>10629.568351648351</v>
      </c>
      <c r="I237" s="446"/>
    </row>
    <row r="238" spans="2:9" ht="26.1" hidden="1" customHeight="1" thickTop="1" thickBot="1" x14ac:dyDescent="0.4">
      <c r="B238" s="366"/>
      <c r="C238" s="452">
        <v>46085</v>
      </c>
      <c r="D238" s="451">
        <v>23</v>
      </c>
      <c r="E238" s="454" t="s">
        <v>906</v>
      </c>
      <c r="F238" s="539">
        <f t="shared" si="11"/>
        <v>72.730549450549447</v>
      </c>
      <c r="G238" s="540">
        <f t="shared" si="12"/>
        <v>5.5946576500422651</v>
      </c>
      <c r="H238" s="541">
        <f t="shared" si="13"/>
        <v>10632.730549450549</v>
      </c>
      <c r="I238" s="446"/>
    </row>
    <row r="239" spans="2:9" ht="26.1" hidden="1" customHeight="1" thickTop="1" thickBot="1" x14ac:dyDescent="0.4">
      <c r="B239" s="366"/>
      <c r="C239" s="452">
        <v>46086</v>
      </c>
      <c r="D239" s="451">
        <v>24</v>
      </c>
      <c r="E239" s="454" t="s">
        <v>907</v>
      </c>
      <c r="F239" s="539">
        <f t="shared" si="11"/>
        <v>75.892747252747242</v>
      </c>
      <c r="G239" s="540">
        <f t="shared" si="12"/>
        <v>5.837903634826711</v>
      </c>
      <c r="H239" s="541">
        <f t="shared" si="13"/>
        <v>10635.892747252747</v>
      </c>
      <c r="I239" s="446"/>
    </row>
    <row r="240" spans="2:9" ht="26.1" hidden="1" customHeight="1" thickTop="1" thickBot="1" x14ac:dyDescent="0.4">
      <c r="B240" s="366"/>
      <c r="C240" s="452">
        <v>46087</v>
      </c>
      <c r="D240" s="451">
        <v>25</v>
      </c>
      <c r="E240" s="454" t="s">
        <v>908</v>
      </c>
      <c r="F240" s="539">
        <f t="shared" si="11"/>
        <v>79.054945054945051</v>
      </c>
      <c r="G240" s="540">
        <f t="shared" si="12"/>
        <v>6.0811496196111579</v>
      </c>
      <c r="H240" s="541">
        <f t="shared" si="13"/>
        <v>10639.054945054944</v>
      </c>
      <c r="I240" s="446"/>
    </row>
    <row r="241" spans="2:9" ht="26.1" hidden="1" customHeight="1" thickTop="1" thickBot="1" x14ac:dyDescent="0.4">
      <c r="B241" s="366"/>
      <c r="C241" s="452">
        <v>46088</v>
      </c>
      <c r="D241" s="451">
        <v>26</v>
      </c>
      <c r="E241" s="454" t="s">
        <v>909</v>
      </c>
      <c r="F241" s="539">
        <f t="shared" si="11"/>
        <v>82.217142857142846</v>
      </c>
      <c r="G241" s="540">
        <f t="shared" si="12"/>
        <v>6.3243956043956038</v>
      </c>
      <c r="H241" s="541">
        <f t="shared" si="13"/>
        <v>10642.217142857144</v>
      </c>
      <c r="I241" s="446"/>
    </row>
    <row r="242" spans="2:9" ht="26.1" hidden="1" customHeight="1" thickTop="1" thickBot="1" x14ac:dyDescent="0.4">
      <c r="B242" s="366"/>
      <c r="C242" s="452">
        <v>46089</v>
      </c>
      <c r="D242" s="451">
        <v>27</v>
      </c>
      <c r="E242" s="454" t="s">
        <v>910</v>
      </c>
      <c r="F242" s="539">
        <f t="shared" si="11"/>
        <v>85.379340659340656</v>
      </c>
      <c r="G242" s="540">
        <f t="shared" si="12"/>
        <v>6.5676415891800506</v>
      </c>
      <c r="H242" s="541">
        <f t="shared" si="13"/>
        <v>10645.379340659341</v>
      </c>
      <c r="I242" s="446"/>
    </row>
    <row r="243" spans="2:9" ht="26.1" hidden="1" customHeight="1" thickTop="1" thickBot="1" x14ac:dyDescent="0.4">
      <c r="B243" s="366"/>
      <c r="C243" s="452">
        <v>46090</v>
      </c>
      <c r="D243" s="451">
        <v>28</v>
      </c>
      <c r="E243" s="454" t="s">
        <v>904</v>
      </c>
      <c r="F243" s="539">
        <f t="shared" si="11"/>
        <v>88.541538461538451</v>
      </c>
      <c r="G243" s="540">
        <f t="shared" si="12"/>
        <v>6.8108875739644965</v>
      </c>
      <c r="H243" s="541">
        <f t="shared" si="13"/>
        <v>10648.541538461539</v>
      </c>
      <c r="I243" s="446"/>
    </row>
    <row r="244" spans="2:9" ht="26.1" hidden="1" customHeight="1" thickTop="1" thickBot="1" x14ac:dyDescent="0.4">
      <c r="B244" s="366"/>
      <c r="C244" s="452">
        <v>46091</v>
      </c>
      <c r="D244" s="451">
        <v>29</v>
      </c>
      <c r="E244" s="454" t="s">
        <v>905</v>
      </c>
      <c r="F244" s="539">
        <f t="shared" si="11"/>
        <v>91.703736263736261</v>
      </c>
      <c r="G244" s="540">
        <f t="shared" si="12"/>
        <v>7.0541335587489433</v>
      </c>
      <c r="H244" s="541">
        <f t="shared" si="13"/>
        <v>10651.703736263737</v>
      </c>
      <c r="I244" s="446"/>
    </row>
    <row r="245" spans="2:9" ht="26.1" hidden="1" customHeight="1" thickTop="1" thickBot="1" x14ac:dyDescent="0.4">
      <c r="B245" s="366"/>
      <c r="C245" s="452">
        <v>46092</v>
      </c>
      <c r="D245" s="451">
        <v>30</v>
      </c>
      <c r="E245" s="454" t="s">
        <v>906</v>
      </c>
      <c r="F245" s="539">
        <f t="shared" si="11"/>
        <v>94.865934065934056</v>
      </c>
      <c r="G245" s="540">
        <f t="shared" si="12"/>
        <v>7.2973795435333892</v>
      </c>
      <c r="H245" s="541">
        <f t="shared" si="13"/>
        <v>10654.865934065934</v>
      </c>
      <c r="I245" s="446"/>
    </row>
    <row r="246" spans="2:9" ht="26.1" hidden="1" customHeight="1" thickTop="1" thickBot="1" x14ac:dyDescent="0.4">
      <c r="B246" s="366"/>
      <c r="C246" s="452">
        <v>46093</v>
      </c>
      <c r="D246" s="451">
        <v>31</v>
      </c>
      <c r="E246" s="454" t="s">
        <v>907</v>
      </c>
      <c r="F246" s="539">
        <f t="shared" si="11"/>
        <v>98.028131868131865</v>
      </c>
      <c r="G246" s="540">
        <f t="shared" si="12"/>
        <v>7.5406255283178361</v>
      </c>
      <c r="H246" s="541">
        <f t="shared" si="13"/>
        <v>10658.028131868132</v>
      </c>
      <c r="I246" s="446"/>
    </row>
    <row r="247" spans="2:9" ht="26.1" hidden="1" customHeight="1" thickTop="1" thickBot="1" x14ac:dyDescent="0.4">
      <c r="B247" s="366"/>
      <c r="C247" s="452">
        <v>46094</v>
      </c>
      <c r="D247" s="451">
        <v>32</v>
      </c>
      <c r="E247" s="454" t="s">
        <v>908</v>
      </c>
      <c r="F247" s="539">
        <f t="shared" si="11"/>
        <v>101.19032967032966</v>
      </c>
      <c r="G247" s="540">
        <f t="shared" si="12"/>
        <v>7.783871513102282</v>
      </c>
      <c r="H247" s="541">
        <f t="shared" si="13"/>
        <v>10661.190329670329</v>
      </c>
      <c r="I247" s="446"/>
    </row>
    <row r="248" spans="2:9" ht="26.1" hidden="1" customHeight="1" thickTop="1" thickBot="1" x14ac:dyDescent="0.4">
      <c r="B248" s="366"/>
      <c r="C248" s="452">
        <v>46095</v>
      </c>
      <c r="D248" s="451">
        <v>33</v>
      </c>
      <c r="E248" s="454" t="s">
        <v>909</v>
      </c>
      <c r="F248" s="539">
        <f t="shared" si="11"/>
        <v>104.35252747252746</v>
      </c>
      <c r="G248" s="540">
        <f t="shared" si="12"/>
        <v>8.0271174978867279</v>
      </c>
      <c r="H248" s="541">
        <f t="shared" si="13"/>
        <v>10664.352527472527</v>
      </c>
      <c r="I248" s="446"/>
    </row>
    <row r="249" spans="2:9" ht="26.1" hidden="1" customHeight="1" thickTop="1" thickBot="1" x14ac:dyDescent="0.4">
      <c r="B249" s="366"/>
      <c r="C249" s="452">
        <v>46096</v>
      </c>
      <c r="D249" s="451">
        <v>34</v>
      </c>
      <c r="E249" s="454" t="s">
        <v>910</v>
      </c>
      <c r="F249" s="539">
        <f t="shared" si="11"/>
        <v>107.51472527472527</v>
      </c>
      <c r="G249" s="540">
        <f t="shared" si="12"/>
        <v>8.2703634826711738</v>
      </c>
      <c r="H249" s="541">
        <f t="shared" si="13"/>
        <v>10667.514725274725</v>
      </c>
      <c r="I249" s="446"/>
    </row>
    <row r="250" spans="2:9" ht="26.1" hidden="1" customHeight="1" thickTop="1" thickBot="1" x14ac:dyDescent="0.4">
      <c r="B250" s="366"/>
      <c r="C250" s="452">
        <v>46097</v>
      </c>
      <c r="D250" s="451">
        <v>35</v>
      </c>
      <c r="E250" s="454" t="s">
        <v>904</v>
      </c>
      <c r="F250" s="539">
        <f t="shared" si="11"/>
        <v>110.67692307692306</v>
      </c>
      <c r="G250" s="540">
        <f t="shared" si="12"/>
        <v>8.5136094674556198</v>
      </c>
      <c r="H250" s="541">
        <f t="shared" si="13"/>
        <v>10670.676923076922</v>
      </c>
      <c r="I250" s="446"/>
    </row>
    <row r="251" spans="2:9" ht="26.1" hidden="1" customHeight="1" thickTop="1" thickBot="1" x14ac:dyDescent="0.4">
      <c r="B251" s="366"/>
      <c r="C251" s="452">
        <v>46098</v>
      </c>
      <c r="D251" s="451">
        <v>36</v>
      </c>
      <c r="E251" s="454" t="s">
        <v>905</v>
      </c>
      <c r="F251" s="539">
        <f t="shared" si="11"/>
        <v>113.83912087912087</v>
      </c>
      <c r="G251" s="540">
        <f t="shared" si="12"/>
        <v>8.7568554522400675</v>
      </c>
      <c r="H251" s="541">
        <f t="shared" si="13"/>
        <v>10673.839120879122</v>
      </c>
      <c r="I251" s="446"/>
    </row>
    <row r="252" spans="2:9" ht="26.1" hidden="1" customHeight="1" thickTop="1" thickBot="1" x14ac:dyDescent="0.4">
      <c r="B252" s="366"/>
      <c r="C252" s="452">
        <v>46099</v>
      </c>
      <c r="D252" s="451">
        <v>37</v>
      </c>
      <c r="E252" s="454" t="s">
        <v>906</v>
      </c>
      <c r="F252" s="539">
        <f t="shared" si="11"/>
        <v>117.00131868131866</v>
      </c>
      <c r="G252" s="540">
        <f t="shared" si="12"/>
        <v>9.0001014370245134</v>
      </c>
      <c r="H252" s="541">
        <f t="shared" si="13"/>
        <v>10677.001318681319</v>
      </c>
      <c r="I252" s="446"/>
    </row>
    <row r="253" spans="2:9" ht="26.1" hidden="1" customHeight="1" thickTop="1" thickBot="1" x14ac:dyDescent="0.4">
      <c r="B253" s="366"/>
      <c r="C253" s="452">
        <v>46100</v>
      </c>
      <c r="D253" s="451">
        <v>38</v>
      </c>
      <c r="E253" s="454" t="s">
        <v>907</v>
      </c>
      <c r="F253" s="539">
        <f t="shared" si="11"/>
        <v>120.16351648351647</v>
      </c>
      <c r="G253" s="540">
        <f t="shared" si="12"/>
        <v>9.2433474218089593</v>
      </c>
      <c r="H253" s="541">
        <f t="shared" si="13"/>
        <v>10680.163516483517</v>
      </c>
      <c r="I253" s="446"/>
    </row>
    <row r="254" spans="2:9" ht="26.1" hidden="1" customHeight="1" thickTop="1" thickBot="1" x14ac:dyDescent="0.4">
      <c r="B254" s="366"/>
      <c r="C254" s="452">
        <v>46101</v>
      </c>
      <c r="D254" s="451">
        <v>39</v>
      </c>
      <c r="E254" s="454" t="s">
        <v>908</v>
      </c>
      <c r="F254" s="539">
        <f t="shared" si="11"/>
        <v>123.32571428571427</v>
      </c>
      <c r="G254" s="540">
        <f t="shared" si="12"/>
        <v>9.4865934065934052</v>
      </c>
      <c r="H254" s="541">
        <f t="shared" si="13"/>
        <v>10683.325714285715</v>
      </c>
      <c r="I254" s="446"/>
    </row>
    <row r="255" spans="2:9" ht="26.1" hidden="1" customHeight="1" thickTop="1" thickBot="1" x14ac:dyDescent="0.4">
      <c r="B255" s="366"/>
      <c r="C255" s="452">
        <v>46102</v>
      </c>
      <c r="D255" s="451">
        <v>40</v>
      </c>
      <c r="E255" s="454" t="s">
        <v>909</v>
      </c>
      <c r="F255" s="539">
        <f t="shared" si="11"/>
        <v>126.48791208791208</v>
      </c>
      <c r="G255" s="540">
        <f t="shared" si="12"/>
        <v>9.7298393913778529</v>
      </c>
      <c r="H255" s="541">
        <f t="shared" si="13"/>
        <v>10686.487912087912</v>
      </c>
      <c r="I255" s="446"/>
    </row>
    <row r="256" spans="2:9" ht="26.1" hidden="1" customHeight="1" thickTop="1" thickBot="1" x14ac:dyDescent="0.4">
      <c r="B256" s="366"/>
      <c r="C256" s="452">
        <v>46103</v>
      </c>
      <c r="D256" s="451">
        <v>41</v>
      </c>
      <c r="E256" s="454" t="s">
        <v>910</v>
      </c>
      <c r="F256" s="539">
        <f t="shared" si="11"/>
        <v>129.65010989010989</v>
      </c>
      <c r="G256" s="540">
        <f t="shared" si="12"/>
        <v>9.9730853761622988</v>
      </c>
      <c r="H256" s="541">
        <f t="shared" si="13"/>
        <v>10689.65010989011</v>
      </c>
      <c r="I256" s="446"/>
    </row>
    <row r="257" spans="2:9" ht="26.1" hidden="1" customHeight="1" thickTop="1" thickBot="1" x14ac:dyDescent="0.4">
      <c r="B257" s="366"/>
      <c r="C257" s="452">
        <v>46104</v>
      </c>
      <c r="D257" s="451">
        <v>42</v>
      </c>
      <c r="E257" s="454" t="s">
        <v>904</v>
      </c>
      <c r="F257" s="539">
        <f t="shared" si="11"/>
        <v>132.81230769230768</v>
      </c>
      <c r="G257" s="540">
        <f t="shared" si="12"/>
        <v>10.216331360946745</v>
      </c>
      <c r="H257" s="541">
        <f t="shared" si="13"/>
        <v>10692.812307692308</v>
      </c>
      <c r="I257" s="446"/>
    </row>
    <row r="258" spans="2:9" ht="26.1" hidden="1" customHeight="1" thickTop="1" thickBot="1" x14ac:dyDescent="0.4">
      <c r="B258" s="366"/>
      <c r="C258" s="452">
        <v>46105</v>
      </c>
      <c r="D258" s="451">
        <v>43</v>
      </c>
      <c r="E258" s="454" t="s">
        <v>905</v>
      </c>
      <c r="F258" s="539">
        <f t="shared" si="11"/>
        <v>135.97450549450548</v>
      </c>
      <c r="G258" s="540">
        <f t="shared" si="12"/>
        <v>10.459577345731191</v>
      </c>
      <c r="H258" s="541">
        <f t="shared" si="13"/>
        <v>10695.974505494505</v>
      </c>
      <c r="I258" s="446"/>
    </row>
    <row r="259" spans="2:9" ht="26.1" hidden="1" customHeight="1" thickTop="1" thickBot="1" x14ac:dyDescent="0.4">
      <c r="B259" s="366"/>
      <c r="C259" s="452">
        <v>46106</v>
      </c>
      <c r="D259" s="451">
        <v>44</v>
      </c>
      <c r="E259" s="454" t="s">
        <v>906</v>
      </c>
      <c r="F259" s="539">
        <f t="shared" si="11"/>
        <v>139.13670329670327</v>
      </c>
      <c r="G259" s="540">
        <f t="shared" si="12"/>
        <v>10.702823330515637</v>
      </c>
      <c r="H259" s="541">
        <f t="shared" si="13"/>
        <v>10699.136703296703</v>
      </c>
      <c r="I259" s="446"/>
    </row>
    <row r="260" spans="2:9" ht="26.1" hidden="1" customHeight="1" thickTop="1" thickBot="1" x14ac:dyDescent="0.4">
      <c r="B260" s="366"/>
      <c r="C260" s="452">
        <v>46107</v>
      </c>
      <c r="D260" s="451">
        <v>45</v>
      </c>
      <c r="E260" s="454" t="s">
        <v>907</v>
      </c>
      <c r="F260" s="539">
        <f t="shared" si="11"/>
        <v>142.2989010989011</v>
      </c>
      <c r="G260" s="540">
        <f t="shared" si="12"/>
        <v>10.946069315300084</v>
      </c>
      <c r="H260" s="541">
        <f t="shared" si="13"/>
        <v>10702.2989010989</v>
      </c>
      <c r="I260" s="446"/>
    </row>
    <row r="261" spans="2:9" ht="26.1" hidden="1" customHeight="1" thickTop="1" thickBot="1" x14ac:dyDescent="0.4">
      <c r="B261" s="366"/>
      <c r="C261" s="452">
        <v>46108</v>
      </c>
      <c r="D261" s="451">
        <v>46</v>
      </c>
      <c r="E261" s="454" t="s">
        <v>908</v>
      </c>
      <c r="F261" s="539">
        <f t="shared" si="11"/>
        <v>145.46109890109889</v>
      </c>
      <c r="G261" s="540">
        <f t="shared" si="12"/>
        <v>11.18931530008453</v>
      </c>
      <c r="H261" s="541">
        <f t="shared" si="13"/>
        <v>10705.461098901098</v>
      </c>
      <c r="I261" s="446"/>
    </row>
    <row r="262" spans="2:9" ht="26.1" hidden="1" customHeight="1" thickTop="1" thickBot="1" x14ac:dyDescent="0.4">
      <c r="B262" s="366"/>
      <c r="C262" s="452">
        <v>46109</v>
      </c>
      <c r="D262" s="451">
        <v>47</v>
      </c>
      <c r="E262" s="454" t="s">
        <v>909</v>
      </c>
      <c r="F262" s="539">
        <f t="shared" si="11"/>
        <v>148.62329670329669</v>
      </c>
      <c r="G262" s="540">
        <f t="shared" si="12"/>
        <v>11.432561284868976</v>
      </c>
      <c r="H262" s="541">
        <f t="shared" si="13"/>
        <v>10708.623296703297</v>
      </c>
      <c r="I262" s="446"/>
    </row>
    <row r="263" spans="2:9" ht="26.1" hidden="1" customHeight="1" thickTop="1" thickBot="1" x14ac:dyDescent="0.4">
      <c r="B263" s="366"/>
      <c r="C263" s="452">
        <v>46110</v>
      </c>
      <c r="D263" s="451">
        <v>48</v>
      </c>
      <c r="E263" s="454" t="s">
        <v>910</v>
      </c>
      <c r="F263" s="539">
        <f t="shared" si="11"/>
        <v>151.78549450549448</v>
      </c>
      <c r="G263" s="540">
        <f t="shared" si="12"/>
        <v>11.675807269653422</v>
      </c>
      <c r="H263" s="541">
        <f t="shared" si="13"/>
        <v>10711.785494505495</v>
      </c>
      <c r="I263" s="446"/>
    </row>
    <row r="264" spans="2:9" ht="26.1" hidden="1" customHeight="1" thickTop="1" thickBot="1" x14ac:dyDescent="0.4">
      <c r="B264" s="366"/>
      <c r="C264" s="452">
        <v>46111</v>
      </c>
      <c r="D264" s="451">
        <v>49</v>
      </c>
      <c r="E264" s="454" t="s">
        <v>904</v>
      </c>
      <c r="F264" s="539">
        <f t="shared" si="11"/>
        <v>154.94769230769228</v>
      </c>
      <c r="G264" s="540">
        <f t="shared" si="12"/>
        <v>11.919053254437868</v>
      </c>
      <c r="H264" s="541">
        <f t="shared" si="13"/>
        <v>10714.947692307693</v>
      </c>
      <c r="I264" s="446"/>
    </row>
    <row r="265" spans="2:9" ht="26.1" hidden="1" customHeight="1" thickTop="1" thickBot="1" x14ac:dyDescent="0.4">
      <c r="B265" s="366"/>
      <c r="C265" s="452">
        <v>46112</v>
      </c>
      <c r="D265" s="451">
        <v>50</v>
      </c>
      <c r="E265" s="454" t="s">
        <v>905</v>
      </c>
      <c r="F265" s="539">
        <f t="shared" si="11"/>
        <v>158.1098901098901</v>
      </c>
      <c r="G265" s="540">
        <f t="shared" si="12"/>
        <v>12.162299239222316</v>
      </c>
      <c r="H265" s="541">
        <f t="shared" si="13"/>
        <v>10718.10989010989</v>
      </c>
      <c r="I265" s="446"/>
    </row>
    <row r="266" spans="2:9" ht="26.1" hidden="1" customHeight="1" thickTop="1" thickBot="1" x14ac:dyDescent="0.4">
      <c r="B266" s="366"/>
      <c r="C266" s="452">
        <v>46113</v>
      </c>
      <c r="D266" s="451">
        <v>51</v>
      </c>
      <c r="E266" s="454" t="s">
        <v>906</v>
      </c>
      <c r="F266" s="539">
        <f t="shared" si="11"/>
        <v>161.2720879120879</v>
      </c>
      <c r="G266" s="540">
        <f t="shared" si="12"/>
        <v>12.405545224006762</v>
      </c>
      <c r="H266" s="541">
        <f t="shared" si="13"/>
        <v>10721.272087912088</v>
      </c>
      <c r="I266" s="446"/>
    </row>
    <row r="267" spans="2:9" ht="26.1" hidden="1" customHeight="1" thickTop="1" thickBot="1" x14ac:dyDescent="0.4">
      <c r="B267" s="366"/>
      <c r="C267" s="452">
        <v>46114</v>
      </c>
      <c r="D267" s="451">
        <v>52</v>
      </c>
      <c r="E267" s="454" t="s">
        <v>907</v>
      </c>
      <c r="F267" s="539">
        <f t="shared" si="11"/>
        <v>164.43428571428569</v>
      </c>
      <c r="G267" s="540">
        <f t="shared" si="12"/>
        <v>12.648791208791208</v>
      </c>
      <c r="H267" s="541">
        <f t="shared" si="13"/>
        <v>10724.434285714286</v>
      </c>
      <c r="I267" s="446"/>
    </row>
    <row r="268" spans="2:9" ht="26.1" hidden="1" customHeight="1" thickTop="1" thickBot="1" x14ac:dyDescent="0.4">
      <c r="B268" s="366"/>
      <c r="C268" s="452">
        <v>46115</v>
      </c>
      <c r="D268" s="451">
        <v>53</v>
      </c>
      <c r="E268" s="454" t="s">
        <v>908</v>
      </c>
      <c r="F268" s="539">
        <f t="shared" si="11"/>
        <v>167.59648351648349</v>
      </c>
      <c r="G268" s="540">
        <f t="shared" si="12"/>
        <v>12.892037193575653</v>
      </c>
      <c r="H268" s="541">
        <f t="shared" si="13"/>
        <v>10727.596483516483</v>
      </c>
      <c r="I268" s="446"/>
    </row>
    <row r="269" spans="2:9" ht="26.1" hidden="1" customHeight="1" thickTop="1" thickBot="1" x14ac:dyDescent="0.4">
      <c r="B269" s="366"/>
      <c r="C269" s="452">
        <v>46116</v>
      </c>
      <c r="D269" s="451">
        <v>54</v>
      </c>
      <c r="E269" s="454" t="s">
        <v>909</v>
      </c>
      <c r="F269" s="539">
        <f t="shared" si="11"/>
        <v>170.75868131868131</v>
      </c>
      <c r="G269" s="540">
        <f t="shared" si="12"/>
        <v>13.135283178360101</v>
      </c>
      <c r="H269" s="541">
        <f t="shared" si="13"/>
        <v>10730.758681318681</v>
      </c>
      <c r="I269" s="446"/>
    </row>
    <row r="270" spans="2:9" ht="26.1" hidden="1" customHeight="1" thickTop="1" thickBot="1" x14ac:dyDescent="0.4">
      <c r="B270" s="366"/>
      <c r="C270" s="452">
        <v>46117</v>
      </c>
      <c r="D270" s="451">
        <v>55</v>
      </c>
      <c r="E270" s="454" t="s">
        <v>910</v>
      </c>
      <c r="F270" s="539">
        <f t="shared" si="11"/>
        <v>173.92087912087911</v>
      </c>
      <c r="G270" s="540">
        <f t="shared" si="12"/>
        <v>13.378529163144547</v>
      </c>
      <c r="H270" s="541">
        <f t="shared" si="13"/>
        <v>10733.920879120878</v>
      </c>
      <c r="I270" s="446"/>
    </row>
    <row r="271" spans="2:9" ht="26.1" hidden="1" customHeight="1" thickTop="1" thickBot="1" x14ac:dyDescent="0.4">
      <c r="B271" s="366"/>
      <c r="C271" s="452">
        <v>46118</v>
      </c>
      <c r="D271" s="451">
        <v>56</v>
      </c>
      <c r="E271" s="454" t="s">
        <v>904</v>
      </c>
      <c r="F271" s="539">
        <f t="shared" si="11"/>
        <v>177.0830769230769</v>
      </c>
      <c r="G271" s="540">
        <f t="shared" si="12"/>
        <v>13.621775147928993</v>
      </c>
      <c r="H271" s="541">
        <f t="shared" si="13"/>
        <v>10737.083076923076</v>
      </c>
      <c r="I271" s="446"/>
    </row>
    <row r="272" spans="2:9" ht="26.1" hidden="1" customHeight="1" thickTop="1" thickBot="1" x14ac:dyDescent="0.4">
      <c r="B272" s="366"/>
      <c r="C272" s="452">
        <v>46119</v>
      </c>
      <c r="D272" s="451">
        <v>57</v>
      </c>
      <c r="E272" s="454" t="s">
        <v>905</v>
      </c>
      <c r="F272" s="539">
        <f t="shared" si="11"/>
        <v>180.2452747252747</v>
      </c>
      <c r="G272" s="540">
        <f t="shared" si="12"/>
        <v>13.865021132713439</v>
      </c>
      <c r="H272" s="541">
        <f t="shared" si="13"/>
        <v>10740.245274725276</v>
      </c>
      <c r="I272" s="446"/>
    </row>
    <row r="273" spans="2:9" ht="26.1" hidden="1" customHeight="1" thickTop="1" thickBot="1" x14ac:dyDescent="0.4">
      <c r="B273" s="366"/>
      <c r="C273" s="452">
        <v>46120</v>
      </c>
      <c r="D273" s="451">
        <v>58</v>
      </c>
      <c r="E273" s="454" t="s">
        <v>906</v>
      </c>
      <c r="F273" s="539">
        <f t="shared" si="11"/>
        <v>183.40747252747252</v>
      </c>
      <c r="G273" s="540">
        <f t="shared" si="12"/>
        <v>14.108267117497887</v>
      </c>
      <c r="H273" s="541">
        <f t="shared" si="13"/>
        <v>10743.407472527473</v>
      </c>
      <c r="I273" s="446"/>
    </row>
    <row r="274" spans="2:9" ht="26.1" hidden="1" customHeight="1" thickTop="1" thickBot="1" x14ac:dyDescent="0.4">
      <c r="B274" s="366"/>
      <c r="C274" s="452">
        <v>46121</v>
      </c>
      <c r="D274" s="451">
        <v>59</v>
      </c>
      <c r="E274" s="454" t="s">
        <v>907</v>
      </c>
      <c r="F274" s="539">
        <f t="shared" si="11"/>
        <v>186.56967032967032</v>
      </c>
      <c r="G274" s="540">
        <f t="shared" si="12"/>
        <v>14.351513102282333</v>
      </c>
      <c r="H274" s="541">
        <f t="shared" si="13"/>
        <v>10746.569670329671</v>
      </c>
      <c r="I274" s="446"/>
    </row>
    <row r="275" spans="2:9" ht="26.1" hidden="1" customHeight="1" thickTop="1" thickBot="1" x14ac:dyDescent="0.4">
      <c r="B275" s="366"/>
      <c r="C275" s="452">
        <v>46122</v>
      </c>
      <c r="D275" s="451">
        <v>60</v>
      </c>
      <c r="E275" s="454" t="s">
        <v>908</v>
      </c>
      <c r="F275" s="539">
        <f t="shared" si="11"/>
        <v>189.73186813186811</v>
      </c>
      <c r="G275" s="540">
        <f t="shared" si="12"/>
        <v>14.594759087066778</v>
      </c>
      <c r="H275" s="541">
        <f t="shared" si="13"/>
        <v>10749.731868131868</v>
      </c>
      <c r="I275" s="446"/>
    </row>
    <row r="276" spans="2:9" ht="26.1" hidden="1" customHeight="1" thickTop="1" thickBot="1" x14ac:dyDescent="0.4">
      <c r="B276" s="366"/>
      <c r="C276" s="452">
        <v>46123</v>
      </c>
      <c r="D276" s="451">
        <v>61</v>
      </c>
      <c r="E276" s="454" t="s">
        <v>909</v>
      </c>
      <c r="F276" s="539">
        <f t="shared" si="11"/>
        <v>192.89406593406591</v>
      </c>
      <c r="G276" s="540">
        <f t="shared" si="12"/>
        <v>14.838005071851224</v>
      </c>
      <c r="H276" s="541">
        <f t="shared" si="13"/>
        <v>10752.894065934066</v>
      </c>
      <c r="I276" s="446"/>
    </row>
    <row r="277" spans="2:9" ht="26.1" hidden="1" customHeight="1" thickTop="1" thickBot="1" x14ac:dyDescent="0.4">
      <c r="B277" s="366"/>
      <c r="C277" s="452">
        <v>46124</v>
      </c>
      <c r="D277" s="451">
        <v>62</v>
      </c>
      <c r="E277" s="454" t="s">
        <v>910</v>
      </c>
      <c r="F277" s="539">
        <f t="shared" si="11"/>
        <v>196.05626373626373</v>
      </c>
      <c r="G277" s="540">
        <f t="shared" si="12"/>
        <v>15.081251056635672</v>
      </c>
      <c r="H277" s="541">
        <f t="shared" si="13"/>
        <v>10756.056263736264</v>
      </c>
      <c r="I277" s="446"/>
    </row>
    <row r="278" spans="2:9" ht="26.1" hidden="1" customHeight="1" thickTop="1" thickBot="1" x14ac:dyDescent="0.4">
      <c r="B278" s="366"/>
      <c r="C278" s="452">
        <v>46125</v>
      </c>
      <c r="D278" s="451">
        <v>63</v>
      </c>
      <c r="E278" s="454" t="s">
        <v>904</v>
      </c>
      <c r="F278" s="539">
        <f t="shared" si="11"/>
        <v>199.21846153846153</v>
      </c>
      <c r="G278" s="540">
        <f t="shared" si="12"/>
        <v>15.324497041420118</v>
      </c>
      <c r="H278" s="541">
        <f t="shared" si="13"/>
        <v>10759.218461538461</v>
      </c>
      <c r="I278" s="446"/>
    </row>
    <row r="279" spans="2:9" ht="26.1" hidden="1" customHeight="1" thickTop="1" thickBot="1" x14ac:dyDescent="0.4">
      <c r="B279" s="366"/>
      <c r="C279" s="452">
        <v>46126</v>
      </c>
      <c r="D279" s="451">
        <v>64</v>
      </c>
      <c r="E279" s="454" t="s">
        <v>905</v>
      </c>
      <c r="F279" s="539">
        <f t="shared" si="11"/>
        <v>202.38065934065932</v>
      </c>
      <c r="G279" s="540">
        <f t="shared" si="12"/>
        <v>15.567743026204564</v>
      </c>
      <c r="H279" s="541">
        <f t="shared" si="13"/>
        <v>10762.380659340659</v>
      </c>
      <c r="I279" s="446"/>
    </row>
    <row r="280" spans="2:9" ht="26.1" hidden="1" customHeight="1" thickTop="1" thickBot="1" x14ac:dyDescent="0.4">
      <c r="B280" s="366"/>
      <c r="C280" s="452">
        <v>46127</v>
      </c>
      <c r="D280" s="451">
        <v>65</v>
      </c>
      <c r="E280" s="454" t="s">
        <v>906</v>
      </c>
      <c r="F280" s="539">
        <f t="shared" si="11"/>
        <v>205.54285714285712</v>
      </c>
      <c r="G280" s="540">
        <f t="shared" si="12"/>
        <v>15.810989010989008</v>
      </c>
      <c r="H280" s="541">
        <f t="shared" si="13"/>
        <v>10765.542857142857</v>
      </c>
      <c r="I280" s="446"/>
    </row>
    <row r="281" spans="2:9" ht="26.1" hidden="1" customHeight="1" thickTop="1" thickBot="1" x14ac:dyDescent="0.4">
      <c r="B281" s="366"/>
      <c r="C281" s="452">
        <v>46128</v>
      </c>
      <c r="D281" s="451">
        <v>66</v>
      </c>
      <c r="E281" s="454" t="s">
        <v>907</v>
      </c>
      <c r="F281" s="539">
        <f t="shared" ref="F281:F344" si="14">$E$208/$F$210*D281</f>
        <v>208.70505494505491</v>
      </c>
      <c r="G281" s="540">
        <f t="shared" ref="G281:G344" si="15">F281/$C$212</f>
        <v>16.054234995773456</v>
      </c>
      <c r="H281" s="541">
        <f t="shared" ref="H281:H344" si="16">$C$208+F281</f>
        <v>10768.705054945054</v>
      </c>
      <c r="I281" s="446"/>
    </row>
    <row r="282" spans="2:9" ht="26.1" hidden="1" customHeight="1" thickTop="1" thickBot="1" x14ac:dyDescent="0.4">
      <c r="B282" s="366"/>
      <c r="C282" s="452">
        <v>46129</v>
      </c>
      <c r="D282" s="451">
        <v>67</v>
      </c>
      <c r="E282" s="454" t="s">
        <v>908</v>
      </c>
      <c r="F282" s="539">
        <f t="shared" si="14"/>
        <v>211.86725274725273</v>
      </c>
      <c r="G282" s="540">
        <f t="shared" si="15"/>
        <v>16.297480980557904</v>
      </c>
      <c r="H282" s="541">
        <f t="shared" si="16"/>
        <v>10771.867252747254</v>
      </c>
      <c r="I282" s="446"/>
    </row>
    <row r="283" spans="2:9" ht="26.1" hidden="1" customHeight="1" thickTop="1" thickBot="1" x14ac:dyDescent="0.4">
      <c r="B283" s="366"/>
      <c r="C283" s="452">
        <v>46130</v>
      </c>
      <c r="D283" s="451">
        <v>68</v>
      </c>
      <c r="E283" s="454" t="s">
        <v>909</v>
      </c>
      <c r="F283" s="539">
        <f t="shared" si="14"/>
        <v>215.02945054945053</v>
      </c>
      <c r="G283" s="540">
        <f t="shared" si="15"/>
        <v>16.540726965342348</v>
      </c>
      <c r="H283" s="541">
        <f t="shared" si="16"/>
        <v>10775.029450549451</v>
      </c>
      <c r="I283" s="446"/>
    </row>
    <row r="284" spans="2:9" ht="26.1" hidden="1" customHeight="1" thickTop="1" thickBot="1" x14ac:dyDescent="0.4">
      <c r="B284" s="366"/>
      <c r="C284" s="452">
        <v>46131</v>
      </c>
      <c r="D284" s="451">
        <v>69</v>
      </c>
      <c r="E284" s="454" t="s">
        <v>910</v>
      </c>
      <c r="F284" s="539">
        <f t="shared" si="14"/>
        <v>218.19164835164833</v>
      </c>
      <c r="G284" s="540">
        <f t="shared" si="15"/>
        <v>16.783972950126795</v>
      </c>
      <c r="H284" s="541">
        <f t="shared" si="16"/>
        <v>10778.191648351649</v>
      </c>
      <c r="I284" s="446"/>
    </row>
    <row r="285" spans="2:9" ht="26.1" hidden="1" customHeight="1" thickTop="1" thickBot="1" x14ac:dyDescent="0.4">
      <c r="B285" s="366"/>
      <c r="C285" s="452">
        <v>46132</v>
      </c>
      <c r="D285" s="451">
        <v>70</v>
      </c>
      <c r="E285" s="454" t="s">
        <v>904</v>
      </c>
      <c r="F285" s="539">
        <f t="shared" si="14"/>
        <v>221.35384615384612</v>
      </c>
      <c r="G285" s="540">
        <f t="shared" si="15"/>
        <v>17.02721893491124</v>
      </c>
      <c r="H285" s="541">
        <f t="shared" si="16"/>
        <v>10781.353846153846</v>
      </c>
      <c r="I285" s="446"/>
    </row>
    <row r="286" spans="2:9" ht="26.1" hidden="1" customHeight="1" thickTop="1" thickBot="1" x14ac:dyDescent="0.4">
      <c r="B286" s="366"/>
      <c r="C286" s="452">
        <v>46133</v>
      </c>
      <c r="D286" s="451">
        <v>71</v>
      </c>
      <c r="E286" s="454" t="s">
        <v>905</v>
      </c>
      <c r="F286" s="539">
        <f t="shared" si="14"/>
        <v>224.51604395604394</v>
      </c>
      <c r="G286" s="540">
        <f t="shared" si="15"/>
        <v>17.270464919695687</v>
      </c>
      <c r="H286" s="541">
        <f t="shared" si="16"/>
        <v>10784.516043956044</v>
      </c>
      <c r="I286" s="446"/>
    </row>
    <row r="287" spans="2:9" ht="26.1" hidden="1" customHeight="1" thickTop="1" thickBot="1" x14ac:dyDescent="0.4">
      <c r="B287" s="366"/>
      <c r="C287" s="452">
        <v>46134</v>
      </c>
      <c r="D287" s="451">
        <v>72</v>
      </c>
      <c r="E287" s="454" t="s">
        <v>906</v>
      </c>
      <c r="F287" s="539">
        <f t="shared" si="14"/>
        <v>227.67824175824174</v>
      </c>
      <c r="G287" s="540">
        <f t="shared" si="15"/>
        <v>17.513710904480135</v>
      </c>
      <c r="H287" s="541">
        <f t="shared" si="16"/>
        <v>10787.678241758242</v>
      </c>
      <c r="I287" s="446"/>
    </row>
    <row r="288" spans="2:9" ht="26.1" hidden="1" customHeight="1" thickTop="1" thickBot="1" x14ac:dyDescent="0.4">
      <c r="B288" s="366"/>
      <c r="C288" s="452">
        <v>46135</v>
      </c>
      <c r="D288" s="451">
        <v>73</v>
      </c>
      <c r="E288" s="454" t="s">
        <v>907</v>
      </c>
      <c r="F288" s="539">
        <f t="shared" si="14"/>
        <v>230.84043956043953</v>
      </c>
      <c r="G288" s="540">
        <f t="shared" si="15"/>
        <v>17.756956889264579</v>
      </c>
      <c r="H288" s="541">
        <f t="shared" si="16"/>
        <v>10790.840439560439</v>
      </c>
      <c r="I288" s="446"/>
    </row>
    <row r="289" spans="2:9" ht="26.1" hidden="1" customHeight="1" thickTop="1" thickBot="1" x14ac:dyDescent="0.4">
      <c r="B289" s="366"/>
      <c r="C289" s="452">
        <v>46136</v>
      </c>
      <c r="D289" s="451">
        <v>74</v>
      </c>
      <c r="E289" s="454" t="s">
        <v>908</v>
      </c>
      <c r="F289" s="539">
        <f t="shared" si="14"/>
        <v>234.00263736263733</v>
      </c>
      <c r="G289" s="540">
        <f t="shared" si="15"/>
        <v>18.000202874049027</v>
      </c>
      <c r="H289" s="541">
        <f t="shared" si="16"/>
        <v>10794.002637362637</v>
      </c>
      <c r="I289" s="446"/>
    </row>
    <row r="290" spans="2:9" ht="26.1" hidden="1" customHeight="1" thickTop="1" thickBot="1" x14ac:dyDescent="0.4">
      <c r="B290" s="366"/>
      <c r="C290" s="452">
        <v>46137</v>
      </c>
      <c r="D290" s="451">
        <v>75</v>
      </c>
      <c r="E290" s="454" t="s">
        <v>909</v>
      </c>
      <c r="F290" s="539">
        <f t="shared" si="14"/>
        <v>237.16483516483515</v>
      </c>
      <c r="G290" s="540">
        <f t="shared" si="15"/>
        <v>18.243448858833474</v>
      </c>
      <c r="H290" s="541">
        <f t="shared" si="16"/>
        <v>10797.164835164835</v>
      </c>
      <c r="I290" s="446"/>
    </row>
    <row r="291" spans="2:9" ht="26.1" hidden="1" customHeight="1" thickTop="1" thickBot="1" x14ac:dyDescent="0.4">
      <c r="B291" s="366"/>
      <c r="C291" s="452">
        <v>46138</v>
      </c>
      <c r="D291" s="451">
        <v>76</v>
      </c>
      <c r="E291" s="454" t="s">
        <v>910</v>
      </c>
      <c r="F291" s="539">
        <f t="shared" si="14"/>
        <v>240.32703296703295</v>
      </c>
      <c r="G291" s="540">
        <f t="shared" si="15"/>
        <v>18.486694843617919</v>
      </c>
      <c r="H291" s="541">
        <f t="shared" si="16"/>
        <v>10800.327032967032</v>
      </c>
      <c r="I291" s="446"/>
    </row>
    <row r="292" spans="2:9" ht="26.1" hidden="1" customHeight="1" thickTop="1" thickBot="1" x14ac:dyDescent="0.4">
      <c r="B292" s="366"/>
      <c r="C292" s="452">
        <v>46139</v>
      </c>
      <c r="D292" s="451">
        <v>77</v>
      </c>
      <c r="E292" s="454" t="s">
        <v>904</v>
      </c>
      <c r="F292" s="539">
        <f t="shared" si="14"/>
        <v>243.48923076923074</v>
      </c>
      <c r="G292" s="540">
        <f t="shared" si="15"/>
        <v>18.729940828402366</v>
      </c>
      <c r="H292" s="541">
        <f t="shared" si="16"/>
        <v>10803.489230769232</v>
      </c>
      <c r="I292" s="446"/>
    </row>
    <row r="293" spans="2:9" ht="26.1" hidden="1" customHeight="1" thickTop="1" thickBot="1" x14ac:dyDescent="0.4">
      <c r="B293" s="366"/>
      <c r="C293" s="452">
        <v>46140</v>
      </c>
      <c r="D293" s="451">
        <v>78</v>
      </c>
      <c r="E293" s="454" t="s">
        <v>905</v>
      </c>
      <c r="F293" s="539">
        <f t="shared" si="14"/>
        <v>246.65142857142854</v>
      </c>
      <c r="G293" s="540">
        <f t="shared" si="15"/>
        <v>18.97318681318681</v>
      </c>
      <c r="H293" s="541">
        <f t="shared" si="16"/>
        <v>10806.651428571429</v>
      </c>
      <c r="I293" s="446"/>
    </row>
    <row r="294" spans="2:9" ht="26.1" hidden="1" customHeight="1" thickTop="1" thickBot="1" x14ac:dyDescent="0.4">
      <c r="B294" s="366"/>
      <c r="C294" s="452">
        <v>46141</v>
      </c>
      <c r="D294" s="451">
        <v>79</v>
      </c>
      <c r="E294" s="454" t="s">
        <v>906</v>
      </c>
      <c r="F294" s="539">
        <f t="shared" si="14"/>
        <v>249.81362637362636</v>
      </c>
      <c r="G294" s="540">
        <f t="shared" si="15"/>
        <v>19.216432797971258</v>
      </c>
      <c r="H294" s="541">
        <f t="shared" si="16"/>
        <v>10809.813626373627</v>
      </c>
      <c r="I294" s="446"/>
    </row>
    <row r="295" spans="2:9" ht="26.1" hidden="1" customHeight="1" thickTop="1" thickBot="1" x14ac:dyDescent="0.4">
      <c r="B295" s="366"/>
      <c r="C295" s="452">
        <v>46142</v>
      </c>
      <c r="D295" s="451">
        <v>80</v>
      </c>
      <c r="E295" s="454" t="s">
        <v>907</v>
      </c>
      <c r="F295" s="539">
        <f t="shared" si="14"/>
        <v>252.97582417582416</v>
      </c>
      <c r="G295" s="540">
        <f t="shared" si="15"/>
        <v>19.459678782755706</v>
      </c>
      <c r="H295" s="541">
        <f t="shared" si="16"/>
        <v>10812.975824175825</v>
      </c>
      <c r="I295" s="446"/>
    </row>
    <row r="296" spans="2:9" ht="26.1" hidden="1" customHeight="1" thickTop="1" thickBot="1" x14ac:dyDescent="0.4">
      <c r="B296" s="366"/>
      <c r="C296" s="452">
        <v>46143</v>
      </c>
      <c r="D296" s="451">
        <v>81</v>
      </c>
      <c r="E296" s="454" t="s">
        <v>908</v>
      </c>
      <c r="F296" s="539">
        <f t="shared" si="14"/>
        <v>256.13802197802192</v>
      </c>
      <c r="G296" s="540">
        <f t="shared" si="15"/>
        <v>19.702924767540146</v>
      </c>
      <c r="H296" s="541">
        <f t="shared" si="16"/>
        <v>10816.138021978022</v>
      </c>
      <c r="I296" s="446"/>
    </row>
    <row r="297" spans="2:9" ht="26.1" hidden="1" customHeight="1" thickTop="1" thickBot="1" x14ac:dyDescent="0.4">
      <c r="B297" s="366"/>
      <c r="C297" s="452">
        <v>46144</v>
      </c>
      <c r="D297" s="451">
        <v>82</v>
      </c>
      <c r="E297" s="454" t="s">
        <v>909</v>
      </c>
      <c r="F297" s="539">
        <f t="shared" si="14"/>
        <v>259.30021978021978</v>
      </c>
      <c r="G297" s="540">
        <f t="shared" si="15"/>
        <v>19.946170752324598</v>
      </c>
      <c r="H297" s="541">
        <f t="shared" si="16"/>
        <v>10819.30021978022</v>
      </c>
      <c r="I297" s="446"/>
    </row>
    <row r="298" spans="2:9" ht="26.1" hidden="1" customHeight="1" thickTop="1" thickBot="1" x14ac:dyDescent="0.4">
      <c r="B298" s="366"/>
      <c r="C298" s="452">
        <v>46145</v>
      </c>
      <c r="D298" s="451">
        <v>83</v>
      </c>
      <c r="E298" s="454" t="s">
        <v>910</v>
      </c>
      <c r="F298" s="539">
        <f t="shared" si="14"/>
        <v>262.46241758241757</v>
      </c>
      <c r="G298" s="540">
        <f t="shared" si="15"/>
        <v>20.189416737109045</v>
      </c>
      <c r="H298" s="541">
        <f t="shared" si="16"/>
        <v>10822.462417582417</v>
      </c>
      <c r="I298" s="446"/>
    </row>
    <row r="299" spans="2:9" ht="26.1" hidden="1" customHeight="1" thickTop="1" thickBot="1" x14ac:dyDescent="0.4">
      <c r="B299" s="366"/>
      <c r="C299" s="452">
        <v>46146</v>
      </c>
      <c r="D299" s="451">
        <v>84</v>
      </c>
      <c r="E299" s="454" t="s">
        <v>904</v>
      </c>
      <c r="F299" s="539">
        <f t="shared" si="14"/>
        <v>265.62461538461537</v>
      </c>
      <c r="G299" s="540">
        <f t="shared" si="15"/>
        <v>20.43266272189349</v>
      </c>
      <c r="H299" s="541">
        <f t="shared" si="16"/>
        <v>10825.624615384615</v>
      </c>
      <c r="I299" s="446"/>
    </row>
    <row r="300" spans="2:9" ht="26.1" hidden="1" customHeight="1" thickTop="1" thickBot="1" x14ac:dyDescent="0.4">
      <c r="B300" s="366"/>
      <c r="C300" s="452">
        <v>46147</v>
      </c>
      <c r="D300" s="451">
        <v>85</v>
      </c>
      <c r="E300" s="454" t="s">
        <v>905</v>
      </c>
      <c r="F300" s="539">
        <f t="shared" si="14"/>
        <v>268.78681318681316</v>
      </c>
      <c r="G300" s="540">
        <f t="shared" si="15"/>
        <v>20.675908706677937</v>
      </c>
      <c r="H300" s="541">
        <f t="shared" si="16"/>
        <v>10828.786813186813</v>
      </c>
      <c r="I300" s="446"/>
    </row>
    <row r="301" spans="2:9" ht="26.1" hidden="1" customHeight="1" thickTop="1" thickBot="1" x14ac:dyDescent="0.4">
      <c r="B301" s="366"/>
      <c r="C301" s="452">
        <v>46148</v>
      </c>
      <c r="D301" s="451">
        <v>86</v>
      </c>
      <c r="E301" s="454" t="s">
        <v>906</v>
      </c>
      <c r="F301" s="539">
        <f t="shared" si="14"/>
        <v>271.94901098901096</v>
      </c>
      <c r="G301" s="540">
        <f t="shared" si="15"/>
        <v>20.919154691462381</v>
      </c>
      <c r="H301" s="541">
        <f t="shared" si="16"/>
        <v>10831.94901098901</v>
      </c>
      <c r="I301" s="446"/>
    </row>
    <row r="302" spans="2:9" ht="26.1" hidden="1" customHeight="1" thickTop="1" thickBot="1" x14ac:dyDescent="0.4">
      <c r="B302" s="366"/>
      <c r="C302" s="452">
        <v>46149</v>
      </c>
      <c r="D302" s="451">
        <v>87</v>
      </c>
      <c r="E302" s="454" t="s">
        <v>907</v>
      </c>
      <c r="F302" s="539">
        <f t="shared" si="14"/>
        <v>275.11120879120875</v>
      </c>
      <c r="G302" s="540">
        <f t="shared" si="15"/>
        <v>21.162400676246826</v>
      </c>
      <c r="H302" s="541">
        <f t="shared" si="16"/>
        <v>10835.111208791208</v>
      </c>
      <c r="I302" s="446"/>
    </row>
    <row r="303" spans="2:9" ht="26.1" hidden="1" customHeight="1" thickTop="1" thickBot="1" x14ac:dyDescent="0.4">
      <c r="B303" s="366"/>
      <c r="C303" s="452">
        <v>46150</v>
      </c>
      <c r="D303" s="451">
        <v>88</v>
      </c>
      <c r="E303" s="454" t="s">
        <v>908</v>
      </c>
      <c r="F303" s="539">
        <f t="shared" si="14"/>
        <v>278.27340659340655</v>
      </c>
      <c r="G303" s="540">
        <f t="shared" si="15"/>
        <v>21.405646661031273</v>
      </c>
      <c r="H303" s="541">
        <f t="shared" si="16"/>
        <v>10838.273406593407</v>
      </c>
      <c r="I303" s="446"/>
    </row>
    <row r="304" spans="2:9" ht="26.1" hidden="1" customHeight="1" thickTop="1" thickBot="1" x14ac:dyDescent="0.4">
      <c r="B304" s="366"/>
      <c r="C304" s="452">
        <v>46151</v>
      </c>
      <c r="D304" s="451">
        <v>89</v>
      </c>
      <c r="E304" s="454" t="s">
        <v>909</v>
      </c>
      <c r="F304" s="539">
        <f t="shared" si="14"/>
        <v>281.43560439560434</v>
      </c>
      <c r="G304" s="540">
        <f t="shared" si="15"/>
        <v>21.648892645815717</v>
      </c>
      <c r="H304" s="541">
        <f t="shared" si="16"/>
        <v>10841.435604395605</v>
      </c>
      <c r="I304" s="446"/>
    </row>
    <row r="305" spans="2:9" ht="26.1" hidden="1" customHeight="1" thickTop="1" thickBot="1" x14ac:dyDescent="0.4">
      <c r="B305" s="366"/>
      <c r="C305" s="452">
        <v>46152</v>
      </c>
      <c r="D305" s="451">
        <v>90</v>
      </c>
      <c r="E305" s="454" t="s">
        <v>910</v>
      </c>
      <c r="F305" s="539">
        <f t="shared" si="14"/>
        <v>284.5978021978022</v>
      </c>
      <c r="G305" s="540">
        <f t="shared" si="15"/>
        <v>21.892138630600169</v>
      </c>
      <c r="H305" s="541">
        <f t="shared" si="16"/>
        <v>10844.597802197803</v>
      </c>
      <c r="I305" s="446"/>
    </row>
    <row r="306" spans="2:9" ht="26.1" hidden="1" customHeight="1" thickTop="1" thickBot="1" x14ac:dyDescent="0.4">
      <c r="B306" s="366"/>
      <c r="C306" s="452">
        <v>46153</v>
      </c>
      <c r="D306" s="451">
        <v>91</v>
      </c>
      <c r="E306" s="454" t="s">
        <v>904</v>
      </c>
      <c r="F306" s="539">
        <f t="shared" si="14"/>
        <v>287.76</v>
      </c>
      <c r="G306" s="540">
        <f t="shared" si="15"/>
        <v>22.135384615384616</v>
      </c>
      <c r="H306" s="541">
        <f t="shared" si="16"/>
        <v>10847.76</v>
      </c>
      <c r="I306" s="446"/>
    </row>
    <row r="307" spans="2:9" ht="26.1" hidden="1" customHeight="1" thickTop="1" thickBot="1" x14ac:dyDescent="0.4">
      <c r="B307" s="366"/>
      <c r="C307" s="452">
        <v>46154</v>
      </c>
      <c r="D307" s="451">
        <v>92</v>
      </c>
      <c r="E307" s="454" t="s">
        <v>905</v>
      </c>
      <c r="F307" s="539">
        <f t="shared" si="14"/>
        <v>290.92219780219779</v>
      </c>
      <c r="G307" s="540">
        <f t="shared" si="15"/>
        <v>22.37863060016906</v>
      </c>
      <c r="H307" s="541">
        <f t="shared" si="16"/>
        <v>10850.922197802198</v>
      </c>
      <c r="I307" s="446"/>
    </row>
    <row r="308" spans="2:9" ht="26.1" hidden="1" customHeight="1" thickTop="1" thickBot="1" x14ac:dyDescent="0.4">
      <c r="B308" s="366"/>
      <c r="C308" s="452">
        <v>46155</v>
      </c>
      <c r="D308" s="451">
        <v>93</v>
      </c>
      <c r="E308" s="454" t="s">
        <v>906</v>
      </c>
      <c r="F308" s="539">
        <f t="shared" si="14"/>
        <v>294.08439560439558</v>
      </c>
      <c r="G308" s="540">
        <f t="shared" si="15"/>
        <v>22.621876584953505</v>
      </c>
      <c r="H308" s="541">
        <f t="shared" si="16"/>
        <v>10854.084395604395</v>
      </c>
      <c r="I308" s="446"/>
    </row>
    <row r="309" spans="2:9" ht="26.1" hidden="1" customHeight="1" thickTop="1" thickBot="1" x14ac:dyDescent="0.4">
      <c r="B309" s="366"/>
      <c r="C309" s="452">
        <v>46156</v>
      </c>
      <c r="D309" s="451">
        <v>94</v>
      </c>
      <c r="E309" s="454" t="s">
        <v>907</v>
      </c>
      <c r="F309" s="539">
        <f t="shared" si="14"/>
        <v>297.24659340659338</v>
      </c>
      <c r="G309" s="540">
        <f t="shared" si="15"/>
        <v>22.865122569737952</v>
      </c>
      <c r="H309" s="541">
        <f t="shared" si="16"/>
        <v>10857.246593406593</v>
      </c>
      <c r="I309" s="446"/>
    </row>
    <row r="310" spans="2:9" ht="26.1" hidden="1" customHeight="1" thickTop="1" thickBot="1" x14ac:dyDescent="0.4">
      <c r="B310" s="366"/>
      <c r="C310" s="452">
        <v>46157</v>
      </c>
      <c r="D310" s="451">
        <v>95</v>
      </c>
      <c r="E310" s="454" t="s">
        <v>908</v>
      </c>
      <c r="F310" s="539">
        <f t="shared" si="14"/>
        <v>300.40879120879117</v>
      </c>
      <c r="G310" s="540">
        <f t="shared" si="15"/>
        <v>23.108368554522396</v>
      </c>
      <c r="H310" s="541">
        <f t="shared" si="16"/>
        <v>10860.408791208791</v>
      </c>
      <c r="I310" s="446"/>
    </row>
    <row r="311" spans="2:9" ht="26.1" hidden="1" customHeight="1" thickTop="1" thickBot="1" x14ac:dyDescent="0.4">
      <c r="B311" s="366"/>
      <c r="C311" s="452">
        <v>46158</v>
      </c>
      <c r="D311" s="451">
        <v>96</v>
      </c>
      <c r="E311" s="454" t="s">
        <v>909</v>
      </c>
      <c r="F311" s="539">
        <f t="shared" si="14"/>
        <v>303.57098901098897</v>
      </c>
      <c r="G311" s="540">
        <f t="shared" si="15"/>
        <v>23.351614539306844</v>
      </c>
      <c r="H311" s="541">
        <f t="shared" si="16"/>
        <v>10863.570989010988</v>
      </c>
      <c r="I311" s="446"/>
    </row>
    <row r="312" spans="2:9" ht="26.1" hidden="1" customHeight="1" thickTop="1" thickBot="1" x14ac:dyDescent="0.4">
      <c r="B312" s="366"/>
      <c r="C312" s="452">
        <v>46159</v>
      </c>
      <c r="D312" s="451">
        <v>97</v>
      </c>
      <c r="E312" s="454" t="s">
        <v>910</v>
      </c>
      <c r="F312" s="539">
        <f t="shared" si="14"/>
        <v>306.73318681318676</v>
      </c>
      <c r="G312" s="540">
        <f t="shared" si="15"/>
        <v>23.594860524091288</v>
      </c>
      <c r="H312" s="541">
        <f t="shared" si="16"/>
        <v>10866.733186813186</v>
      </c>
      <c r="I312" s="446"/>
    </row>
    <row r="313" spans="2:9" ht="26.1" hidden="1" customHeight="1" thickTop="1" thickBot="1" x14ac:dyDescent="0.4">
      <c r="B313" s="366"/>
      <c r="C313" s="452">
        <v>46160</v>
      </c>
      <c r="D313" s="451">
        <v>98</v>
      </c>
      <c r="E313" s="454" t="s">
        <v>904</v>
      </c>
      <c r="F313" s="539">
        <f t="shared" si="14"/>
        <v>309.89538461538456</v>
      </c>
      <c r="G313" s="540">
        <f t="shared" si="15"/>
        <v>23.838106508875736</v>
      </c>
      <c r="H313" s="541">
        <f t="shared" si="16"/>
        <v>10869.895384615385</v>
      </c>
      <c r="I313" s="446"/>
    </row>
    <row r="314" spans="2:9" ht="26.1" hidden="1" customHeight="1" thickTop="1" thickBot="1" x14ac:dyDescent="0.4">
      <c r="B314" s="366"/>
      <c r="C314" s="452">
        <v>46161</v>
      </c>
      <c r="D314" s="451">
        <v>99</v>
      </c>
      <c r="E314" s="454" t="s">
        <v>905</v>
      </c>
      <c r="F314" s="539">
        <f t="shared" si="14"/>
        <v>313.05758241758241</v>
      </c>
      <c r="G314" s="540">
        <f t="shared" si="15"/>
        <v>24.081352493660184</v>
      </c>
      <c r="H314" s="541">
        <f t="shared" si="16"/>
        <v>10873.057582417583</v>
      </c>
      <c r="I314" s="446"/>
    </row>
    <row r="315" spans="2:9" ht="26.1" hidden="1" customHeight="1" thickTop="1" thickBot="1" x14ac:dyDescent="0.4">
      <c r="B315" s="366"/>
      <c r="C315" s="452">
        <v>46162</v>
      </c>
      <c r="D315" s="451">
        <v>100</v>
      </c>
      <c r="E315" s="454" t="s">
        <v>906</v>
      </c>
      <c r="F315" s="539">
        <f t="shared" si="14"/>
        <v>316.2197802197802</v>
      </c>
      <c r="G315" s="540">
        <f t="shared" si="15"/>
        <v>24.324598478444631</v>
      </c>
      <c r="H315" s="541">
        <f t="shared" si="16"/>
        <v>10876.219780219781</v>
      </c>
      <c r="I315" s="446"/>
    </row>
    <row r="316" spans="2:9" ht="26.1" hidden="1" customHeight="1" thickTop="1" thickBot="1" x14ac:dyDescent="0.4">
      <c r="B316" s="366"/>
      <c r="C316" s="452">
        <v>46163</v>
      </c>
      <c r="D316" s="451">
        <v>101</v>
      </c>
      <c r="E316" s="454" t="s">
        <v>907</v>
      </c>
      <c r="F316" s="539">
        <f t="shared" si="14"/>
        <v>319.381978021978</v>
      </c>
      <c r="G316" s="540">
        <f t="shared" si="15"/>
        <v>24.567844463229076</v>
      </c>
      <c r="H316" s="541">
        <f t="shared" si="16"/>
        <v>10879.381978021978</v>
      </c>
      <c r="I316" s="446"/>
    </row>
    <row r="317" spans="2:9" ht="26.1" hidden="1" customHeight="1" thickTop="1" thickBot="1" x14ac:dyDescent="0.4">
      <c r="B317" s="366"/>
      <c r="C317" s="452">
        <v>46164</v>
      </c>
      <c r="D317" s="451">
        <v>102</v>
      </c>
      <c r="E317" s="454" t="s">
        <v>908</v>
      </c>
      <c r="F317" s="539">
        <f t="shared" si="14"/>
        <v>322.5441758241758</v>
      </c>
      <c r="G317" s="540">
        <f t="shared" si="15"/>
        <v>24.811090448013523</v>
      </c>
      <c r="H317" s="541">
        <f t="shared" si="16"/>
        <v>10882.544175824176</v>
      </c>
      <c r="I317" s="446"/>
    </row>
    <row r="318" spans="2:9" ht="26.1" hidden="1" customHeight="1" thickTop="1" thickBot="1" x14ac:dyDescent="0.4">
      <c r="B318" s="366"/>
      <c r="C318" s="452">
        <v>46165</v>
      </c>
      <c r="D318" s="451">
        <v>103</v>
      </c>
      <c r="E318" s="454" t="s">
        <v>909</v>
      </c>
      <c r="F318" s="539">
        <f t="shared" si="14"/>
        <v>325.70637362637359</v>
      </c>
      <c r="G318" s="540">
        <f t="shared" si="15"/>
        <v>25.054336432797967</v>
      </c>
      <c r="H318" s="541">
        <f t="shared" si="16"/>
        <v>10885.706373626374</v>
      </c>
      <c r="I318" s="446"/>
    </row>
    <row r="319" spans="2:9" ht="26.1" hidden="1" customHeight="1" thickTop="1" thickBot="1" x14ac:dyDescent="0.4">
      <c r="B319" s="366"/>
      <c r="C319" s="452">
        <v>46166</v>
      </c>
      <c r="D319" s="451">
        <v>104</v>
      </c>
      <c r="E319" s="454" t="s">
        <v>910</v>
      </c>
      <c r="F319" s="539">
        <f t="shared" si="14"/>
        <v>328.86857142857139</v>
      </c>
      <c r="G319" s="540">
        <f t="shared" si="15"/>
        <v>25.297582417582415</v>
      </c>
      <c r="H319" s="541">
        <f t="shared" si="16"/>
        <v>10888.868571428571</v>
      </c>
      <c r="I319" s="446"/>
    </row>
    <row r="320" spans="2:9" ht="26.1" hidden="1" customHeight="1" thickTop="1" thickBot="1" x14ac:dyDescent="0.4">
      <c r="B320" s="366"/>
      <c r="C320" s="452">
        <v>46167</v>
      </c>
      <c r="D320" s="451">
        <v>105</v>
      </c>
      <c r="E320" s="454" t="s">
        <v>904</v>
      </c>
      <c r="F320" s="539">
        <f t="shared" si="14"/>
        <v>332.03076923076918</v>
      </c>
      <c r="G320" s="540">
        <f t="shared" si="15"/>
        <v>25.540828402366859</v>
      </c>
      <c r="H320" s="541">
        <f t="shared" si="16"/>
        <v>10892.030769230769</v>
      </c>
      <c r="I320" s="446"/>
    </row>
    <row r="321" spans="2:9" ht="26.1" hidden="1" customHeight="1" thickTop="1" thickBot="1" x14ac:dyDescent="0.4">
      <c r="B321" s="366"/>
      <c r="C321" s="452">
        <v>46168</v>
      </c>
      <c r="D321" s="451">
        <v>106</v>
      </c>
      <c r="E321" s="454" t="s">
        <v>905</v>
      </c>
      <c r="F321" s="539">
        <f t="shared" si="14"/>
        <v>335.19296703296698</v>
      </c>
      <c r="G321" s="540">
        <f t="shared" si="15"/>
        <v>25.784074387151307</v>
      </c>
      <c r="H321" s="541">
        <f t="shared" si="16"/>
        <v>10895.192967032966</v>
      </c>
      <c r="I321" s="446"/>
    </row>
    <row r="322" spans="2:9" ht="26.1" hidden="1" customHeight="1" thickTop="1" thickBot="1" x14ac:dyDescent="0.4">
      <c r="B322" s="366"/>
      <c r="C322" s="452">
        <v>46169</v>
      </c>
      <c r="D322" s="451">
        <v>107</v>
      </c>
      <c r="E322" s="454" t="s">
        <v>906</v>
      </c>
      <c r="F322" s="539">
        <f t="shared" si="14"/>
        <v>338.35516483516483</v>
      </c>
      <c r="G322" s="540">
        <f t="shared" si="15"/>
        <v>26.027320371935755</v>
      </c>
      <c r="H322" s="541">
        <f t="shared" si="16"/>
        <v>10898.355164835164</v>
      </c>
      <c r="I322" s="446"/>
    </row>
    <row r="323" spans="2:9" ht="26.1" hidden="1" customHeight="1" thickTop="1" thickBot="1" x14ac:dyDescent="0.4">
      <c r="B323" s="366"/>
      <c r="C323" s="452">
        <v>46170</v>
      </c>
      <c r="D323" s="451">
        <v>108</v>
      </c>
      <c r="E323" s="454" t="s">
        <v>907</v>
      </c>
      <c r="F323" s="539">
        <f t="shared" si="14"/>
        <v>341.51736263736262</v>
      </c>
      <c r="G323" s="540">
        <f t="shared" si="15"/>
        <v>26.270566356720202</v>
      </c>
      <c r="H323" s="541">
        <f t="shared" si="16"/>
        <v>10901.517362637363</v>
      </c>
      <c r="I323" s="446"/>
    </row>
    <row r="324" spans="2:9" ht="26.1" hidden="1" customHeight="1" thickTop="1" thickBot="1" x14ac:dyDescent="0.4">
      <c r="B324" s="366"/>
      <c r="C324" s="452">
        <v>46171</v>
      </c>
      <c r="D324" s="451">
        <v>109</v>
      </c>
      <c r="E324" s="454" t="s">
        <v>908</v>
      </c>
      <c r="F324" s="539">
        <f t="shared" si="14"/>
        <v>344.67956043956042</v>
      </c>
      <c r="G324" s="540">
        <f t="shared" si="15"/>
        <v>26.513812341504646</v>
      </c>
      <c r="H324" s="541">
        <f t="shared" si="16"/>
        <v>10904.679560439561</v>
      </c>
      <c r="I324" s="446"/>
    </row>
    <row r="325" spans="2:9" ht="26.1" hidden="1" customHeight="1" thickTop="1" thickBot="1" x14ac:dyDescent="0.4">
      <c r="B325" s="366"/>
      <c r="C325" s="452">
        <v>46172</v>
      </c>
      <c r="D325" s="451">
        <v>110</v>
      </c>
      <c r="E325" s="454" t="s">
        <v>909</v>
      </c>
      <c r="F325" s="539">
        <f t="shared" si="14"/>
        <v>347.84175824175821</v>
      </c>
      <c r="G325" s="540">
        <f t="shared" si="15"/>
        <v>26.757058326289094</v>
      </c>
      <c r="H325" s="541">
        <f t="shared" si="16"/>
        <v>10907.841758241759</v>
      </c>
      <c r="I325" s="446"/>
    </row>
    <row r="326" spans="2:9" ht="26.1" hidden="1" customHeight="1" thickTop="1" thickBot="1" x14ac:dyDescent="0.4">
      <c r="B326" s="366"/>
      <c r="C326" s="452">
        <v>46173</v>
      </c>
      <c r="D326" s="451">
        <v>111</v>
      </c>
      <c r="E326" s="454" t="s">
        <v>910</v>
      </c>
      <c r="F326" s="539">
        <f t="shared" si="14"/>
        <v>351.00395604395601</v>
      </c>
      <c r="G326" s="540">
        <f t="shared" si="15"/>
        <v>27.000304311073538</v>
      </c>
      <c r="H326" s="541">
        <f t="shared" si="16"/>
        <v>10911.003956043956</v>
      </c>
      <c r="I326" s="446"/>
    </row>
    <row r="327" spans="2:9" ht="26.1" hidden="1" customHeight="1" thickTop="1" thickBot="1" x14ac:dyDescent="0.4">
      <c r="B327" s="366"/>
      <c r="C327" s="452">
        <v>46174</v>
      </c>
      <c r="D327" s="451">
        <v>112</v>
      </c>
      <c r="E327" s="454" t="s">
        <v>904</v>
      </c>
      <c r="F327" s="539">
        <f t="shared" si="14"/>
        <v>354.1661538461538</v>
      </c>
      <c r="G327" s="540">
        <f t="shared" si="15"/>
        <v>27.243550295857986</v>
      </c>
      <c r="H327" s="541">
        <f t="shared" si="16"/>
        <v>10914.166153846154</v>
      </c>
      <c r="I327" s="446"/>
    </row>
    <row r="328" spans="2:9" ht="26.1" hidden="1" customHeight="1" thickTop="1" thickBot="1" x14ac:dyDescent="0.4">
      <c r="B328" s="366"/>
      <c r="C328" s="452">
        <v>46175</v>
      </c>
      <c r="D328" s="451">
        <v>113</v>
      </c>
      <c r="E328" s="454" t="s">
        <v>905</v>
      </c>
      <c r="F328" s="539">
        <f t="shared" si="14"/>
        <v>357.3283516483516</v>
      </c>
      <c r="G328" s="540">
        <f t="shared" si="15"/>
        <v>27.48679628064243</v>
      </c>
      <c r="H328" s="541">
        <f t="shared" si="16"/>
        <v>10917.328351648352</v>
      </c>
      <c r="I328" s="446"/>
    </row>
    <row r="329" spans="2:9" ht="26.1" hidden="1" customHeight="1" thickTop="1" thickBot="1" x14ac:dyDescent="0.4">
      <c r="B329" s="366"/>
      <c r="C329" s="452">
        <v>46176</v>
      </c>
      <c r="D329" s="451">
        <v>114</v>
      </c>
      <c r="E329" s="454" t="s">
        <v>906</v>
      </c>
      <c r="F329" s="539">
        <f t="shared" si="14"/>
        <v>360.49054945054939</v>
      </c>
      <c r="G329" s="540">
        <f t="shared" si="15"/>
        <v>27.730042265426878</v>
      </c>
      <c r="H329" s="541">
        <f t="shared" si="16"/>
        <v>10920.490549450549</v>
      </c>
      <c r="I329" s="446"/>
    </row>
    <row r="330" spans="2:9" ht="26.1" hidden="1" customHeight="1" thickTop="1" thickBot="1" x14ac:dyDescent="0.4">
      <c r="B330" s="366"/>
      <c r="C330" s="452">
        <v>46177</v>
      </c>
      <c r="D330" s="451">
        <v>115</v>
      </c>
      <c r="E330" s="454" t="s">
        <v>907</v>
      </c>
      <c r="F330" s="539">
        <f t="shared" si="14"/>
        <v>363.65274725274719</v>
      </c>
      <c r="G330" s="540">
        <f t="shared" si="15"/>
        <v>27.973288250211322</v>
      </c>
      <c r="H330" s="541">
        <f t="shared" si="16"/>
        <v>10923.652747252747</v>
      </c>
      <c r="I330" s="446"/>
    </row>
    <row r="331" spans="2:9" ht="26.1" hidden="1" customHeight="1" thickTop="1" thickBot="1" x14ac:dyDescent="0.4">
      <c r="B331" s="366"/>
      <c r="C331" s="452">
        <v>46178</v>
      </c>
      <c r="D331" s="451">
        <v>116</v>
      </c>
      <c r="E331" s="454" t="s">
        <v>908</v>
      </c>
      <c r="F331" s="539">
        <f t="shared" si="14"/>
        <v>366.81494505494504</v>
      </c>
      <c r="G331" s="540">
        <f t="shared" si="15"/>
        <v>28.216534234995773</v>
      </c>
      <c r="H331" s="541">
        <f t="shared" si="16"/>
        <v>10926.814945054944</v>
      </c>
      <c r="I331" s="446"/>
    </row>
    <row r="332" spans="2:9" ht="26.1" hidden="1" customHeight="1" thickTop="1" thickBot="1" x14ac:dyDescent="0.4">
      <c r="B332" s="366"/>
      <c r="C332" s="452">
        <v>46179</v>
      </c>
      <c r="D332" s="451">
        <v>117</v>
      </c>
      <c r="E332" s="454" t="s">
        <v>909</v>
      </c>
      <c r="F332" s="539">
        <f t="shared" si="14"/>
        <v>369.97714285714284</v>
      </c>
      <c r="G332" s="540">
        <f t="shared" si="15"/>
        <v>28.459780219780217</v>
      </c>
      <c r="H332" s="541">
        <f t="shared" si="16"/>
        <v>10929.977142857142</v>
      </c>
      <c r="I332" s="446"/>
    </row>
    <row r="333" spans="2:9" ht="26.1" hidden="1" customHeight="1" thickTop="1" thickBot="1" x14ac:dyDescent="0.4">
      <c r="B333" s="366"/>
      <c r="C333" s="452">
        <v>46180</v>
      </c>
      <c r="D333" s="451">
        <v>118</v>
      </c>
      <c r="E333" s="454" t="s">
        <v>910</v>
      </c>
      <c r="F333" s="539">
        <f t="shared" si="14"/>
        <v>373.13934065934063</v>
      </c>
      <c r="G333" s="540">
        <f t="shared" si="15"/>
        <v>28.703026204564665</v>
      </c>
      <c r="H333" s="541">
        <f t="shared" si="16"/>
        <v>10933.139340659342</v>
      </c>
      <c r="I333" s="446"/>
    </row>
    <row r="334" spans="2:9" ht="26.1" hidden="1" customHeight="1" thickTop="1" thickBot="1" x14ac:dyDescent="0.4">
      <c r="B334" s="366"/>
      <c r="C334" s="452">
        <v>46181</v>
      </c>
      <c r="D334" s="451">
        <v>119</v>
      </c>
      <c r="E334" s="454" t="s">
        <v>904</v>
      </c>
      <c r="F334" s="539">
        <f t="shared" si="14"/>
        <v>376.30153846153843</v>
      </c>
      <c r="G334" s="540">
        <f t="shared" si="15"/>
        <v>28.946272189349109</v>
      </c>
      <c r="H334" s="541">
        <f t="shared" si="16"/>
        <v>10936.301538461539</v>
      </c>
      <c r="I334" s="446"/>
    </row>
    <row r="335" spans="2:9" ht="26.1" hidden="1" customHeight="1" thickTop="1" thickBot="1" x14ac:dyDescent="0.4">
      <c r="B335" s="366"/>
      <c r="C335" s="452">
        <v>46182</v>
      </c>
      <c r="D335" s="451">
        <v>120</v>
      </c>
      <c r="E335" s="454" t="s">
        <v>905</v>
      </c>
      <c r="F335" s="539">
        <f t="shared" si="14"/>
        <v>379.46373626373622</v>
      </c>
      <c r="G335" s="540">
        <f t="shared" si="15"/>
        <v>29.189518174133557</v>
      </c>
      <c r="H335" s="541">
        <f t="shared" si="16"/>
        <v>10939.463736263737</v>
      </c>
      <c r="I335" s="446"/>
    </row>
    <row r="336" spans="2:9" ht="26.1" hidden="1" customHeight="1" thickTop="1" thickBot="1" x14ac:dyDescent="0.4">
      <c r="B336" s="366"/>
      <c r="C336" s="452">
        <v>46183</v>
      </c>
      <c r="D336" s="451">
        <v>121</v>
      </c>
      <c r="E336" s="454" t="s">
        <v>906</v>
      </c>
      <c r="F336" s="539">
        <f t="shared" si="14"/>
        <v>382.62593406593402</v>
      </c>
      <c r="G336" s="540">
        <f t="shared" si="15"/>
        <v>29.432764158918001</v>
      </c>
      <c r="H336" s="541">
        <f t="shared" si="16"/>
        <v>10942.625934065934</v>
      </c>
      <c r="I336" s="446"/>
    </row>
    <row r="337" spans="2:9" ht="26.1" hidden="1" customHeight="1" thickTop="1" thickBot="1" x14ac:dyDescent="0.4">
      <c r="B337" s="366"/>
      <c r="C337" s="452">
        <v>46184</v>
      </c>
      <c r="D337" s="451">
        <v>122</v>
      </c>
      <c r="E337" s="454" t="s">
        <v>907</v>
      </c>
      <c r="F337" s="539">
        <f t="shared" si="14"/>
        <v>385.78813186813181</v>
      </c>
      <c r="G337" s="540">
        <f t="shared" si="15"/>
        <v>29.676010143702449</v>
      </c>
      <c r="H337" s="541">
        <f t="shared" si="16"/>
        <v>10945.788131868132</v>
      </c>
      <c r="I337" s="446"/>
    </row>
    <row r="338" spans="2:9" ht="26.1" hidden="1" customHeight="1" thickTop="1" thickBot="1" x14ac:dyDescent="0.4">
      <c r="B338" s="366"/>
      <c r="C338" s="452">
        <v>46185</v>
      </c>
      <c r="D338" s="451">
        <v>123</v>
      </c>
      <c r="E338" s="454" t="s">
        <v>908</v>
      </c>
      <c r="F338" s="539">
        <f t="shared" si="14"/>
        <v>388.95032967032961</v>
      </c>
      <c r="G338" s="540">
        <f t="shared" si="15"/>
        <v>29.919256128486893</v>
      </c>
      <c r="H338" s="541">
        <f t="shared" si="16"/>
        <v>10948.95032967033</v>
      </c>
      <c r="I338" s="446"/>
    </row>
    <row r="339" spans="2:9" ht="26.1" hidden="1" customHeight="1" thickTop="1" thickBot="1" x14ac:dyDescent="0.4">
      <c r="B339" s="366"/>
      <c r="C339" s="452">
        <v>46186</v>
      </c>
      <c r="D339" s="451">
        <v>124</v>
      </c>
      <c r="E339" s="454" t="s">
        <v>909</v>
      </c>
      <c r="F339" s="539">
        <f t="shared" si="14"/>
        <v>392.11252747252746</v>
      </c>
      <c r="G339" s="540">
        <f t="shared" si="15"/>
        <v>30.162502113271344</v>
      </c>
      <c r="H339" s="541">
        <f t="shared" si="16"/>
        <v>10952.112527472527</v>
      </c>
      <c r="I339" s="446"/>
    </row>
    <row r="340" spans="2:9" ht="26.1" hidden="1" customHeight="1" thickTop="1" thickBot="1" x14ac:dyDescent="0.4">
      <c r="B340" s="366"/>
      <c r="C340" s="452">
        <v>46187</v>
      </c>
      <c r="D340" s="451">
        <v>125</v>
      </c>
      <c r="E340" s="454" t="s">
        <v>910</v>
      </c>
      <c r="F340" s="539">
        <f t="shared" si="14"/>
        <v>395.27472527472526</v>
      </c>
      <c r="G340" s="540">
        <f t="shared" si="15"/>
        <v>30.405748098055788</v>
      </c>
      <c r="H340" s="541">
        <f t="shared" si="16"/>
        <v>10955.274725274725</v>
      </c>
      <c r="I340" s="446"/>
    </row>
    <row r="341" spans="2:9" ht="26.1" hidden="1" customHeight="1" thickTop="1" thickBot="1" x14ac:dyDescent="0.4">
      <c r="B341" s="366"/>
      <c r="C341" s="452">
        <v>46188</v>
      </c>
      <c r="D341" s="451">
        <v>126</v>
      </c>
      <c r="E341" s="454" t="s">
        <v>904</v>
      </c>
      <c r="F341" s="539">
        <f t="shared" si="14"/>
        <v>398.43692307692305</v>
      </c>
      <c r="G341" s="540">
        <f t="shared" si="15"/>
        <v>30.648994082840236</v>
      </c>
      <c r="H341" s="541">
        <f t="shared" si="16"/>
        <v>10958.436923076923</v>
      </c>
      <c r="I341" s="446"/>
    </row>
    <row r="342" spans="2:9" ht="26.1" hidden="1" customHeight="1" thickTop="1" thickBot="1" x14ac:dyDescent="0.4">
      <c r="B342" s="366"/>
      <c r="C342" s="452">
        <v>46189</v>
      </c>
      <c r="D342" s="451">
        <v>127</v>
      </c>
      <c r="E342" s="454" t="s">
        <v>905</v>
      </c>
      <c r="F342" s="539">
        <f t="shared" si="14"/>
        <v>401.59912087912085</v>
      </c>
      <c r="G342" s="540">
        <f t="shared" si="15"/>
        <v>30.89224006762468</v>
      </c>
      <c r="H342" s="541">
        <f t="shared" si="16"/>
        <v>10961.59912087912</v>
      </c>
      <c r="I342" s="446"/>
    </row>
    <row r="343" spans="2:9" ht="26.1" hidden="1" customHeight="1" thickTop="1" thickBot="1" x14ac:dyDescent="0.4">
      <c r="B343" s="366"/>
      <c r="C343" s="452">
        <v>46190</v>
      </c>
      <c r="D343" s="451">
        <v>128</v>
      </c>
      <c r="E343" s="454" t="s">
        <v>906</v>
      </c>
      <c r="F343" s="539">
        <f t="shared" si="14"/>
        <v>404.76131868131864</v>
      </c>
      <c r="G343" s="540">
        <f t="shared" si="15"/>
        <v>31.135486052409128</v>
      </c>
      <c r="H343" s="541">
        <f t="shared" si="16"/>
        <v>10964.761318681318</v>
      </c>
      <c r="I343" s="446"/>
    </row>
    <row r="344" spans="2:9" ht="26.1" hidden="1" customHeight="1" thickTop="1" thickBot="1" x14ac:dyDescent="0.4">
      <c r="B344" s="366"/>
      <c r="C344" s="452">
        <v>46191</v>
      </c>
      <c r="D344" s="451">
        <v>129</v>
      </c>
      <c r="E344" s="454" t="s">
        <v>907</v>
      </c>
      <c r="F344" s="539">
        <f t="shared" si="14"/>
        <v>407.92351648351644</v>
      </c>
      <c r="G344" s="540">
        <f t="shared" si="15"/>
        <v>31.378732037193572</v>
      </c>
      <c r="H344" s="541">
        <f t="shared" si="16"/>
        <v>10967.923516483517</v>
      </c>
      <c r="I344" s="446"/>
    </row>
    <row r="345" spans="2:9" ht="26.1" hidden="1" customHeight="1" thickTop="1" thickBot="1" x14ac:dyDescent="0.4">
      <c r="B345" s="366"/>
      <c r="C345" s="452">
        <v>46192</v>
      </c>
      <c r="D345" s="451">
        <v>130</v>
      </c>
      <c r="E345" s="454" t="s">
        <v>908</v>
      </c>
      <c r="F345" s="539">
        <f t="shared" ref="F345:F397" si="17">$E$208/$F$210*D345</f>
        <v>411.08571428571423</v>
      </c>
      <c r="G345" s="540">
        <f t="shared" ref="G345:G397" si="18">F345/$C$212</f>
        <v>31.621978021978016</v>
      </c>
      <c r="H345" s="541">
        <f t="shared" ref="H345:H397" si="19">$C$208+F345</f>
        <v>10971.085714285715</v>
      </c>
      <c r="I345" s="446"/>
    </row>
    <row r="346" spans="2:9" ht="26.1" hidden="1" customHeight="1" thickTop="1" thickBot="1" x14ac:dyDescent="0.4">
      <c r="B346" s="366"/>
      <c r="C346" s="452">
        <v>46193</v>
      </c>
      <c r="D346" s="451">
        <v>131</v>
      </c>
      <c r="E346" s="454" t="s">
        <v>909</v>
      </c>
      <c r="F346" s="539">
        <f t="shared" si="17"/>
        <v>414.24791208791203</v>
      </c>
      <c r="G346" s="540">
        <f t="shared" si="18"/>
        <v>31.865224006762464</v>
      </c>
      <c r="H346" s="541">
        <f t="shared" si="19"/>
        <v>10974.247912087912</v>
      </c>
      <c r="I346" s="446"/>
    </row>
    <row r="347" spans="2:9" ht="26.1" hidden="1" customHeight="1" thickTop="1" thickBot="1" x14ac:dyDescent="0.4">
      <c r="B347" s="366"/>
      <c r="C347" s="452">
        <v>46194</v>
      </c>
      <c r="D347" s="451">
        <v>132</v>
      </c>
      <c r="E347" s="454" t="s">
        <v>910</v>
      </c>
      <c r="F347" s="539">
        <f t="shared" si="17"/>
        <v>417.41010989010982</v>
      </c>
      <c r="G347" s="540">
        <f t="shared" si="18"/>
        <v>32.108469991546912</v>
      </c>
      <c r="H347" s="541">
        <f t="shared" si="19"/>
        <v>10977.41010989011</v>
      </c>
      <c r="I347" s="446"/>
    </row>
    <row r="348" spans="2:9" ht="26.1" hidden="1" customHeight="1" thickTop="1" thickBot="1" x14ac:dyDescent="0.4">
      <c r="B348" s="366"/>
      <c r="C348" s="452">
        <v>46195</v>
      </c>
      <c r="D348" s="451">
        <v>133</v>
      </c>
      <c r="E348" s="454" t="s">
        <v>904</v>
      </c>
      <c r="F348" s="539">
        <f t="shared" si="17"/>
        <v>420.57230769230767</v>
      </c>
      <c r="G348" s="540">
        <f t="shared" si="18"/>
        <v>32.351715976331363</v>
      </c>
      <c r="H348" s="541">
        <f t="shared" si="19"/>
        <v>10980.572307692308</v>
      </c>
      <c r="I348" s="446"/>
    </row>
    <row r="349" spans="2:9" ht="26.1" hidden="1" customHeight="1" thickTop="1" thickBot="1" x14ac:dyDescent="0.4">
      <c r="B349" s="366"/>
      <c r="C349" s="452">
        <v>46196</v>
      </c>
      <c r="D349" s="451">
        <v>134</v>
      </c>
      <c r="E349" s="454" t="s">
        <v>905</v>
      </c>
      <c r="F349" s="539">
        <f t="shared" si="17"/>
        <v>423.73450549450547</v>
      </c>
      <c r="G349" s="540">
        <f t="shared" si="18"/>
        <v>32.594961961115807</v>
      </c>
      <c r="H349" s="541">
        <f t="shared" si="19"/>
        <v>10983.734505494505</v>
      </c>
      <c r="I349" s="446"/>
    </row>
    <row r="350" spans="2:9" ht="26.1" hidden="1" customHeight="1" thickTop="1" thickBot="1" x14ac:dyDescent="0.4">
      <c r="B350" s="366"/>
      <c r="C350" s="452">
        <v>46197</v>
      </c>
      <c r="D350" s="451">
        <v>135</v>
      </c>
      <c r="E350" s="454" t="s">
        <v>906</v>
      </c>
      <c r="F350" s="539">
        <f t="shared" si="17"/>
        <v>426.89670329670327</v>
      </c>
      <c r="G350" s="540">
        <f t="shared" si="18"/>
        <v>32.838207945900251</v>
      </c>
      <c r="H350" s="541">
        <f t="shared" si="19"/>
        <v>10986.896703296703</v>
      </c>
      <c r="I350" s="446"/>
    </row>
    <row r="351" spans="2:9" ht="26.1" hidden="1" customHeight="1" thickTop="1" thickBot="1" x14ac:dyDescent="0.4">
      <c r="B351" s="366"/>
      <c r="C351" s="452">
        <v>46198</v>
      </c>
      <c r="D351" s="451">
        <v>136</v>
      </c>
      <c r="E351" s="454" t="s">
        <v>907</v>
      </c>
      <c r="F351" s="539">
        <f t="shared" si="17"/>
        <v>430.05890109890106</v>
      </c>
      <c r="G351" s="540">
        <f t="shared" si="18"/>
        <v>33.081453930684695</v>
      </c>
      <c r="H351" s="541">
        <f t="shared" si="19"/>
        <v>10990.058901098901</v>
      </c>
      <c r="I351" s="446"/>
    </row>
    <row r="352" spans="2:9" ht="26.1" hidden="1" customHeight="1" thickTop="1" thickBot="1" x14ac:dyDescent="0.4">
      <c r="B352" s="366"/>
      <c r="C352" s="452">
        <v>46199</v>
      </c>
      <c r="D352" s="451">
        <v>137</v>
      </c>
      <c r="E352" s="454" t="s">
        <v>908</v>
      </c>
      <c r="F352" s="539">
        <f t="shared" si="17"/>
        <v>433.22109890109886</v>
      </c>
      <c r="G352" s="540">
        <f t="shared" si="18"/>
        <v>33.324699915469139</v>
      </c>
      <c r="H352" s="541">
        <f t="shared" si="19"/>
        <v>10993.221098901098</v>
      </c>
      <c r="I352" s="446"/>
    </row>
    <row r="353" spans="2:9" ht="26.1" hidden="1" customHeight="1" thickTop="1" thickBot="1" x14ac:dyDescent="0.4">
      <c r="B353" s="366"/>
      <c r="C353" s="452">
        <v>46200</v>
      </c>
      <c r="D353" s="451">
        <v>138</v>
      </c>
      <c r="E353" s="454" t="s">
        <v>909</v>
      </c>
      <c r="F353" s="539">
        <f t="shared" si="17"/>
        <v>436.38329670329665</v>
      </c>
      <c r="G353" s="540">
        <f t="shared" si="18"/>
        <v>33.567945900253591</v>
      </c>
      <c r="H353" s="541">
        <f t="shared" si="19"/>
        <v>10996.383296703296</v>
      </c>
      <c r="I353" s="446"/>
    </row>
    <row r="354" spans="2:9" ht="26.1" hidden="1" customHeight="1" thickTop="1" thickBot="1" x14ac:dyDescent="0.4">
      <c r="B354" s="366"/>
      <c r="C354" s="452">
        <v>46201</v>
      </c>
      <c r="D354" s="451">
        <v>139</v>
      </c>
      <c r="E354" s="454" t="s">
        <v>910</v>
      </c>
      <c r="F354" s="539">
        <f t="shared" si="17"/>
        <v>439.54549450549445</v>
      </c>
      <c r="G354" s="540">
        <f t="shared" si="18"/>
        <v>33.811191885038035</v>
      </c>
      <c r="H354" s="541">
        <f t="shared" si="19"/>
        <v>10999.545494505495</v>
      </c>
      <c r="I354" s="446"/>
    </row>
    <row r="355" spans="2:9" ht="26.1" hidden="1" customHeight="1" thickTop="1" thickBot="1" x14ac:dyDescent="0.4">
      <c r="B355" s="366"/>
      <c r="C355" s="452">
        <v>46202</v>
      </c>
      <c r="D355" s="451">
        <v>140</v>
      </c>
      <c r="E355" s="454" t="s">
        <v>904</v>
      </c>
      <c r="F355" s="539">
        <f t="shared" si="17"/>
        <v>442.70769230769224</v>
      </c>
      <c r="G355" s="540">
        <f t="shared" si="18"/>
        <v>34.054437869822479</v>
      </c>
      <c r="H355" s="541">
        <f t="shared" si="19"/>
        <v>11002.707692307693</v>
      </c>
      <c r="I355" s="446"/>
    </row>
    <row r="356" spans="2:9" ht="26.1" hidden="1" customHeight="1" thickTop="1" thickBot="1" x14ac:dyDescent="0.4">
      <c r="B356" s="366"/>
      <c r="C356" s="452">
        <v>46203</v>
      </c>
      <c r="D356" s="451">
        <v>141</v>
      </c>
      <c r="E356" s="454" t="s">
        <v>905</v>
      </c>
      <c r="F356" s="539">
        <f t="shared" si="17"/>
        <v>445.86989010989009</v>
      </c>
      <c r="G356" s="540">
        <f t="shared" si="18"/>
        <v>34.29768385460693</v>
      </c>
      <c r="H356" s="541">
        <f t="shared" si="19"/>
        <v>11005.869890109891</v>
      </c>
      <c r="I356" s="446"/>
    </row>
    <row r="357" spans="2:9" ht="26.1" hidden="1" customHeight="1" thickTop="1" thickBot="1" x14ac:dyDescent="0.4">
      <c r="B357" s="366"/>
      <c r="C357" s="452">
        <v>46204</v>
      </c>
      <c r="D357" s="451">
        <v>142</v>
      </c>
      <c r="E357" s="454" t="s">
        <v>906</v>
      </c>
      <c r="F357" s="539">
        <f t="shared" si="17"/>
        <v>449.03208791208789</v>
      </c>
      <c r="G357" s="540">
        <f t="shared" si="18"/>
        <v>34.540929839391374</v>
      </c>
      <c r="H357" s="541">
        <f t="shared" si="19"/>
        <v>11009.032087912088</v>
      </c>
      <c r="I357" s="446"/>
    </row>
    <row r="358" spans="2:9" ht="26.1" hidden="1" customHeight="1" thickTop="1" thickBot="1" x14ac:dyDescent="0.4">
      <c r="B358" s="366"/>
      <c r="C358" s="452">
        <v>46205</v>
      </c>
      <c r="D358" s="451">
        <v>143</v>
      </c>
      <c r="E358" s="454" t="s">
        <v>907</v>
      </c>
      <c r="F358" s="539">
        <f t="shared" si="17"/>
        <v>452.19428571428568</v>
      </c>
      <c r="G358" s="540">
        <f t="shared" si="18"/>
        <v>34.784175824175819</v>
      </c>
      <c r="H358" s="541">
        <f t="shared" si="19"/>
        <v>11012.194285714286</v>
      </c>
      <c r="I358" s="446"/>
    </row>
    <row r="359" spans="2:9" ht="26.1" hidden="1" customHeight="1" thickTop="1" thickBot="1" x14ac:dyDescent="0.4">
      <c r="B359" s="366"/>
      <c r="C359" s="452">
        <v>46206</v>
      </c>
      <c r="D359" s="451">
        <v>144</v>
      </c>
      <c r="E359" s="454" t="s">
        <v>908</v>
      </c>
      <c r="F359" s="539">
        <f t="shared" si="17"/>
        <v>455.35648351648348</v>
      </c>
      <c r="G359" s="540">
        <f t="shared" si="18"/>
        <v>35.02742180896027</v>
      </c>
      <c r="H359" s="541">
        <f t="shared" si="19"/>
        <v>11015.356483516483</v>
      </c>
      <c r="I359" s="446"/>
    </row>
    <row r="360" spans="2:9" ht="26.1" hidden="1" customHeight="1" thickTop="1" thickBot="1" x14ac:dyDescent="0.4">
      <c r="B360" s="366"/>
      <c r="C360" s="452">
        <v>46207</v>
      </c>
      <c r="D360" s="451">
        <v>145</v>
      </c>
      <c r="E360" s="454" t="s">
        <v>909</v>
      </c>
      <c r="F360" s="539">
        <f t="shared" si="17"/>
        <v>458.51868131868127</v>
      </c>
      <c r="G360" s="540">
        <f t="shared" si="18"/>
        <v>35.270667793744714</v>
      </c>
      <c r="H360" s="541">
        <f t="shared" si="19"/>
        <v>11018.518681318681</v>
      </c>
      <c r="I360" s="446"/>
    </row>
    <row r="361" spans="2:9" ht="26.1" hidden="1" customHeight="1" thickTop="1" thickBot="1" x14ac:dyDescent="0.4">
      <c r="B361" s="366"/>
      <c r="C361" s="452">
        <v>46208</v>
      </c>
      <c r="D361" s="451">
        <v>146</v>
      </c>
      <c r="E361" s="454" t="s">
        <v>910</v>
      </c>
      <c r="F361" s="539">
        <f t="shared" si="17"/>
        <v>461.68087912087907</v>
      </c>
      <c r="G361" s="540">
        <f t="shared" si="18"/>
        <v>35.513913778529158</v>
      </c>
      <c r="H361" s="541">
        <f t="shared" si="19"/>
        <v>11021.680879120879</v>
      </c>
      <c r="I361" s="446"/>
    </row>
    <row r="362" spans="2:9" ht="26.1" hidden="1" customHeight="1" thickTop="1" thickBot="1" x14ac:dyDescent="0.4">
      <c r="B362" s="366"/>
      <c r="C362" s="452">
        <v>46209</v>
      </c>
      <c r="D362" s="451">
        <v>147</v>
      </c>
      <c r="E362" s="454" t="s">
        <v>904</v>
      </c>
      <c r="F362" s="539">
        <f t="shared" si="17"/>
        <v>464.84307692307686</v>
      </c>
      <c r="G362" s="540">
        <f t="shared" si="18"/>
        <v>35.757159763313602</v>
      </c>
      <c r="H362" s="541">
        <f t="shared" si="19"/>
        <v>11024.843076923076</v>
      </c>
      <c r="I362" s="446"/>
    </row>
    <row r="363" spans="2:9" ht="26.1" hidden="1" customHeight="1" thickTop="1" thickBot="1" x14ac:dyDescent="0.4">
      <c r="B363" s="366"/>
      <c r="C363" s="452">
        <v>46210</v>
      </c>
      <c r="D363" s="451">
        <v>148</v>
      </c>
      <c r="E363" s="454" t="s">
        <v>905</v>
      </c>
      <c r="F363" s="539">
        <f t="shared" si="17"/>
        <v>468.00527472527466</v>
      </c>
      <c r="G363" s="540">
        <f t="shared" si="18"/>
        <v>36.000405748098053</v>
      </c>
      <c r="H363" s="541">
        <f t="shared" si="19"/>
        <v>11028.005274725274</v>
      </c>
      <c r="I363" s="446"/>
    </row>
    <row r="364" spans="2:9" ht="26.1" hidden="1" customHeight="1" thickTop="1" thickBot="1" x14ac:dyDescent="0.4">
      <c r="B364" s="366"/>
      <c r="C364" s="452">
        <v>46211</v>
      </c>
      <c r="D364" s="451">
        <v>149</v>
      </c>
      <c r="E364" s="454" t="s">
        <v>906</v>
      </c>
      <c r="F364" s="539">
        <f t="shared" si="17"/>
        <v>471.16747252747246</v>
      </c>
      <c r="G364" s="540">
        <f t="shared" si="18"/>
        <v>36.243651732882498</v>
      </c>
      <c r="H364" s="541">
        <f t="shared" si="19"/>
        <v>11031.167472527472</v>
      </c>
      <c r="I364" s="446"/>
    </row>
    <row r="365" spans="2:9" ht="26.1" hidden="1" customHeight="1" thickTop="1" thickBot="1" x14ac:dyDescent="0.4">
      <c r="B365" s="366"/>
      <c r="C365" s="452">
        <v>46212</v>
      </c>
      <c r="D365" s="451">
        <v>150</v>
      </c>
      <c r="E365" s="454" t="s">
        <v>907</v>
      </c>
      <c r="F365" s="539">
        <f t="shared" si="17"/>
        <v>474.32967032967031</v>
      </c>
      <c r="G365" s="540">
        <f t="shared" si="18"/>
        <v>36.486897717666949</v>
      </c>
      <c r="H365" s="541">
        <f t="shared" si="19"/>
        <v>11034.329670329671</v>
      </c>
      <c r="I365" s="446"/>
    </row>
    <row r="366" spans="2:9" ht="26.1" hidden="1" customHeight="1" thickTop="1" thickBot="1" x14ac:dyDescent="0.4">
      <c r="B366" s="366"/>
      <c r="C366" s="452">
        <v>46213</v>
      </c>
      <c r="D366" s="451">
        <v>151</v>
      </c>
      <c r="E366" s="454" t="s">
        <v>908</v>
      </c>
      <c r="F366" s="539">
        <f t="shared" si="17"/>
        <v>477.4918681318681</v>
      </c>
      <c r="G366" s="540">
        <f t="shared" si="18"/>
        <v>36.730143702451393</v>
      </c>
      <c r="H366" s="541">
        <f t="shared" si="19"/>
        <v>11037.491868131869</v>
      </c>
      <c r="I366" s="446"/>
    </row>
    <row r="367" spans="2:9" ht="26.1" hidden="1" customHeight="1" thickTop="1" thickBot="1" x14ac:dyDescent="0.4">
      <c r="B367" s="366"/>
      <c r="C367" s="452">
        <v>46214</v>
      </c>
      <c r="D367" s="451">
        <v>152</v>
      </c>
      <c r="E367" s="454" t="s">
        <v>909</v>
      </c>
      <c r="F367" s="539">
        <f t="shared" si="17"/>
        <v>480.6540659340659</v>
      </c>
      <c r="G367" s="540">
        <f t="shared" si="18"/>
        <v>36.973389687235837</v>
      </c>
      <c r="H367" s="541">
        <f t="shared" si="19"/>
        <v>11040.654065934066</v>
      </c>
      <c r="I367" s="446"/>
    </row>
    <row r="368" spans="2:9" ht="26.1" hidden="1" customHeight="1" thickTop="1" thickBot="1" x14ac:dyDescent="0.4">
      <c r="B368" s="366"/>
      <c r="C368" s="452">
        <v>46215</v>
      </c>
      <c r="D368" s="451">
        <v>153</v>
      </c>
      <c r="E368" s="454" t="s">
        <v>910</v>
      </c>
      <c r="F368" s="539">
        <f t="shared" si="17"/>
        <v>483.81626373626369</v>
      </c>
      <c r="G368" s="540">
        <f t="shared" si="18"/>
        <v>37.216635672020281</v>
      </c>
      <c r="H368" s="541">
        <f t="shared" si="19"/>
        <v>11043.816263736264</v>
      </c>
      <c r="I368" s="446"/>
    </row>
    <row r="369" spans="2:9" ht="26.1" hidden="1" customHeight="1" thickTop="1" thickBot="1" x14ac:dyDescent="0.4">
      <c r="B369" s="366"/>
      <c r="C369" s="452">
        <v>46216</v>
      </c>
      <c r="D369" s="451">
        <v>154</v>
      </c>
      <c r="E369" s="454" t="s">
        <v>904</v>
      </c>
      <c r="F369" s="539">
        <f t="shared" si="17"/>
        <v>486.97846153846149</v>
      </c>
      <c r="G369" s="540">
        <f t="shared" si="18"/>
        <v>37.459881656804733</v>
      </c>
      <c r="H369" s="541">
        <f t="shared" si="19"/>
        <v>11046.978461538461</v>
      </c>
      <c r="I369" s="446"/>
    </row>
    <row r="370" spans="2:9" ht="26.1" hidden="1" customHeight="1" thickTop="1" thickBot="1" x14ac:dyDescent="0.4">
      <c r="B370" s="366"/>
      <c r="C370" s="452">
        <v>46217</v>
      </c>
      <c r="D370" s="451">
        <v>155</v>
      </c>
      <c r="E370" s="454" t="s">
        <v>905</v>
      </c>
      <c r="F370" s="539">
        <f t="shared" si="17"/>
        <v>490.14065934065928</v>
      </c>
      <c r="G370" s="540">
        <f t="shared" si="18"/>
        <v>37.703127641589177</v>
      </c>
      <c r="H370" s="541">
        <f t="shared" si="19"/>
        <v>11050.140659340659</v>
      </c>
      <c r="I370" s="446"/>
    </row>
    <row r="371" spans="2:9" ht="26.1" hidden="1" customHeight="1" thickTop="1" thickBot="1" x14ac:dyDescent="0.4">
      <c r="B371" s="366"/>
      <c r="C371" s="452">
        <v>46218</v>
      </c>
      <c r="D371" s="451">
        <v>156</v>
      </c>
      <c r="E371" s="454" t="s">
        <v>906</v>
      </c>
      <c r="F371" s="539">
        <f t="shared" si="17"/>
        <v>493.30285714285708</v>
      </c>
      <c r="G371" s="540">
        <f t="shared" si="18"/>
        <v>37.946373626373621</v>
      </c>
      <c r="H371" s="541">
        <f t="shared" si="19"/>
        <v>11053.302857142857</v>
      </c>
      <c r="I371" s="446"/>
    </row>
    <row r="372" spans="2:9" ht="26.1" hidden="1" customHeight="1" thickTop="1" thickBot="1" x14ac:dyDescent="0.4">
      <c r="B372" s="366"/>
      <c r="C372" s="452">
        <v>46219</v>
      </c>
      <c r="D372" s="451">
        <v>157</v>
      </c>
      <c r="E372" s="454" t="s">
        <v>907</v>
      </c>
      <c r="F372" s="539">
        <f t="shared" si="17"/>
        <v>496.46505494505487</v>
      </c>
      <c r="G372" s="540">
        <f t="shared" si="18"/>
        <v>38.189619611158065</v>
      </c>
      <c r="H372" s="541">
        <f t="shared" si="19"/>
        <v>11056.465054945054</v>
      </c>
      <c r="I372" s="446"/>
    </row>
    <row r="373" spans="2:9" ht="26.1" hidden="1" customHeight="1" thickTop="1" thickBot="1" x14ac:dyDescent="0.4">
      <c r="B373" s="366"/>
      <c r="C373" s="452">
        <v>46220</v>
      </c>
      <c r="D373" s="451">
        <v>158</v>
      </c>
      <c r="E373" s="454" t="s">
        <v>908</v>
      </c>
      <c r="F373" s="539">
        <f t="shared" si="17"/>
        <v>499.62725274725273</v>
      </c>
      <c r="G373" s="540">
        <f t="shared" si="18"/>
        <v>38.432865595942516</v>
      </c>
      <c r="H373" s="541">
        <f t="shared" si="19"/>
        <v>11059.627252747252</v>
      </c>
      <c r="I373" s="446"/>
    </row>
    <row r="374" spans="2:9" ht="26.1" hidden="1" customHeight="1" thickTop="1" thickBot="1" x14ac:dyDescent="0.4">
      <c r="B374" s="366"/>
      <c r="C374" s="452">
        <v>46221</v>
      </c>
      <c r="D374" s="451">
        <v>159</v>
      </c>
      <c r="E374" s="454" t="s">
        <v>909</v>
      </c>
      <c r="F374" s="539">
        <f t="shared" si="17"/>
        <v>502.78945054945052</v>
      </c>
      <c r="G374" s="540">
        <f t="shared" si="18"/>
        <v>38.67611158072696</v>
      </c>
      <c r="H374" s="541">
        <f t="shared" si="19"/>
        <v>11062.789450549451</v>
      </c>
      <c r="I374" s="446"/>
    </row>
    <row r="375" spans="2:9" ht="26.1" hidden="1" customHeight="1" thickTop="1" thickBot="1" x14ac:dyDescent="0.4">
      <c r="B375" s="366"/>
      <c r="C375" s="452">
        <v>46222</v>
      </c>
      <c r="D375" s="451">
        <v>160</v>
      </c>
      <c r="E375" s="454" t="s">
        <v>910</v>
      </c>
      <c r="F375" s="539">
        <f t="shared" si="17"/>
        <v>505.95164835164832</v>
      </c>
      <c r="G375" s="540">
        <f t="shared" si="18"/>
        <v>38.919357565511412</v>
      </c>
      <c r="H375" s="541">
        <f t="shared" si="19"/>
        <v>11065.951648351649</v>
      </c>
      <c r="I375" s="446"/>
    </row>
    <row r="376" spans="2:9" ht="26.1" hidden="1" customHeight="1" thickTop="1" thickBot="1" x14ac:dyDescent="0.4">
      <c r="B376" s="366"/>
      <c r="C376" s="452">
        <v>46223</v>
      </c>
      <c r="D376" s="451">
        <v>161</v>
      </c>
      <c r="E376" s="454" t="s">
        <v>904</v>
      </c>
      <c r="F376" s="539">
        <f t="shared" si="17"/>
        <v>509.11384615384611</v>
      </c>
      <c r="G376" s="540">
        <f t="shared" si="18"/>
        <v>39.162603550295856</v>
      </c>
      <c r="H376" s="541">
        <f t="shared" si="19"/>
        <v>11069.113846153847</v>
      </c>
      <c r="I376" s="446"/>
    </row>
    <row r="377" spans="2:9" ht="26.1" hidden="1" customHeight="1" thickTop="1" thickBot="1" x14ac:dyDescent="0.4">
      <c r="B377" s="366"/>
      <c r="C377" s="452">
        <v>46224</v>
      </c>
      <c r="D377" s="451">
        <v>162</v>
      </c>
      <c r="E377" s="454" t="s">
        <v>905</v>
      </c>
      <c r="F377" s="539">
        <f t="shared" si="17"/>
        <v>512.27604395604385</v>
      </c>
      <c r="G377" s="540">
        <f t="shared" si="18"/>
        <v>39.405849535080293</v>
      </c>
      <c r="H377" s="541">
        <f t="shared" si="19"/>
        <v>11072.276043956044</v>
      </c>
      <c r="I377" s="446"/>
    </row>
    <row r="378" spans="2:9" ht="26.1" hidden="1" customHeight="1" thickTop="1" thickBot="1" x14ac:dyDescent="0.4">
      <c r="B378" s="366"/>
      <c r="C378" s="452">
        <v>46225</v>
      </c>
      <c r="D378" s="451">
        <v>163</v>
      </c>
      <c r="E378" s="454" t="s">
        <v>906</v>
      </c>
      <c r="F378" s="539">
        <f t="shared" si="17"/>
        <v>515.4382417582417</v>
      </c>
      <c r="G378" s="540">
        <f t="shared" si="18"/>
        <v>39.649095519864744</v>
      </c>
      <c r="H378" s="541">
        <f t="shared" si="19"/>
        <v>11075.438241758242</v>
      </c>
      <c r="I378" s="446"/>
    </row>
    <row r="379" spans="2:9" ht="26.1" hidden="1" customHeight="1" thickTop="1" thickBot="1" x14ac:dyDescent="0.4">
      <c r="B379" s="366"/>
      <c r="C379" s="452">
        <v>46226</v>
      </c>
      <c r="D379" s="451">
        <v>164</v>
      </c>
      <c r="E379" s="454" t="s">
        <v>907</v>
      </c>
      <c r="F379" s="539">
        <f t="shared" si="17"/>
        <v>518.60043956043955</v>
      </c>
      <c r="G379" s="540">
        <f t="shared" si="18"/>
        <v>39.892341504649195</v>
      </c>
      <c r="H379" s="541">
        <f t="shared" si="19"/>
        <v>11078.60043956044</v>
      </c>
      <c r="I379" s="446"/>
    </row>
    <row r="380" spans="2:9" ht="26.1" hidden="1" customHeight="1" thickTop="1" thickBot="1" x14ac:dyDescent="0.4">
      <c r="B380" s="366"/>
      <c r="C380" s="452">
        <v>46227</v>
      </c>
      <c r="D380" s="451">
        <v>165</v>
      </c>
      <c r="E380" s="454" t="s">
        <v>908</v>
      </c>
      <c r="F380" s="539">
        <f t="shared" si="17"/>
        <v>521.76263736263729</v>
      </c>
      <c r="G380" s="540">
        <f t="shared" si="18"/>
        <v>40.13558748943364</v>
      </c>
      <c r="H380" s="541">
        <f t="shared" si="19"/>
        <v>11081.762637362637</v>
      </c>
      <c r="I380" s="446"/>
    </row>
    <row r="381" spans="2:9" ht="26.1" hidden="1" customHeight="1" thickTop="1" thickBot="1" x14ac:dyDescent="0.4">
      <c r="B381" s="366"/>
      <c r="C381" s="452">
        <v>46228</v>
      </c>
      <c r="D381" s="451">
        <v>166</v>
      </c>
      <c r="E381" s="454" t="s">
        <v>909</v>
      </c>
      <c r="F381" s="539">
        <f t="shared" si="17"/>
        <v>524.92483516483514</v>
      </c>
      <c r="G381" s="540">
        <f t="shared" si="18"/>
        <v>40.378833474218091</v>
      </c>
      <c r="H381" s="541">
        <f t="shared" si="19"/>
        <v>11084.924835164835</v>
      </c>
      <c r="I381" s="446"/>
    </row>
    <row r="382" spans="2:9" ht="26.1" hidden="1" customHeight="1" thickTop="1" thickBot="1" x14ac:dyDescent="0.4">
      <c r="B382" s="366"/>
      <c r="C382" s="452">
        <v>46229</v>
      </c>
      <c r="D382" s="451">
        <v>167</v>
      </c>
      <c r="E382" s="454" t="s">
        <v>910</v>
      </c>
      <c r="F382" s="539">
        <f t="shared" si="17"/>
        <v>528.08703296703288</v>
      </c>
      <c r="G382" s="540">
        <f t="shared" si="18"/>
        <v>40.622079459002528</v>
      </c>
      <c r="H382" s="541">
        <f t="shared" si="19"/>
        <v>11088.087032967032</v>
      </c>
      <c r="I382" s="446"/>
    </row>
    <row r="383" spans="2:9" ht="26.1" hidden="1" customHeight="1" thickTop="1" thickBot="1" x14ac:dyDescent="0.4">
      <c r="B383" s="366"/>
      <c r="C383" s="452">
        <v>46230</v>
      </c>
      <c r="D383" s="451">
        <v>168</v>
      </c>
      <c r="E383" s="454" t="s">
        <v>904</v>
      </c>
      <c r="F383" s="539">
        <f t="shared" si="17"/>
        <v>531.24923076923073</v>
      </c>
      <c r="G383" s="540">
        <f t="shared" si="18"/>
        <v>40.865325443786979</v>
      </c>
      <c r="H383" s="541">
        <f t="shared" si="19"/>
        <v>11091.24923076923</v>
      </c>
      <c r="I383" s="446"/>
    </row>
    <row r="384" spans="2:9" ht="26.1" hidden="1" customHeight="1" thickTop="1" thickBot="1" x14ac:dyDescent="0.4">
      <c r="B384" s="366"/>
      <c r="C384" s="452">
        <v>46231</v>
      </c>
      <c r="D384" s="451">
        <v>169</v>
      </c>
      <c r="E384" s="454" t="s">
        <v>905</v>
      </c>
      <c r="F384" s="539">
        <f t="shared" si="17"/>
        <v>534.41142857142847</v>
      </c>
      <c r="G384" s="540">
        <f t="shared" si="18"/>
        <v>41.108571428571423</v>
      </c>
      <c r="H384" s="541">
        <f t="shared" si="19"/>
        <v>11094.411428571428</v>
      </c>
      <c r="I384" s="446"/>
    </row>
    <row r="385" spans="2:9" ht="26.1" hidden="1" customHeight="1" thickTop="1" thickBot="1" x14ac:dyDescent="0.4">
      <c r="B385" s="366"/>
      <c r="C385" s="452">
        <v>46232</v>
      </c>
      <c r="D385" s="451">
        <v>170</v>
      </c>
      <c r="E385" s="454" t="s">
        <v>906</v>
      </c>
      <c r="F385" s="539">
        <f t="shared" si="17"/>
        <v>537.57362637362633</v>
      </c>
      <c r="G385" s="540">
        <f t="shared" si="18"/>
        <v>41.351817413355874</v>
      </c>
      <c r="H385" s="541">
        <f t="shared" si="19"/>
        <v>11097.573626373627</v>
      </c>
      <c r="I385" s="446"/>
    </row>
    <row r="386" spans="2:9" ht="26.1" hidden="1" customHeight="1" thickTop="1" thickBot="1" x14ac:dyDescent="0.4">
      <c r="B386" s="366"/>
      <c r="C386" s="452">
        <v>46233</v>
      </c>
      <c r="D386" s="451">
        <v>171</v>
      </c>
      <c r="E386" s="454" t="s">
        <v>907</v>
      </c>
      <c r="F386" s="539">
        <f t="shared" si="17"/>
        <v>540.73582417582418</v>
      </c>
      <c r="G386" s="540">
        <f t="shared" si="18"/>
        <v>41.595063398140319</v>
      </c>
      <c r="H386" s="541">
        <f t="shared" si="19"/>
        <v>11100.735824175825</v>
      </c>
      <c r="I386" s="446"/>
    </row>
    <row r="387" spans="2:9" ht="26.1" hidden="1" customHeight="1" thickTop="1" thickBot="1" x14ac:dyDescent="0.4">
      <c r="B387" s="366"/>
      <c r="C387" s="452">
        <v>46234</v>
      </c>
      <c r="D387" s="451">
        <v>172</v>
      </c>
      <c r="E387" s="454" t="s">
        <v>908</v>
      </c>
      <c r="F387" s="539">
        <f t="shared" si="17"/>
        <v>543.89802197802192</v>
      </c>
      <c r="G387" s="540">
        <f t="shared" si="18"/>
        <v>41.838309382924763</v>
      </c>
      <c r="H387" s="541">
        <f t="shared" si="19"/>
        <v>11103.898021978022</v>
      </c>
      <c r="I387" s="446"/>
    </row>
    <row r="388" spans="2:9" ht="26.1" hidden="1" customHeight="1" thickTop="1" thickBot="1" x14ac:dyDescent="0.4">
      <c r="B388" s="366"/>
      <c r="C388" s="452">
        <v>46235</v>
      </c>
      <c r="D388" s="451">
        <v>173</v>
      </c>
      <c r="E388" s="454" t="s">
        <v>909</v>
      </c>
      <c r="F388" s="539">
        <f t="shared" si="17"/>
        <v>547.06021978021977</v>
      </c>
      <c r="G388" s="540">
        <f t="shared" si="18"/>
        <v>42.081555367709214</v>
      </c>
      <c r="H388" s="541">
        <f t="shared" si="19"/>
        <v>11107.06021978022</v>
      </c>
      <c r="I388" s="446"/>
    </row>
    <row r="389" spans="2:9" ht="26.1" hidden="1" customHeight="1" thickTop="1" thickBot="1" x14ac:dyDescent="0.4">
      <c r="B389" s="366"/>
      <c r="C389" s="452">
        <v>46236</v>
      </c>
      <c r="D389" s="451">
        <v>174</v>
      </c>
      <c r="E389" s="454" t="s">
        <v>910</v>
      </c>
      <c r="F389" s="539">
        <f t="shared" si="17"/>
        <v>550.22241758241751</v>
      </c>
      <c r="G389" s="540">
        <f t="shared" si="18"/>
        <v>42.324801352493651</v>
      </c>
      <c r="H389" s="541">
        <f t="shared" si="19"/>
        <v>11110.222417582418</v>
      </c>
      <c r="I389" s="446"/>
    </row>
    <row r="390" spans="2:9" ht="26.1" hidden="1" customHeight="1" thickTop="1" thickBot="1" x14ac:dyDescent="0.4">
      <c r="B390" s="366"/>
      <c r="C390" s="452">
        <v>46237</v>
      </c>
      <c r="D390" s="451">
        <v>175</v>
      </c>
      <c r="E390" s="454" t="s">
        <v>904</v>
      </c>
      <c r="F390" s="539">
        <f t="shared" si="17"/>
        <v>553.38461538461536</v>
      </c>
      <c r="G390" s="540">
        <f t="shared" si="18"/>
        <v>42.568047337278102</v>
      </c>
      <c r="H390" s="541">
        <f t="shared" si="19"/>
        <v>11113.384615384615</v>
      </c>
      <c r="I390" s="446"/>
    </row>
    <row r="391" spans="2:9" ht="26.1" hidden="1" customHeight="1" thickTop="1" thickBot="1" x14ac:dyDescent="0.4">
      <c r="B391" s="366"/>
      <c r="C391" s="452">
        <v>46238</v>
      </c>
      <c r="D391" s="451">
        <v>176</v>
      </c>
      <c r="E391" s="454" t="s">
        <v>905</v>
      </c>
      <c r="F391" s="539">
        <f t="shared" si="17"/>
        <v>556.5468131868131</v>
      </c>
      <c r="G391" s="540">
        <f t="shared" si="18"/>
        <v>42.811293322062546</v>
      </c>
      <c r="H391" s="541">
        <f t="shared" si="19"/>
        <v>11116.546813186813</v>
      </c>
      <c r="I391" s="446"/>
    </row>
    <row r="392" spans="2:9" ht="26.1" hidden="1" customHeight="1" thickTop="1" thickBot="1" x14ac:dyDescent="0.4">
      <c r="B392" s="366"/>
      <c r="C392" s="452">
        <v>46239</v>
      </c>
      <c r="D392" s="451">
        <v>177</v>
      </c>
      <c r="E392" s="454" t="s">
        <v>906</v>
      </c>
      <c r="F392" s="539">
        <f t="shared" si="17"/>
        <v>559.70901098901095</v>
      </c>
      <c r="G392" s="540">
        <f t="shared" si="18"/>
        <v>43.054539306846998</v>
      </c>
      <c r="H392" s="541">
        <f t="shared" si="19"/>
        <v>11119.70901098901</v>
      </c>
      <c r="I392" s="446"/>
    </row>
    <row r="393" spans="2:9" ht="26.1" hidden="1" customHeight="1" thickTop="1" thickBot="1" x14ac:dyDescent="0.4">
      <c r="B393" s="366"/>
      <c r="C393" s="452">
        <v>46240</v>
      </c>
      <c r="D393" s="451">
        <v>178</v>
      </c>
      <c r="E393" s="454" t="s">
        <v>907</v>
      </c>
      <c r="F393" s="539">
        <f t="shared" si="17"/>
        <v>562.87120879120869</v>
      </c>
      <c r="G393" s="540">
        <f t="shared" si="18"/>
        <v>43.297785291631435</v>
      </c>
      <c r="H393" s="541">
        <f t="shared" si="19"/>
        <v>11122.871208791208</v>
      </c>
      <c r="I393" s="446"/>
    </row>
    <row r="394" spans="2:9" ht="26.1" hidden="1" customHeight="1" thickTop="1" thickBot="1" x14ac:dyDescent="0.4">
      <c r="B394" s="366"/>
      <c r="C394" s="452">
        <v>46241</v>
      </c>
      <c r="D394" s="451">
        <v>179</v>
      </c>
      <c r="E394" s="454" t="s">
        <v>908</v>
      </c>
      <c r="F394" s="539">
        <f t="shared" si="17"/>
        <v>566.03340659340654</v>
      </c>
      <c r="G394" s="540">
        <f t="shared" si="18"/>
        <v>43.541031276415886</v>
      </c>
      <c r="H394" s="541">
        <f t="shared" si="19"/>
        <v>11126.033406593406</v>
      </c>
      <c r="I394" s="446"/>
    </row>
    <row r="395" spans="2:9" ht="26.1" hidden="1" customHeight="1" thickTop="1" thickBot="1" x14ac:dyDescent="0.4">
      <c r="B395" s="366"/>
      <c r="C395" s="452">
        <v>46242</v>
      </c>
      <c r="D395" s="451">
        <v>180</v>
      </c>
      <c r="E395" s="454" t="s">
        <v>909</v>
      </c>
      <c r="F395" s="539">
        <f t="shared" si="17"/>
        <v>569.19560439560439</v>
      </c>
      <c r="G395" s="540">
        <f t="shared" si="18"/>
        <v>43.784277261200337</v>
      </c>
      <c r="H395" s="541">
        <f t="shared" si="19"/>
        <v>11129.195604395605</v>
      </c>
      <c r="I395" s="446"/>
    </row>
    <row r="396" spans="2:9" ht="26.1" hidden="1" customHeight="1" thickTop="1" thickBot="1" x14ac:dyDescent="0.4">
      <c r="B396" s="366"/>
      <c r="C396" s="452">
        <v>46243</v>
      </c>
      <c r="D396" s="451">
        <v>181</v>
      </c>
      <c r="E396" s="454" t="s">
        <v>910</v>
      </c>
      <c r="F396" s="539">
        <f t="shared" si="17"/>
        <v>572.35780219780213</v>
      </c>
      <c r="G396" s="540">
        <f t="shared" si="18"/>
        <v>44.027523245984781</v>
      </c>
      <c r="H396" s="541">
        <f t="shared" si="19"/>
        <v>11132.357802197803</v>
      </c>
      <c r="I396" s="446"/>
    </row>
    <row r="397" spans="2:9" ht="26.1" hidden="1" customHeight="1" thickTop="1" thickBot="1" x14ac:dyDescent="0.4">
      <c r="B397" s="366"/>
      <c r="C397" s="452">
        <v>46244</v>
      </c>
      <c r="D397" s="464">
        <v>182</v>
      </c>
      <c r="E397" s="454" t="s">
        <v>904</v>
      </c>
      <c r="F397" s="539">
        <f t="shared" si="17"/>
        <v>575.52</v>
      </c>
      <c r="G397" s="540">
        <f t="shared" si="18"/>
        <v>44.270769230769233</v>
      </c>
      <c r="H397" s="541">
        <f t="shared" si="19"/>
        <v>11135.52</v>
      </c>
      <c r="I397" s="446"/>
    </row>
    <row r="398" spans="2:9" ht="5.0999999999999996" hidden="1" customHeight="1" thickTop="1" thickBot="1" x14ac:dyDescent="0.35">
      <c r="B398" s="365"/>
      <c r="C398" s="367"/>
      <c r="D398" s="367"/>
      <c r="E398" s="368"/>
      <c r="F398" s="369"/>
      <c r="G398" s="354"/>
      <c r="H398" s="369"/>
      <c r="I398" s="354"/>
    </row>
    <row r="399" spans="2:9" hidden="1" x14ac:dyDescent="0.3">
      <c r="G399" s="12"/>
    </row>
  </sheetData>
  <mergeCells count="8">
    <mergeCell ref="C205:H205"/>
    <mergeCell ref="G207:H207"/>
    <mergeCell ref="G208:H208"/>
    <mergeCell ref="C4:H4"/>
    <mergeCell ref="C203:H203"/>
    <mergeCell ref="C6:H6"/>
    <mergeCell ref="G8:H8"/>
    <mergeCell ref="G9:H9"/>
  </mergeCells>
  <phoneticPr fontId="27" type="noConversion"/>
  <dataValidations count="2">
    <dataValidation type="list" allowBlank="1" showInputMessage="1" showErrorMessage="1" sqref="G8:H8" xr:uid="{BDB818F5-3086-43DC-BA33-B02692297613}">
      <formula1>$C$16:$C$197</formula1>
    </dataValidation>
    <dataValidation type="list" allowBlank="1" showInputMessage="1" showErrorMessage="1" sqref="G207:H207" xr:uid="{44593371-B5B2-40E4-9D46-5429A5675A86}">
      <formula1>$C$216:$C$397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455CEE-53B8-48F1-920F-0E2393E51149}">
          <x14:formula1>
            <xm:f>'B O G SHARES DEVIDENT '!$C$50:$C$62</xm:f>
          </x14:formula1>
          <xm:sqref>C4 C203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8BEF-EA5A-47D6-98CB-FAE327A9D367}">
  <sheetPr>
    <tabColor rgb="FFFFFF00"/>
  </sheetPr>
  <dimension ref="B1:I762"/>
  <sheetViews>
    <sheetView workbookViewId="0">
      <selection sqref="A1:XFD1"/>
    </sheetView>
  </sheetViews>
  <sheetFormatPr defaultRowHeight="20.25" x14ac:dyDescent="0.3"/>
  <cols>
    <col min="1" max="1" width="4.42578125" style="12" customWidth="1"/>
    <col min="2" max="2" width="0.85546875" style="12" customWidth="1"/>
    <col min="3" max="3" width="27.28515625" style="352" bestFit="1" customWidth="1"/>
    <col min="4" max="4" width="25.42578125" style="352" bestFit="1" customWidth="1"/>
    <col min="5" max="5" width="27.28515625" style="352" bestFit="1" customWidth="1"/>
    <col min="6" max="6" width="24.85546875" style="12" bestFit="1" customWidth="1"/>
    <col min="7" max="7" width="24.85546875" style="352" bestFit="1" customWidth="1"/>
    <col min="8" max="8" width="25.42578125" style="12" bestFit="1" customWidth="1"/>
    <col min="9" max="9" width="0.85546875" style="12" customWidth="1"/>
    <col min="10" max="11" width="9.140625" style="12"/>
    <col min="12" max="12" width="26.28515625" style="12" customWidth="1"/>
    <col min="13" max="16384" width="9.140625" style="12"/>
  </cols>
  <sheetData>
    <row r="1" spans="2:9" s="216" customFormat="1" ht="19.5" customHeight="1" x14ac:dyDescent="0.25">
      <c r="B1" s="371"/>
    </row>
    <row r="2" spans="2:9" ht="12" customHeight="1" thickBot="1" x14ac:dyDescent="0.35"/>
    <row r="3" spans="2:9" ht="5.0999999999999996" customHeight="1" thickBot="1" x14ac:dyDescent="0.35">
      <c r="B3" s="463"/>
      <c r="C3" s="368"/>
      <c r="D3" s="368"/>
      <c r="E3" s="368"/>
      <c r="F3" s="369"/>
      <c r="G3" s="368"/>
      <c r="H3" s="354"/>
      <c r="I3" s="365"/>
    </row>
    <row r="4" spans="2:9" s="383" customFormat="1" ht="70.5" customHeight="1" thickBot="1" x14ac:dyDescent="0.3">
      <c r="B4" s="384"/>
      <c r="C4" s="1117" t="s">
        <v>763</v>
      </c>
      <c r="D4" s="1115"/>
      <c r="E4" s="1115"/>
      <c r="F4" s="1115"/>
      <c r="G4" s="1115"/>
      <c r="H4" s="1115"/>
      <c r="I4" s="595"/>
    </row>
    <row r="5" spans="2:9" s="70" customFormat="1" ht="48" thickTop="1" thickBot="1" x14ac:dyDescent="0.8">
      <c r="B5" s="592"/>
      <c r="C5" s="1106" t="s">
        <v>972</v>
      </c>
      <c r="D5" s="1106"/>
      <c r="E5" s="1106"/>
      <c r="F5" s="1106"/>
      <c r="G5" s="1106"/>
      <c r="H5" s="1106"/>
      <c r="I5" s="594"/>
    </row>
    <row r="6" spans="2:9" ht="5.0999999999999996" customHeight="1" thickBot="1" x14ac:dyDescent="0.35">
      <c r="B6" s="353"/>
      <c r="C6" s="545"/>
      <c r="D6" s="546"/>
      <c r="E6" s="546"/>
      <c r="F6" s="547"/>
      <c r="G6" s="545"/>
      <c r="H6" s="547"/>
      <c r="I6" s="369"/>
    </row>
    <row r="7" spans="2:9" s="355" customFormat="1" ht="48" customHeight="1" thickTop="1" thickBot="1" x14ac:dyDescent="0.3">
      <c r="B7" s="356"/>
      <c r="C7" s="456" t="s">
        <v>919</v>
      </c>
      <c r="D7" s="457" t="s">
        <v>920</v>
      </c>
      <c r="E7" s="538" t="s">
        <v>969</v>
      </c>
      <c r="F7" s="538" t="s">
        <v>991</v>
      </c>
      <c r="G7" s="1100">
        <v>46107</v>
      </c>
      <c r="H7" s="1100"/>
      <c r="I7" s="440"/>
    </row>
    <row r="8" spans="2:9" s="64" customFormat="1" ht="48" customHeight="1" thickTop="1" thickBot="1" x14ac:dyDescent="0.4">
      <c r="B8" s="357"/>
      <c r="C8" s="443">
        <v>16000</v>
      </c>
      <c r="D8" s="444">
        <v>8.3000000000000004E-2</v>
      </c>
      <c r="E8" s="544">
        <f>C8*D8</f>
        <v>1328</v>
      </c>
      <c r="F8" s="537">
        <f>C8+E8</f>
        <v>17328</v>
      </c>
      <c r="G8" s="1101" t="str">
        <f>VLOOKUP($G7,$C$16:$G$379,3,0)</f>
        <v>THURSDAY</v>
      </c>
      <c r="H8" s="1101"/>
      <c r="I8" s="441" t="e">
        <f>B8/#REF!</f>
        <v>#REF!</v>
      </c>
    </row>
    <row r="9" spans="2:9" s="64" customFormat="1" ht="62.25" thickTop="1" thickBot="1" x14ac:dyDescent="0.4">
      <c r="B9" s="357"/>
      <c r="C9" s="459" t="s">
        <v>976</v>
      </c>
      <c r="D9" s="457" t="s">
        <v>973</v>
      </c>
      <c r="E9" s="457" t="s">
        <v>974</v>
      </c>
      <c r="F9" s="538" t="s">
        <v>970</v>
      </c>
      <c r="G9" s="578" t="s">
        <v>943</v>
      </c>
      <c r="H9" s="578" t="s">
        <v>968</v>
      </c>
      <c r="I9" s="441"/>
    </row>
    <row r="10" spans="2:9" s="64" customFormat="1" ht="48" customHeight="1" thickTop="1" thickBot="1" x14ac:dyDescent="0.4">
      <c r="B10" s="357"/>
      <c r="C10" s="567" t="s">
        <v>992</v>
      </c>
      <c r="D10" s="568">
        <f>C16</f>
        <v>46098</v>
      </c>
      <c r="E10" s="568">
        <f>C379</f>
        <v>46461</v>
      </c>
      <c r="F10" s="471">
        <v>364</v>
      </c>
      <c r="G10" s="601">
        <f>VLOOKUP($G7,$C$16:$H$379,2,0)</f>
        <v>10</v>
      </c>
      <c r="H10" s="602">
        <f>F10-G10</f>
        <v>354</v>
      </c>
      <c r="I10" s="441"/>
    </row>
    <row r="11" spans="2:9" s="462" customFormat="1" ht="78" customHeight="1" thickTop="1" thickBot="1" x14ac:dyDescent="0.35">
      <c r="B11" s="460"/>
      <c r="C11" s="553" t="s">
        <v>975</v>
      </c>
      <c r="D11" s="555" t="s">
        <v>987</v>
      </c>
      <c r="E11" s="555" t="s">
        <v>988</v>
      </c>
      <c r="F11" s="557" t="s">
        <v>914</v>
      </c>
      <c r="G11" s="556" t="s">
        <v>993</v>
      </c>
      <c r="H11" s="554" t="s">
        <v>989</v>
      </c>
      <c r="I11" s="461"/>
    </row>
    <row r="12" spans="2:9" ht="51" customHeight="1" thickTop="1" thickBot="1" x14ac:dyDescent="0.35">
      <c r="B12" s="366"/>
      <c r="C12" s="564">
        <f>'B O G SHARES DEVIDENT '!B89</f>
        <v>17</v>
      </c>
      <c r="D12" s="566">
        <f>VLOOKUP($G7,$C$16:$H$379,4,0)</f>
        <v>36.483516483516482</v>
      </c>
      <c r="E12" s="566">
        <f>D12/$C$12</f>
        <v>2.1460892049127342</v>
      </c>
      <c r="F12" s="565">
        <f>D12+C8</f>
        <v>16036.483516483517</v>
      </c>
      <c r="G12" s="566">
        <f>E12</f>
        <v>2.1460892049127342</v>
      </c>
      <c r="H12" s="565">
        <f>D12</f>
        <v>36.483516483516482</v>
      </c>
      <c r="I12" s="542"/>
    </row>
    <row r="13" spans="2:9" ht="5.0999999999999996" customHeight="1" thickTop="1" thickBot="1" x14ac:dyDescent="0.35">
      <c r="B13" s="358"/>
      <c r="C13" s="558"/>
      <c r="D13" s="559"/>
      <c r="E13" s="560"/>
      <c r="F13" s="561"/>
      <c r="G13" s="562"/>
      <c r="H13" s="563"/>
      <c r="I13" s="364"/>
    </row>
    <row r="14" spans="2:9" s="383" customFormat="1" ht="70.5" customHeight="1" thickBot="1" x14ac:dyDescent="0.3">
      <c r="B14" s="384"/>
      <c r="C14" s="543" t="s">
        <v>51</v>
      </c>
      <c r="D14" s="543" t="s">
        <v>903</v>
      </c>
      <c r="E14" s="543" t="s">
        <v>921</v>
      </c>
      <c r="F14" s="543" t="s">
        <v>986</v>
      </c>
      <c r="G14" s="543" t="s">
        <v>966</v>
      </c>
      <c r="H14" s="543" t="s">
        <v>1</v>
      </c>
      <c r="I14" s="442"/>
    </row>
    <row r="15" spans="2:9" s="383" customFormat="1" ht="5.0999999999999996" customHeight="1" thickTop="1" thickBot="1" x14ac:dyDescent="0.3">
      <c r="B15" s="384"/>
      <c r="C15" s="448"/>
      <c r="D15" s="449"/>
      <c r="E15" s="449"/>
      <c r="F15" s="449"/>
      <c r="G15" s="449"/>
      <c r="H15" s="449"/>
      <c r="I15" s="385"/>
    </row>
    <row r="16" spans="2:9" ht="26.1" hidden="1" customHeight="1" thickBot="1" x14ac:dyDescent="0.4">
      <c r="B16" s="366"/>
      <c r="C16" s="452">
        <v>46098</v>
      </c>
      <c r="D16" s="453">
        <v>1</v>
      </c>
      <c r="E16" s="454" t="s">
        <v>905</v>
      </c>
      <c r="F16" s="539">
        <f t="shared" ref="F16:F79" si="0">$E$8/$F$10*D16</f>
        <v>3.6483516483516483</v>
      </c>
      <c r="G16" s="540">
        <f t="shared" ref="G16:G79" si="1">F16/$C$12</f>
        <v>0.21460892049127342</v>
      </c>
      <c r="H16" s="541">
        <f>$C$8+F16</f>
        <v>16003.648351648351</v>
      </c>
      <c r="I16" s="446"/>
    </row>
    <row r="17" spans="2:9" ht="26.1" hidden="1" customHeight="1" thickTop="1" thickBot="1" x14ac:dyDescent="0.4">
      <c r="B17" s="366"/>
      <c r="C17" s="452">
        <v>46099</v>
      </c>
      <c r="D17" s="451">
        <v>2</v>
      </c>
      <c r="E17" s="454" t="s">
        <v>906</v>
      </c>
      <c r="F17" s="539">
        <f t="shared" si="0"/>
        <v>7.2967032967032965</v>
      </c>
      <c r="G17" s="540">
        <f t="shared" si="1"/>
        <v>0.42921784098254684</v>
      </c>
      <c r="H17" s="541">
        <f t="shared" ref="H17:H80" si="2">$C$8+F17</f>
        <v>16007.296703296703</v>
      </c>
      <c r="I17" s="446"/>
    </row>
    <row r="18" spans="2:9" ht="26.1" hidden="1" customHeight="1" thickTop="1" thickBot="1" x14ac:dyDescent="0.4">
      <c r="B18" s="366"/>
      <c r="C18" s="452">
        <v>46100</v>
      </c>
      <c r="D18" s="451">
        <v>3</v>
      </c>
      <c r="E18" s="454" t="s">
        <v>907</v>
      </c>
      <c r="F18" s="539">
        <f t="shared" si="0"/>
        <v>10.945054945054945</v>
      </c>
      <c r="G18" s="540">
        <f t="shared" si="1"/>
        <v>0.64382676147382034</v>
      </c>
      <c r="H18" s="541">
        <f t="shared" si="2"/>
        <v>16010.945054945056</v>
      </c>
      <c r="I18" s="446"/>
    </row>
    <row r="19" spans="2:9" ht="26.1" hidden="1" customHeight="1" thickTop="1" thickBot="1" x14ac:dyDescent="0.4">
      <c r="B19" s="366"/>
      <c r="C19" s="452">
        <v>46101</v>
      </c>
      <c r="D19" s="451">
        <v>4</v>
      </c>
      <c r="E19" s="454" t="s">
        <v>908</v>
      </c>
      <c r="F19" s="539">
        <f t="shared" si="0"/>
        <v>14.593406593406593</v>
      </c>
      <c r="G19" s="540">
        <f t="shared" si="1"/>
        <v>0.85843568196509368</v>
      </c>
      <c r="H19" s="541">
        <f t="shared" si="2"/>
        <v>16014.593406593407</v>
      </c>
      <c r="I19" s="446"/>
    </row>
    <row r="20" spans="2:9" ht="26.1" hidden="1" customHeight="1" thickTop="1" thickBot="1" x14ac:dyDescent="0.4">
      <c r="B20" s="366"/>
      <c r="C20" s="452">
        <v>46102</v>
      </c>
      <c r="D20" s="451">
        <v>5</v>
      </c>
      <c r="E20" s="454" t="s">
        <v>909</v>
      </c>
      <c r="F20" s="539">
        <f t="shared" si="0"/>
        <v>18.241758241758241</v>
      </c>
      <c r="G20" s="540">
        <f t="shared" si="1"/>
        <v>1.0730446024563671</v>
      </c>
      <c r="H20" s="541">
        <f t="shared" si="2"/>
        <v>16018.241758241758</v>
      </c>
      <c r="I20" s="446"/>
    </row>
    <row r="21" spans="2:9" ht="26.1" hidden="1" customHeight="1" thickTop="1" thickBot="1" x14ac:dyDescent="0.4">
      <c r="B21" s="366"/>
      <c r="C21" s="452">
        <v>46103</v>
      </c>
      <c r="D21" s="451">
        <v>6</v>
      </c>
      <c r="E21" s="454" t="s">
        <v>910</v>
      </c>
      <c r="F21" s="539">
        <f t="shared" si="0"/>
        <v>21.890109890109891</v>
      </c>
      <c r="G21" s="540">
        <f t="shared" si="1"/>
        <v>1.2876535229476407</v>
      </c>
      <c r="H21" s="541">
        <f t="shared" si="2"/>
        <v>16021.89010989011</v>
      </c>
      <c r="I21" s="446"/>
    </row>
    <row r="22" spans="2:9" ht="26.1" hidden="1" customHeight="1" thickTop="1" thickBot="1" x14ac:dyDescent="0.4">
      <c r="B22" s="366"/>
      <c r="C22" s="452">
        <v>46104</v>
      </c>
      <c r="D22" s="451">
        <v>7</v>
      </c>
      <c r="E22" s="454" t="s">
        <v>904</v>
      </c>
      <c r="F22" s="539">
        <f t="shared" si="0"/>
        <v>25.538461538461537</v>
      </c>
      <c r="G22" s="540">
        <f t="shared" si="1"/>
        <v>1.502262443438914</v>
      </c>
      <c r="H22" s="541">
        <f t="shared" si="2"/>
        <v>16025.538461538461</v>
      </c>
      <c r="I22" s="446"/>
    </row>
    <row r="23" spans="2:9" ht="26.1" hidden="1" customHeight="1" thickTop="1" thickBot="1" x14ac:dyDescent="0.4">
      <c r="B23" s="366"/>
      <c r="C23" s="452">
        <v>46105</v>
      </c>
      <c r="D23" s="451">
        <v>8</v>
      </c>
      <c r="E23" s="454" t="s">
        <v>905</v>
      </c>
      <c r="F23" s="539">
        <f t="shared" si="0"/>
        <v>29.186813186813186</v>
      </c>
      <c r="G23" s="540">
        <f t="shared" si="1"/>
        <v>1.7168713639301874</v>
      </c>
      <c r="H23" s="541">
        <f t="shared" si="2"/>
        <v>16029.186813186812</v>
      </c>
      <c r="I23" s="446"/>
    </row>
    <row r="24" spans="2:9" ht="26.1" hidden="1" customHeight="1" thickTop="1" thickBot="1" x14ac:dyDescent="0.4">
      <c r="B24" s="366"/>
      <c r="C24" s="452">
        <v>46106</v>
      </c>
      <c r="D24" s="451">
        <v>9</v>
      </c>
      <c r="E24" s="454" t="s">
        <v>906</v>
      </c>
      <c r="F24" s="539">
        <f t="shared" si="0"/>
        <v>32.835164835164832</v>
      </c>
      <c r="G24" s="540">
        <f t="shared" si="1"/>
        <v>1.9314802844214607</v>
      </c>
      <c r="H24" s="541">
        <f t="shared" si="2"/>
        <v>16032.835164835165</v>
      </c>
      <c r="I24" s="446"/>
    </row>
    <row r="25" spans="2:9" ht="26.1" hidden="1" customHeight="1" thickTop="1" thickBot="1" x14ac:dyDescent="0.4">
      <c r="B25" s="366"/>
      <c r="C25" s="452">
        <v>46107</v>
      </c>
      <c r="D25" s="451">
        <v>10</v>
      </c>
      <c r="E25" s="454" t="s">
        <v>907</v>
      </c>
      <c r="F25" s="539">
        <f t="shared" si="0"/>
        <v>36.483516483516482</v>
      </c>
      <c r="G25" s="540">
        <f t="shared" si="1"/>
        <v>2.1460892049127342</v>
      </c>
      <c r="H25" s="541">
        <f t="shared" si="2"/>
        <v>16036.483516483517</v>
      </c>
      <c r="I25" s="446"/>
    </row>
    <row r="26" spans="2:9" ht="26.1" hidden="1" customHeight="1" thickTop="1" thickBot="1" x14ac:dyDescent="0.4">
      <c r="B26" s="366"/>
      <c r="C26" s="452">
        <v>46108</v>
      </c>
      <c r="D26" s="451">
        <v>11</v>
      </c>
      <c r="E26" s="454" t="s">
        <v>908</v>
      </c>
      <c r="F26" s="539">
        <f t="shared" si="0"/>
        <v>40.131868131868131</v>
      </c>
      <c r="G26" s="540">
        <f t="shared" si="1"/>
        <v>2.3606981254040078</v>
      </c>
      <c r="H26" s="541">
        <f t="shared" si="2"/>
        <v>16040.131868131868</v>
      </c>
      <c r="I26" s="446"/>
    </row>
    <row r="27" spans="2:9" ht="26.1" hidden="1" customHeight="1" thickTop="1" thickBot="1" x14ac:dyDescent="0.4">
      <c r="B27" s="366"/>
      <c r="C27" s="452">
        <v>46109</v>
      </c>
      <c r="D27" s="451">
        <v>12</v>
      </c>
      <c r="E27" s="454" t="s">
        <v>909</v>
      </c>
      <c r="F27" s="539">
        <f t="shared" si="0"/>
        <v>43.780219780219781</v>
      </c>
      <c r="G27" s="540">
        <f t="shared" si="1"/>
        <v>2.5753070458952814</v>
      </c>
      <c r="H27" s="541">
        <f t="shared" si="2"/>
        <v>16043.780219780219</v>
      </c>
      <c r="I27" s="446"/>
    </row>
    <row r="28" spans="2:9" ht="26.1" hidden="1" customHeight="1" thickTop="1" thickBot="1" x14ac:dyDescent="0.4">
      <c r="B28" s="366"/>
      <c r="C28" s="452">
        <v>46110</v>
      </c>
      <c r="D28" s="451">
        <v>13</v>
      </c>
      <c r="E28" s="454" t="s">
        <v>910</v>
      </c>
      <c r="F28" s="539">
        <f t="shared" si="0"/>
        <v>47.428571428571431</v>
      </c>
      <c r="G28" s="540">
        <f t="shared" si="1"/>
        <v>2.7899159663865549</v>
      </c>
      <c r="H28" s="541">
        <f t="shared" si="2"/>
        <v>16047.428571428571</v>
      </c>
      <c r="I28" s="446"/>
    </row>
    <row r="29" spans="2:9" ht="26.1" hidden="1" customHeight="1" thickTop="1" thickBot="1" x14ac:dyDescent="0.4">
      <c r="B29" s="366"/>
      <c r="C29" s="452">
        <v>46111</v>
      </c>
      <c r="D29" s="451">
        <v>14</v>
      </c>
      <c r="E29" s="454" t="s">
        <v>904</v>
      </c>
      <c r="F29" s="539">
        <f t="shared" si="0"/>
        <v>51.076923076923073</v>
      </c>
      <c r="G29" s="540">
        <f t="shared" si="1"/>
        <v>3.004524886877828</v>
      </c>
      <c r="H29" s="541">
        <f t="shared" si="2"/>
        <v>16051.076923076924</v>
      </c>
      <c r="I29" s="446"/>
    </row>
    <row r="30" spans="2:9" ht="26.1" hidden="1" customHeight="1" thickTop="1" thickBot="1" x14ac:dyDescent="0.4">
      <c r="B30" s="366"/>
      <c r="C30" s="452">
        <v>46112</v>
      </c>
      <c r="D30" s="451">
        <v>15</v>
      </c>
      <c r="E30" s="454" t="s">
        <v>905</v>
      </c>
      <c r="F30" s="539">
        <f t="shared" si="0"/>
        <v>54.725274725274723</v>
      </c>
      <c r="G30" s="540">
        <f t="shared" si="1"/>
        <v>3.2191338073691012</v>
      </c>
      <c r="H30" s="541">
        <f t="shared" si="2"/>
        <v>16054.725274725275</v>
      </c>
      <c r="I30" s="446"/>
    </row>
    <row r="31" spans="2:9" ht="26.1" hidden="1" customHeight="1" thickTop="1" thickBot="1" x14ac:dyDescent="0.4">
      <c r="B31" s="366"/>
      <c r="C31" s="452">
        <v>46113</v>
      </c>
      <c r="D31" s="451">
        <v>16</v>
      </c>
      <c r="E31" s="454" t="s">
        <v>906</v>
      </c>
      <c r="F31" s="539">
        <f t="shared" si="0"/>
        <v>58.373626373626372</v>
      </c>
      <c r="G31" s="540">
        <f t="shared" si="1"/>
        <v>3.4337427278603747</v>
      </c>
      <c r="H31" s="541">
        <f t="shared" si="2"/>
        <v>16058.373626373626</v>
      </c>
      <c r="I31" s="446"/>
    </row>
    <row r="32" spans="2:9" ht="26.1" hidden="1" customHeight="1" thickTop="1" thickBot="1" x14ac:dyDescent="0.4">
      <c r="B32" s="366"/>
      <c r="C32" s="452">
        <v>46114</v>
      </c>
      <c r="D32" s="451">
        <v>17</v>
      </c>
      <c r="E32" s="454" t="s">
        <v>907</v>
      </c>
      <c r="F32" s="539">
        <f t="shared" si="0"/>
        <v>62.021978021978022</v>
      </c>
      <c r="G32" s="540">
        <f t="shared" si="1"/>
        <v>3.6483516483516483</v>
      </c>
      <c r="H32" s="541">
        <f t="shared" si="2"/>
        <v>16062.021978021978</v>
      </c>
      <c r="I32" s="446"/>
    </row>
    <row r="33" spans="2:9" ht="26.1" hidden="1" customHeight="1" thickTop="1" thickBot="1" x14ac:dyDescent="0.4">
      <c r="B33" s="366"/>
      <c r="C33" s="452">
        <v>46115</v>
      </c>
      <c r="D33" s="451">
        <v>18</v>
      </c>
      <c r="E33" s="454" t="s">
        <v>908</v>
      </c>
      <c r="F33" s="539">
        <f t="shared" si="0"/>
        <v>65.670329670329664</v>
      </c>
      <c r="G33" s="540">
        <f t="shared" si="1"/>
        <v>3.8629605688429214</v>
      </c>
      <c r="H33" s="541">
        <f t="shared" si="2"/>
        <v>16065.670329670329</v>
      </c>
      <c r="I33" s="446"/>
    </row>
    <row r="34" spans="2:9" ht="26.1" hidden="1" customHeight="1" thickTop="1" thickBot="1" x14ac:dyDescent="0.4">
      <c r="B34" s="366"/>
      <c r="C34" s="452">
        <v>46116</v>
      </c>
      <c r="D34" s="451">
        <v>19</v>
      </c>
      <c r="E34" s="454" t="s">
        <v>909</v>
      </c>
      <c r="F34" s="539">
        <f t="shared" si="0"/>
        <v>69.318681318681314</v>
      </c>
      <c r="G34" s="540">
        <f t="shared" si="1"/>
        <v>4.0775694893341949</v>
      </c>
      <c r="H34" s="541">
        <f t="shared" si="2"/>
        <v>16069.318681318682</v>
      </c>
      <c r="I34" s="446"/>
    </row>
    <row r="35" spans="2:9" ht="26.1" hidden="1" customHeight="1" thickTop="1" thickBot="1" x14ac:dyDescent="0.4">
      <c r="B35" s="366"/>
      <c r="C35" s="452">
        <v>46117</v>
      </c>
      <c r="D35" s="451">
        <v>20</v>
      </c>
      <c r="E35" s="454" t="s">
        <v>910</v>
      </c>
      <c r="F35" s="539">
        <f t="shared" si="0"/>
        <v>72.967032967032964</v>
      </c>
      <c r="G35" s="540">
        <f t="shared" si="1"/>
        <v>4.2921784098254685</v>
      </c>
      <c r="H35" s="541">
        <f t="shared" si="2"/>
        <v>16072.967032967033</v>
      </c>
      <c r="I35" s="446"/>
    </row>
    <row r="36" spans="2:9" ht="26.1" hidden="1" customHeight="1" thickTop="1" thickBot="1" x14ac:dyDescent="0.4">
      <c r="B36" s="366"/>
      <c r="C36" s="452">
        <v>46118</v>
      </c>
      <c r="D36" s="451">
        <v>21</v>
      </c>
      <c r="E36" s="454" t="s">
        <v>904</v>
      </c>
      <c r="F36" s="539">
        <f t="shared" si="0"/>
        <v>76.615384615384613</v>
      </c>
      <c r="G36" s="540">
        <f t="shared" si="1"/>
        <v>4.5067873303167421</v>
      </c>
      <c r="H36" s="541">
        <f t="shared" si="2"/>
        <v>16076.615384615385</v>
      </c>
      <c r="I36" s="446"/>
    </row>
    <row r="37" spans="2:9" ht="26.1" hidden="1" customHeight="1" thickTop="1" thickBot="1" x14ac:dyDescent="0.4">
      <c r="B37" s="366"/>
      <c r="C37" s="452">
        <v>46119</v>
      </c>
      <c r="D37" s="451">
        <v>22</v>
      </c>
      <c r="E37" s="454" t="s">
        <v>905</v>
      </c>
      <c r="F37" s="539">
        <f t="shared" si="0"/>
        <v>80.263736263736263</v>
      </c>
      <c r="G37" s="540">
        <f t="shared" si="1"/>
        <v>4.7213962508080156</v>
      </c>
      <c r="H37" s="541">
        <f t="shared" si="2"/>
        <v>16080.263736263736</v>
      </c>
      <c r="I37" s="446"/>
    </row>
    <row r="38" spans="2:9" ht="26.1" hidden="1" customHeight="1" thickTop="1" thickBot="1" x14ac:dyDescent="0.4">
      <c r="B38" s="366"/>
      <c r="C38" s="452">
        <v>46120</v>
      </c>
      <c r="D38" s="451">
        <v>23</v>
      </c>
      <c r="E38" s="454" t="s">
        <v>906</v>
      </c>
      <c r="F38" s="539">
        <f t="shared" si="0"/>
        <v>83.912087912087912</v>
      </c>
      <c r="G38" s="540">
        <f t="shared" si="1"/>
        <v>4.9360051712992892</v>
      </c>
      <c r="H38" s="541">
        <f t="shared" si="2"/>
        <v>16083.912087912087</v>
      </c>
      <c r="I38" s="446"/>
    </row>
    <row r="39" spans="2:9" ht="26.1" hidden="1" customHeight="1" thickTop="1" thickBot="1" x14ac:dyDescent="0.4">
      <c r="B39" s="366"/>
      <c r="C39" s="452">
        <v>46121</v>
      </c>
      <c r="D39" s="451">
        <v>24</v>
      </c>
      <c r="E39" s="454" t="s">
        <v>907</v>
      </c>
      <c r="F39" s="539">
        <f t="shared" si="0"/>
        <v>87.560439560439562</v>
      </c>
      <c r="G39" s="540">
        <f t="shared" si="1"/>
        <v>5.1506140917905627</v>
      </c>
      <c r="H39" s="541">
        <f t="shared" si="2"/>
        <v>16087.560439560439</v>
      </c>
      <c r="I39" s="446"/>
    </row>
    <row r="40" spans="2:9" ht="26.1" hidden="1" customHeight="1" thickTop="1" thickBot="1" x14ac:dyDescent="0.4">
      <c r="B40" s="366"/>
      <c r="C40" s="452">
        <v>46122</v>
      </c>
      <c r="D40" s="451">
        <v>25</v>
      </c>
      <c r="E40" s="454" t="s">
        <v>908</v>
      </c>
      <c r="F40" s="539">
        <f t="shared" si="0"/>
        <v>91.208791208791212</v>
      </c>
      <c r="G40" s="540">
        <f t="shared" si="1"/>
        <v>5.3652230122818363</v>
      </c>
      <c r="H40" s="541">
        <f t="shared" si="2"/>
        <v>16091.208791208792</v>
      </c>
      <c r="I40" s="446"/>
    </row>
    <row r="41" spans="2:9" ht="26.1" hidden="1" customHeight="1" thickTop="1" thickBot="1" x14ac:dyDescent="0.4">
      <c r="B41" s="366"/>
      <c r="C41" s="452">
        <v>46123</v>
      </c>
      <c r="D41" s="451">
        <v>26</v>
      </c>
      <c r="E41" s="454" t="s">
        <v>909</v>
      </c>
      <c r="F41" s="539">
        <f t="shared" si="0"/>
        <v>94.857142857142861</v>
      </c>
      <c r="G41" s="540">
        <f t="shared" si="1"/>
        <v>5.5798319327731098</v>
      </c>
      <c r="H41" s="541">
        <f t="shared" si="2"/>
        <v>16094.857142857143</v>
      </c>
      <c r="I41" s="446"/>
    </row>
    <row r="42" spans="2:9" ht="26.1" hidden="1" customHeight="1" thickTop="1" thickBot="1" x14ac:dyDescent="0.4">
      <c r="B42" s="366"/>
      <c r="C42" s="452">
        <v>46124</v>
      </c>
      <c r="D42" s="451">
        <v>27</v>
      </c>
      <c r="E42" s="454" t="s">
        <v>910</v>
      </c>
      <c r="F42" s="539">
        <f t="shared" si="0"/>
        <v>98.505494505494497</v>
      </c>
      <c r="G42" s="540">
        <f t="shared" si="1"/>
        <v>5.7944408532643825</v>
      </c>
      <c r="H42" s="541">
        <f t="shared" si="2"/>
        <v>16098.505494505494</v>
      </c>
      <c r="I42" s="446"/>
    </row>
    <row r="43" spans="2:9" ht="26.1" hidden="1" customHeight="1" thickTop="1" thickBot="1" x14ac:dyDescent="0.4">
      <c r="B43" s="366"/>
      <c r="C43" s="452">
        <v>46125</v>
      </c>
      <c r="D43" s="451">
        <v>28</v>
      </c>
      <c r="E43" s="454" t="s">
        <v>904</v>
      </c>
      <c r="F43" s="539">
        <f t="shared" si="0"/>
        <v>102.15384615384615</v>
      </c>
      <c r="G43" s="540">
        <f t="shared" si="1"/>
        <v>6.0090497737556561</v>
      </c>
      <c r="H43" s="541">
        <f t="shared" si="2"/>
        <v>16102.153846153846</v>
      </c>
      <c r="I43" s="446"/>
    </row>
    <row r="44" spans="2:9" ht="26.1" hidden="1" customHeight="1" thickTop="1" thickBot="1" x14ac:dyDescent="0.4">
      <c r="B44" s="366"/>
      <c r="C44" s="452">
        <v>46126</v>
      </c>
      <c r="D44" s="451">
        <v>29</v>
      </c>
      <c r="E44" s="454" t="s">
        <v>905</v>
      </c>
      <c r="F44" s="539">
        <f t="shared" si="0"/>
        <v>105.8021978021978</v>
      </c>
      <c r="G44" s="540">
        <f t="shared" si="1"/>
        <v>6.2236586942469287</v>
      </c>
      <c r="H44" s="541">
        <f t="shared" si="2"/>
        <v>16105.802197802197</v>
      </c>
      <c r="I44" s="446"/>
    </row>
    <row r="45" spans="2:9" ht="26.1" hidden="1" customHeight="1" thickTop="1" thickBot="1" x14ac:dyDescent="0.4">
      <c r="B45" s="366"/>
      <c r="C45" s="452">
        <v>46127</v>
      </c>
      <c r="D45" s="451">
        <v>30</v>
      </c>
      <c r="E45" s="454" t="s">
        <v>906</v>
      </c>
      <c r="F45" s="539">
        <f t="shared" si="0"/>
        <v>109.45054945054945</v>
      </c>
      <c r="G45" s="540">
        <f t="shared" si="1"/>
        <v>6.4382676147382023</v>
      </c>
      <c r="H45" s="541">
        <f t="shared" si="2"/>
        <v>16109.45054945055</v>
      </c>
      <c r="I45" s="446"/>
    </row>
    <row r="46" spans="2:9" ht="26.1" hidden="1" customHeight="1" thickTop="1" thickBot="1" x14ac:dyDescent="0.4">
      <c r="B46" s="366"/>
      <c r="C46" s="452">
        <v>46128</v>
      </c>
      <c r="D46" s="451">
        <v>31</v>
      </c>
      <c r="E46" s="454" t="s">
        <v>907</v>
      </c>
      <c r="F46" s="539">
        <f t="shared" si="0"/>
        <v>113.09890109890109</v>
      </c>
      <c r="G46" s="540">
        <f t="shared" si="1"/>
        <v>6.6528765352294759</v>
      </c>
      <c r="H46" s="541">
        <f t="shared" si="2"/>
        <v>16113.098901098901</v>
      </c>
      <c r="I46" s="446"/>
    </row>
    <row r="47" spans="2:9" ht="26.1" hidden="1" customHeight="1" thickTop="1" thickBot="1" x14ac:dyDescent="0.4">
      <c r="B47" s="366"/>
      <c r="C47" s="452">
        <v>46129</v>
      </c>
      <c r="D47" s="451">
        <v>32</v>
      </c>
      <c r="E47" s="454" t="s">
        <v>908</v>
      </c>
      <c r="F47" s="539">
        <f t="shared" si="0"/>
        <v>116.74725274725274</v>
      </c>
      <c r="G47" s="540">
        <f t="shared" si="1"/>
        <v>6.8674854557207494</v>
      </c>
      <c r="H47" s="541">
        <f t="shared" si="2"/>
        <v>16116.747252747253</v>
      </c>
      <c r="I47" s="446"/>
    </row>
    <row r="48" spans="2:9" ht="26.1" hidden="1" customHeight="1" thickTop="1" thickBot="1" x14ac:dyDescent="0.4">
      <c r="B48" s="366"/>
      <c r="C48" s="452">
        <v>46130</v>
      </c>
      <c r="D48" s="451">
        <v>33</v>
      </c>
      <c r="E48" s="454" t="s">
        <v>909</v>
      </c>
      <c r="F48" s="539">
        <f t="shared" si="0"/>
        <v>120.39560439560439</v>
      </c>
      <c r="G48" s="540">
        <f t="shared" si="1"/>
        <v>7.082094376212023</v>
      </c>
      <c r="H48" s="541">
        <f t="shared" si="2"/>
        <v>16120.395604395604</v>
      </c>
      <c r="I48" s="446"/>
    </row>
    <row r="49" spans="2:9" ht="26.1" hidden="1" customHeight="1" thickTop="1" thickBot="1" x14ac:dyDescent="0.4">
      <c r="B49" s="366"/>
      <c r="C49" s="452">
        <v>46131</v>
      </c>
      <c r="D49" s="451">
        <v>34</v>
      </c>
      <c r="E49" s="454" t="s">
        <v>910</v>
      </c>
      <c r="F49" s="539">
        <f t="shared" si="0"/>
        <v>124.04395604395604</v>
      </c>
      <c r="G49" s="540">
        <f t="shared" si="1"/>
        <v>7.2967032967032965</v>
      </c>
      <c r="H49" s="541">
        <f t="shared" si="2"/>
        <v>16124.043956043955</v>
      </c>
      <c r="I49" s="446"/>
    </row>
    <row r="50" spans="2:9" ht="26.1" hidden="1" customHeight="1" thickTop="1" thickBot="1" x14ac:dyDescent="0.4">
      <c r="B50" s="366"/>
      <c r="C50" s="452">
        <v>46132</v>
      </c>
      <c r="D50" s="451">
        <v>35</v>
      </c>
      <c r="E50" s="454" t="s">
        <v>904</v>
      </c>
      <c r="F50" s="539">
        <f t="shared" si="0"/>
        <v>127.69230769230769</v>
      </c>
      <c r="G50" s="540">
        <f t="shared" si="1"/>
        <v>7.5113122171945701</v>
      </c>
      <c r="H50" s="541">
        <f t="shared" si="2"/>
        <v>16127.692307692309</v>
      </c>
      <c r="I50" s="446"/>
    </row>
    <row r="51" spans="2:9" ht="26.1" hidden="1" customHeight="1" thickTop="1" thickBot="1" x14ac:dyDescent="0.4">
      <c r="B51" s="366"/>
      <c r="C51" s="452">
        <v>46133</v>
      </c>
      <c r="D51" s="451">
        <v>36</v>
      </c>
      <c r="E51" s="454" t="s">
        <v>905</v>
      </c>
      <c r="F51" s="539">
        <f t="shared" si="0"/>
        <v>131.34065934065933</v>
      </c>
      <c r="G51" s="540">
        <f t="shared" si="1"/>
        <v>7.7259211376858428</v>
      </c>
      <c r="H51" s="541">
        <f t="shared" si="2"/>
        <v>16131.34065934066</v>
      </c>
      <c r="I51" s="446"/>
    </row>
    <row r="52" spans="2:9" ht="26.1" hidden="1" customHeight="1" thickTop="1" thickBot="1" x14ac:dyDescent="0.4">
      <c r="B52" s="366"/>
      <c r="C52" s="452">
        <v>46134</v>
      </c>
      <c r="D52" s="451">
        <v>37</v>
      </c>
      <c r="E52" s="454" t="s">
        <v>906</v>
      </c>
      <c r="F52" s="539">
        <f t="shared" si="0"/>
        <v>134.98901098901098</v>
      </c>
      <c r="G52" s="540">
        <f t="shared" si="1"/>
        <v>7.9405300581771163</v>
      </c>
      <c r="H52" s="541">
        <f t="shared" si="2"/>
        <v>16134.989010989011</v>
      </c>
      <c r="I52" s="446"/>
    </row>
    <row r="53" spans="2:9" ht="26.1" hidden="1" customHeight="1" thickTop="1" thickBot="1" x14ac:dyDescent="0.4">
      <c r="B53" s="366"/>
      <c r="C53" s="452">
        <v>46135</v>
      </c>
      <c r="D53" s="451">
        <v>38</v>
      </c>
      <c r="E53" s="454" t="s">
        <v>907</v>
      </c>
      <c r="F53" s="539">
        <f t="shared" si="0"/>
        <v>138.63736263736263</v>
      </c>
      <c r="G53" s="540">
        <f t="shared" si="1"/>
        <v>8.1551389786683899</v>
      </c>
      <c r="H53" s="541">
        <f t="shared" si="2"/>
        <v>16138.637362637362</v>
      </c>
      <c r="I53" s="446"/>
    </row>
    <row r="54" spans="2:9" ht="26.1" hidden="1" customHeight="1" thickTop="1" thickBot="1" x14ac:dyDescent="0.4">
      <c r="B54" s="366"/>
      <c r="C54" s="452">
        <v>46136</v>
      </c>
      <c r="D54" s="451">
        <v>39</v>
      </c>
      <c r="E54" s="454" t="s">
        <v>908</v>
      </c>
      <c r="F54" s="539">
        <f t="shared" si="0"/>
        <v>142.28571428571428</v>
      </c>
      <c r="G54" s="540">
        <f t="shared" si="1"/>
        <v>8.3697478991596626</v>
      </c>
      <c r="H54" s="541">
        <f t="shared" si="2"/>
        <v>16142.285714285714</v>
      </c>
      <c r="I54" s="446"/>
    </row>
    <row r="55" spans="2:9" ht="26.1" hidden="1" customHeight="1" thickTop="1" thickBot="1" x14ac:dyDescent="0.4">
      <c r="B55" s="366"/>
      <c r="C55" s="452">
        <v>46137</v>
      </c>
      <c r="D55" s="451">
        <v>40</v>
      </c>
      <c r="E55" s="454" t="s">
        <v>909</v>
      </c>
      <c r="F55" s="539">
        <f t="shared" si="0"/>
        <v>145.93406593406593</v>
      </c>
      <c r="G55" s="540">
        <f t="shared" si="1"/>
        <v>8.584356819650937</v>
      </c>
      <c r="H55" s="541">
        <f t="shared" si="2"/>
        <v>16145.934065934065</v>
      </c>
      <c r="I55" s="446"/>
    </row>
    <row r="56" spans="2:9" ht="26.1" hidden="1" customHeight="1" thickTop="1" thickBot="1" x14ac:dyDescent="0.4">
      <c r="B56" s="366"/>
      <c r="C56" s="452">
        <v>46138</v>
      </c>
      <c r="D56" s="451">
        <v>41</v>
      </c>
      <c r="E56" s="454" t="s">
        <v>910</v>
      </c>
      <c r="F56" s="539">
        <f t="shared" si="0"/>
        <v>149.58241758241758</v>
      </c>
      <c r="G56" s="540">
        <f t="shared" si="1"/>
        <v>8.7989657401422097</v>
      </c>
      <c r="H56" s="541">
        <f t="shared" si="2"/>
        <v>16149.582417582418</v>
      </c>
      <c r="I56" s="446"/>
    </row>
    <row r="57" spans="2:9" ht="26.1" hidden="1" customHeight="1" thickTop="1" thickBot="1" x14ac:dyDescent="0.4">
      <c r="B57" s="366"/>
      <c r="C57" s="452">
        <v>46139</v>
      </c>
      <c r="D57" s="451">
        <v>42</v>
      </c>
      <c r="E57" s="454" t="s">
        <v>904</v>
      </c>
      <c r="F57" s="539">
        <f t="shared" si="0"/>
        <v>153.23076923076923</v>
      </c>
      <c r="G57" s="540">
        <f t="shared" si="1"/>
        <v>9.0135746606334841</v>
      </c>
      <c r="H57" s="541">
        <f t="shared" si="2"/>
        <v>16153.23076923077</v>
      </c>
      <c r="I57" s="446"/>
    </row>
    <row r="58" spans="2:9" ht="26.1" hidden="1" customHeight="1" thickTop="1" thickBot="1" x14ac:dyDescent="0.4">
      <c r="B58" s="366"/>
      <c r="C58" s="452">
        <v>46140</v>
      </c>
      <c r="D58" s="451">
        <v>43</v>
      </c>
      <c r="E58" s="454" t="s">
        <v>905</v>
      </c>
      <c r="F58" s="539">
        <f t="shared" si="0"/>
        <v>156.87912087912088</v>
      </c>
      <c r="G58" s="540">
        <f t="shared" si="1"/>
        <v>9.2281835811247568</v>
      </c>
      <c r="H58" s="541">
        <f t="shared" si="2"/>
        <v>16156.879120879121</v>
      </c>
      <c r="I58" s="446"/>
    </row>
    <row r="59" spans="2:9" ht="26.1" hidden="1" customHeight="1" thickTop="1" thickBot="1" x14ac:dyDescent="0.4">
      <c r="B59" s="366"/>
      <c r="C59" s="452">
        <v>46141</v>
      </c>
      <c r="D59" s="451">
        <v>44</v>
      </c>
      <c r="E59" s="454" t="s">
        <v>906</v>
      </c>
      <c r="F59" s="539">
        <f t="shared" si="0"/>
        <v>160.52747252747253</v>
      </c>
      <c r="G59" s="540">
        <f t="shared" si="1"/>
        <v>9.4427925016160312</v>
      </c>
      <c r="H59" s="541">
        <f t="shared" si="2"/>
        <v>16160.527472527472</v>
      </c>
      <c r="I59" s="446"/>
    </row>
    <row r="60" spans="2:9" ht="26.1" hidden="1" customHeight="1" thickTop="1" thickBot="1" x14ac:dyDescent="0.4">
      <c r="B60" s="366"/>
      <c r="C60" s="452">
        <v>46142</v>
      </c>
      <c r="D60" s="451">
        <v>45</v>
      </c>
      <c r="E60" s="454" t="s">
        <v>907</v>
      </c>
      <c r="F60" s="539">
        <f t="shared" si="0"/>
        <v>164.17582417582418</v>
      </c>
      <c r="G60" s="540">
        <f t="shared" si="1"/>
        <v>9.6574014221073039</v>
      </c>
      <c r="H60" s="541">
        <f t="shared" si="2"/>
        <v>16164.175824175823</v>
      </c>
      <c r="I60" s="446"/>
    </row>
    <row r="61" spans="2:9" ht="26.1" hidden="1" customHeight="1" thickTop="1" thickBot="1" x14ac:dyDescent="0.4">
      <c r="B61" s="366"/>
      <c r="C61" s="452">
        <v>46143</v>
      </c>
      <c r="D61" s="451">
        <v>46</v>
      </c>
      <c r="E61" s="454" t="s">
        <v>908</v>
      </c>
      <c r="F61" s="539">
        <f t="shared" si="0"/>
        <v>167.82417582417582</v>
      </c>
      <c r="G61" s="540">
        <f t="shared" si="1"/>
        <v>9.8720103425985783</v>
      </c>
      <c r="H61" s="541">
        <f t="shared" si="2"/>
        <v>16167.824175824177</v>
      </c>
      <c r="I61" s="446"/>
    </row>
    <row r="62" spans="2:9" ht="26.1" hidden="1" customHeight="1" thickTop="1" thickBot="1" x14ac:dyDescent="0.4">
      <c r="B62" s="366"/>
      <c r="C62" s="452">
        <v>46144</v>
      </c>
      <c r="D62" s="451">
        <v>47</v>
      </c>
      <c r="E62" s="454" t="s">
        <v>909</v>
      </c>
      <c r="F62" s="539">
        <f t="shared" si="0"/>
        <v>171.47252747252747</v>
      </c>
      <c r="G62" s="540">
        <f t="shared" si="1"/>
        <v>10.086619263089851</v>
      </c>
      <c r="H62" s="541">
        <f t="shared" si="2"/>
        <v>16171.472527472528</v>
      </c>
      <c r="I62" s="446"/>
    </row>
    <row r="63" spans="2:9" ht="26.1" hidden="1" customHeight="1" thickTop="1" thickBot="1" x14ac:dyDescent="0.4">
      <c r="B63" s="366"/>
      <c r="C63" s="452">
        <v>46145</v>
      </c>
      <c r="D63" s="451">
        <v>48</v>
      </c>
      <c r="E63" s="454" t="s">
        <v>910</v>
      </c>
      <c r="F63" s="539">
        <f t="shared" si="0"/>
        <v>175.12087912087912</v>
      </c>
      <c r="G63" s="540">
        <f t="shared" si="1"/>
        <v>10.301228183581125</v>
      </c>
      <c r="H63" s="541">
        <f t="shared" si="2"/>
        <v>16175.120879120879</v>
      </c>
      <c r="I63" s="446"/>
    </row>
    <row r="64" spans="2:9" ht="26.1" hidden="1" customHeight="1" thickTop="1" thickBot="1" x14ac:dyDescent="0.4">
      <c r="B64" s="366"/>
      <c r="C64" s="452">
        <v>46146</v>
      </c>
      <c r="D64" s="451">
        <v>49</v>
      </c>
      <c r="E64" s="454" t="s">
        <v>904</v>
      </c>
      <c r="F64" s="539">
        <f t="shared" si="0"/>
        <v>178.76923076923077</v>
      </c>
      <c r="G64" s="540">
        <f t="shared" si="1"/>
        <v>10.515837104072398</v>
      </c>
      <c r="H64" s="541">
        <f t="shared" si="2"/>
        <v>16178.76923076923</v>
      </c>
      <c r="I64" s="446"/>
    </row>
    <row r="65" spans="2:9" ht="26.1" hidden="1" customHeight="1" thickTop="1" thickBot="1" x14ac:dyDescent="0.4">
      <c r="B65" s="366"/>
      <c r="C65" s="452">
        <v>46147</v>
      </c>
      <c r="D65" s="451">
        <v>50</v>
      </c>
      <c r="E65" s="454" t="s">
        <v>905</v>
      </c>
      <c r="F65" s="539">
        <f t="shared" si="0"/>
        <v>182.41758241758242</v>
      </c>
      <c r="G65" s="540">
        <f t="shared" si="1"/>
        <v>10.730446024563673</v>
      </c>
      <c r="H65" s="541">
        <f t="shared" si="2"/>
        <v>16182.417582417582</v>
      </c>
      <c r="I65" s="446"/>
    </row>
    <row r="66" spans="2:9" ht="26.1" hidden="1" customHeight="1" thickTop="1" thickBot="1" x14ac:dyDescent="0.4">
      <c r="B66" s="366"/>
      <c r="C66" s="452">
        <v>46148</v>
      </c>
      <c r="D66" s="451">
        <v>51</v>
      </c>
      <c r="E66" s="454" t="s">
        <v>906</v>
      </c>
      <c r="F66" s="539">
        <f t="shared" si="0"/>
        <v>186.06593406593407</v>
      </c>
      <c r="G66" s="540">
        <f t="shared" si="1"/>
        <v>10.945054945054945</v>
      </c>
      <c r="H66" s="541">
        <f t="shared" si="2"/>
        <v>16186.065934065935</v>
      </c>
      <c r="I66" s="446"/>
    </row>
    <row r="67" spans="2:9" ht="26.1" hidden="1" customHeight="1" thickTop="1" thickBot="1" x14ac:dyDescent="0.4">
      <c r="B67" s="366"/>
      <c r="C67" s="452">
        <v>46149</v>
      </c>
      <c r="D67" s="451">
        <v>52</v>
      </c>
      <c r="E67" s="454" t="s">
        <v>907</v>
      </c>
      <c r="F67" s="539">
        <f t="shared" si="0"/>
        <v>189.71428571428572</v>
      </c>
      <c r="G67" s="540">
        <f t="shared" si="1"/>
        <v>11.15966386554622</v>
      </c>
      <c r="H67" s="541">
        <f t="shared" si="2"/>
        <v>16189.714285714286</v>
      </c>
      <c r="I67" s="446"/>
    </row>
    <row r="68" spans="2:9" ht="26.1" hidden="1" customHeight="1" thickTop="1" thickBot="1" x14ac:dyDescent="0.4">
      <c r="B68" s="366"/>
      <c r="C68" s="452">
        <v>46150</v>
      </c>
      <c r="D68" s="451">
        <v>53</v>
      </c>
      <c r="E68" s="454" t="s">
        <v>908</v>
      </c>
      <c r="F68" s="539">
        <f t="shared" si="0"/>
        <v>193.36263736263737</v>
      </c>
      <c r="G68" s="540">
        <f t="shared" si="1"/>
        <v>11.374272786037492</v>
      </c>
      <c r="H68" s="541">
        <f t="shared" si="2"/>
        <v>16193.362637362638</v>
      </c>
      <c r="I68" s="446"/>
    </row>
    <row r="69" spans="2:9" ht="26.1" hidden="1" customHeight="1" thickTop="1" thickBot="1" x14ac:dyDescent="0.4">
      <c r="B69" s="366"/>
      <c r="C69" s="452">
        <v>46151</v>
      </c>
      <c r="D69" s="451">
        <v>54</v>
      </c>
      <c r="E69" s="454" t="s">
        <v>909</v>
      </c>
      <c r="F69" s="539">
        <f t="shared" si="0"/>
        <v>197.01098901098899</v>
      </c>
      <c r="G69" s="540">
        <f t="shared" si="1"/>
        <v>11.588881706528765</v>
      </c>
      <c r="H69" s="541">
        <f t="shared" si="2"/>
        <v>16197.010989010989</v>
      </c>
      <c r="I69" s="446"/>
    </row>
    <row r="70" spans="2:9" ht="26.1" hidden="1" customHeight="1" thickTop="1" thickBot="1" x14ac:dyDescent="0.4">
      <c r="B70" s="366"/>
      <c r="C70" s="452">
        <v>46152</v>
      </c>
      <c r="D70" s="451">
        <v>55</v>
      </c>
      <c r="E70" s="454" t="s">
        <v>910</v>
      </c>
      <c r="F70" s="539">
        <f t="shared" si="0"/>
        <v>200.65934065934064</v>
      </c>
      <c r="G70" s="540">
        <f t="shared" si="1"/>
        <v>11.803490627020038</v>
      </c>
      <c r="H70" s="541">
        <f t="shared" si="2"/>
        <v>16200.65934065934</v>
      </c>
      <c r="I70" s="446"/>
    </row>
    <row r="71" spans="2:9" ht="26.1" hidden="1" customHeight="1" thickTop="1" thickBot="1" x14ac:dyDescent="0.4">
      <c r="B71" s="366"/>
      <c r="C71" s="452">
        <v>46153</v>
      </c>
      <c r="D71" s="451">
        <v>56</v>
      </c>
      <c r="E71" s="454" t="s">
        <v>904</v>
      </c>
      <c r="F71" s="539">
        <f t="shared" si="0"/>
        <v>204.30769230769229</v>
      </c>
      <c r="G71" s="540">
        <f t="shared" si="1"/>
        <v>12.018099547511312</v>
      </c>
      <c r="H71" s="541">
        <f t="shared" si="2"/>
        <v>16204.307692307691</v>
      </c>
      <c r="I71" s="446"/>
    </row>
    <row r="72" spans="2:9" ht="26.1" hidden="1" customHeight="1" thickTop="1" thickBot="1" x14ac:dyDescent="0.4">
      <c r="B72" s="366"/>
      <c r="C72" s="452">
        <v>46154</v>
      </c>
      <c r="D72" s="451">
        <v>57</v>
      </c>
      <c r="E72" s="454" t="s">
        <v>905</v>
      </c>
      <c r="F72" s="539">
        <f t="shared" si="0"/>
        <v>207.95604395604394</v>
      </c>
      <c r="G72" s="540">
        <f t="shared" si="1"/>
        <v>12.232708468002585</v>
      </c>
      <c r="H72" s="541">
        <f t="shared" si="2"/>
        <v>16207.956043956045</v>
      </c>
      <c r="I72" s="446"/>
    </row>
    <row r="73" spans="2:9" ht="26.1" hidden="1" customHeight="1" thickTop="1" thickBot="1" x14ac:dyDescent="0.4">
      <c r="B73" s="366"/>
      <c r="C73" s="452">
        <v>46155</v>
      </c>
      <c r="D73" s="451">
        <v>58</v>
      </c>
      <c r="E73" s="454" t="s">
        <v>906</v>
      </c>
      <c r="F73" s="539">
        <f t="shared" si="0"/>
        <v>211.60439560439559</v>
      </c>
      <c r="G73" s="540">
        <f t="shared" si="1"/>
        <v>12.447317388493857</v>
      </c>
      <c r="H73" s="541">
        <f t="shared" si="2"/>
        <v>16211.604395604396</v>
      </c>
      <c r="I73" s="446"/>
    </row>
    <row r="74" spans="2:9" ht="26.1" hidden="1" customHeight="1" thickTop="1" thickBot="1" x14ac:dyDescent="0.4">
      <c r="B74" s="366"/>
      <c r="C74" s="452">
        <v>46156</v>
      </c>
      <c r="D74" s="451">
        <v>59</v>
      </c>
      <c r="E74" s="454" t="s">
        <v>907</v>
      </c>
      <c r="F74" s="539">
        <f t="shared" si="0"/>
        <v>215.25274725274724</v>
      </c>
      <c r="G74" s="540">
        <f t="shared" si="1"/>
        <v>12.661926308985132</v>
      </c>
      <c r="H74" s="541">
        <f t="shared" si="2"/>
        <v>16215.252747252747</v>
      </c>
      <c r="I74" s="446"/>
    </row>
    <row r="75" spans="2:9" ht="26.1" hidden="1" customHeight="1" thickTop="1" thickBot="1" x14ac:dyDescent="0.4">
      <c r="B75" s="366"/>
      <c r="C75" s="452">
        <v>46157</v>
      </c>
      <c r="D75" s="451">
        <v>60</v>
      </c>
      <c r="E75" s="454" t="s">
        <v>908</v>
      </c>
      <c r="F75" s="539">
        <f t="shared" si="0"/>
        <v>218.90109890109889</v>
      </c>
      <c r="G75" s="540">
        <f t="shared" si="1"/>
        <v>12.876535229476405</v>
      </c>
      <c r="H75" s="541">
        <f t="shared" si="2"/>
        <v>16218.901098901099</v>
      </c>
      <c r="I75" s="446"/>
    </row>
    <row r="76" spans="2:9" ht="26.1" hidden="1" customHeight="1" thickTop="1" thickBot="1" x14ac:dyDescent="0.4">
      <c r="B76" s="366"/>
      <c r="C76" s="452">
        <v>46158</v>
      </c>
      <c r="D76" s="451">
        <v>61</v>
      </c>
      <c r="E76" s="454" t="s">
        <v>909</v>
      </c>
      <c r="F76" s="539">
        <f t="shared" si="0"/>
        <v>222.54945054945054</v>
      </c>
      <c r="G76" s="540">
        <f t="shared" si="1"/>
        <v>13.091144149967679</v>
      </c>
      <c r="H76" s="541">
        <f t="shared" si="2"/>
        <v>16222.54945054945</v>
      </c>
      <c r="I76" s="446"/>
    </row>
    <row r="77" spans="2:9" ht="26.1" hidden="1" customHeight="1" thickTop="1" thickBot="1" x14ac:dyDescent="0.4">
      <c r="B77" s="366"/>
      <c r="C77" s="452">
        <v>46159</v>
      </c>
      <c r="D77" s="451">
        <v>62</v>
      </c>
      <c r="E77" s="454" t="s">
        <v>910</v>
      </c>
      <c r="F77" s="539">
        <f t="shared" si="0"/>
        <v>226.19780219780219</v>
      </c>
      <c r="G77" s="540">
        <f t="shared" si="1"/>
        <v>13.305753070458952</v>
      </c>
      <c r="H77" s="541">
        <f t="shared" si="2"/>
        <v>16226.197802197803</v>
      </c>
      <c r="I77" s="446"/>
    </row>
    <row r="78" spans="2:9" ht="26.1" hidden="1" customHeight="1" thickTop="1" thickBot="1" x14ac:dyDescent="0.4">
      <c r="B78" s="366"/>
      <c r="C78" s="452">
        <v>46160</v>
      </c>
      <c r="D78" s="451">
        <v>63</v>
      </c>
      <c r="E78" s="454" t="s">
        <v>904</v>
      </c>
      <c r="F78" s="539">
        <f t="shared" si="0"/>
        <v>229.84615384615384</v>
      </c>
      <c r="G78" s="540">
        <f t="shared" si="1"/>
        <v>13.520361990950226</v>
      </c>
      <c r="H78" s="541">
        <f t="shared" si="2"/>
        <v>16229.846153846154</v>
      </c>
      <c r="I78" s="446"/>
    </row>
    <row r="79" spans="2:9" ht="26.1" hidden="1" customHeight="1" thickTop="1" thickBot="1" x14ac:dyDescent="0.4">
      <c r="B79" s="366"/>
      <c r="C79" s="452">
        <v>46161</v>
      </c>
      <c r="D79" s="451">
        <v>64</v>
      </c>
      <c r="E79" s="454" t="s">
        <v>905</v>
      </c>
      <c r="F79" s="539">
        <f t="shared" si="0"/>
        <v>233.49450549450549</v>
      </c>
      <c r="G79" s="540">
        <f t="shared" si="1"/>
        <v>13.734970911441499</v>
      </c>
      <c r="H79" s="541">
        <f t="shared" si="2"/>
        <v>16233.494505494506</v>
      </c>
      <c r="I79" s="446"/>
    </row>
    <row r="80" spans="2:9" ht="26.1" hidden="1" customHeight="1" thickTop="1" thickBot="1" x14ac:dyDescent="0.4">
      <c r="B80" s="366"/>
      <c r="C80" s="452">
        <v>46162</v>
      </c>
      <c r="D80" s="451">
        <v>65</v>
      </c>
      <c r="E80" s="454" t="s">
        <v>906</v>
      </c>
      <c r="F80" s="539">
        <f t="shared" ref="F80:F143" si="3">$E$8/$F$10*D80</f>
        <v>237.14285714285714</v>
      </c>
      <c r="G80" s="540">
        <f t="shared" ref="G80:G143" si="4">F80/$C$12</f>
        <v>13.949579831932773</v>
      </c>
      <c r="H80" s="541">
        <f t="shared" si="2"/>
        <v>16237.142857142857</v>
      </c>
      <c r="I80" s="446"/>
    </row>
    <row r="81" spans="2:9" ht="26.1" hidden="1" customHeight="1" thickTop="1" thickBot="1" x14ac:dyDescent="0.4">
      <c r="B81" s="366"/>
      <c r="C81" s="452">
        <v>46163</v>
      </c>
      <c r="D81" s="451">
        <v>66</v>
      </c>
      <c r="E81" s="454" t="s">
        <v>907</v>
      </c>
      <c r="F81" s="539">
        <f t="shared" si="3"/>
        <v>240.79120879120879</v>
      </c>
      <c r="G81" s="540">
        <f t="shared" si="4"/>
        <v>14.164188752424046</v>
      </c>
      <c r="H81" s="541">
        <f t="shared" ref="H81:H144" si="5">$C$8+F81</f>
        <v>16240.791208791208</v>
      </c>
      <c r="I81" s="446"/>
    </row>
    <row r="82" spans="2:9" ht="26.1" hidden="1" customHeight="1" thickTop="1" thickBot="1" x14ac:dyDescent="0.4">
      <c r="B82" s="366"/>
      <c r="C82" s="452">
        <v>46164</v>
      </c>
      <c r="D82" s="451">
        <v>67</v>
      </c>
      <c r="E82" s="454" t="s">
        <v>908</v>
      </c>
      <c r="F82" s="539">
        <f t="shared" si="3"/>
        <v>244.43956043956044</v>
      </c>
      <c r="G82" s="540">
        <f t="shared" si="4"/>
        <v>14.37879767291532</v>
      </c>
      <c r="H82" s="541">
        <f t="shared" si="5"/>
        <v>16244.439560439561</v>
      </c>
      <c r="I82" s="446"/>
    </row>
    <row r="83" spans="2:9" ht="26.1" hidden="1" customHeight="1" thickTop="1" thickBot="1" x14ac:dyDescent="0.4">
      <c r="B83" s="366"/>
      <c r="C83" s="452">
        <v>46165</v>
      </c>
      <c r="D83" s="451">
        <v>68</v>
      </c>
      <c r="E83" s="454" t="s">
        <v>909</v>
      </c>
      <c r="F83" s="539">
        <f t="shared" si="3"/>
        <v>248.08791208791209</v>
      </c>
      <c r="G83" s="540">
        <f t="shared" si="4"/>
        <v>14.593406593406593</v>
      </c>
      <c r="H83" s="541">
        <f t="shared" si="5"/>
        <v>16248.087912087913</v>
      </c>
      <c r="I83" s="446"/>
    </row>
    <row r="84" spans="2:9" ht="26.1" hidden="1" customHeight="1" thickTop="1" thickBot="1" x14ac:dyDescent="0.4">
      <c r="B84" s="366"/>
      <c r="C84" s="452">
        <v>46166</v>
      </c>
      <c r="D84" s="451">
        <v>69</v>
      </c>
      <c r="E84" s="454" t="s">
        <v>910</v>
      </c>
      <c r="F84" s="539">
        <f t="shared" si="3"/>
        <v>251.73626373626374</v>
      </c>
      <c r="G84" s="540">
        <f t="shared" si="4"/>
        <v>14.808015513897868</v>
      </c>
      <c r="H84" s="541">
        <f t="shared" si="5"/>
        <v>16251.736263736264</v>
      </c>
      <c r="I84" s="446"/>
    </row>
    <row r="85" spans="2:9" ht="26.1" hidden="1" customHeight="1" thickTop="1" thickBot="1" x14ac:dyDescent="0.4">
      <c r="B85" s="366"/>
      <c r="C85" s="452">
        <v>46167</v>
      </c>
      <c r="D85" s="451">
        <v>70</v>
      </c>
      <c r="E85" s="454" t="s">
        <v>904</v>
      </c>
      <c r="F85" s="539">
        <f t="shared" si="3"/>
        <v>255.38461538461539</v>
      </c>
      <c r="G85" s="540">
        <f t="shared" si="4"/>
        <v>15.02262443438914</v>
      </c>
      <c r="H85" s="541">
        <f t="shared" si="5"/>
        <v>16255.384615384615</v>
      </c>
      <c r="I85" s="446"/>
    </row>
    <row r="86" spans="2:9" ht="26.1" hidden="1" customHeight="1" thickTop="1" thickBot="1" x14ac:dyDescent="0.4">
      <c r="B86" s="366"/>
      <c r="C86" s="452">
        <v>46168</v>
      </c>
      <c r="D86" s="451">
        <v>71</v>
      </c>
      <c r="E86" s="454" t="s">
        <v>905</v>
      </c>
      <c r="F86" s="539">
        <f t="shared" si="3"/>
        <v>259.03296703296701</v>
      </c>
      <c r="G86" s="540">
        <f t="shared" si="4"/>
        <v>15.237233354880413</v>
      </c>
      <c r="H86" s="541">
        <f t="shared" si="5"/>
        <v>16259.032967032967</v>
      </c>
      <c r="I86" s="446"/>
    </row>
    <row r="87" spans="2:9" ht="26.1" hidden="1" customHeight="1" thickTop="1" thickBot="1" x14ac:dyDescent="0.4">
      <c r="B87" s="366"/>
      <c r="C87" s="452">
        <v>46169</v>
      </c>
      <c r="D87" s="451">
        <v>72</v>
      </c>
      <c r="E87" s="454" t="s">
        <v>906</v>
      </c>
      <c r="F87" s="539">
        <f t="shared" si="3"/>
        <v>262.68131868131866</v>
      </c>
      <c r="G87" s="540">
        <f t="shared" si="4"/>
        <v>15.451842275371686</v>
      </c>
      <c r="H87" s="541">
        <f t="shared" si="5"/>
        <v>16262.681318681318</v>
      </c>
      <c r="I87" s="446"/>
    </row>
    <row r="88" spans="2:9" ht="26.1" hidden="1" customHeight="1" thickTop="1" thickBot="1" x14ac:dyDescent="0.4">
      <c r="B88" s="366"/>
      <c r="C88" s="452">
        <v>46170</v>
      </c>
      <c r="D88" s="451">
        <v>73</v>
      </c>
      <c r="E88" s="454" t="s">
        <v>907</v>
      </c>
      <c r="F88" s="539">
        <f t="shared" si="3"/>
        <v>266.32967032967031</v>
      </c>
      <c r="G88" s="540">
        <f t="shared" si="4"/>
        <v>15.66645119586296</v>
      </c>
      <c r="H88" s="541">
        <f t="shared" si="5"/>
        <v>16266.329670329671</v>
      </c>
      <c r="I88" s="446"/>
    </row>
    <row r="89" spans="2:9" ht="26.1" hidden="1" customHeight="1" thickTop="1" thickBot="1" x14ac:dyDescent="0.4">
      <c r="B89" s="366"/>
      <c r="C89" s="452">
        <v>46171</v>
      </c>
      <c r="D89" s="451">
        <v>74</v>
      </c>
      <c r="E89" s="454" t="s">
        <v>908</v>
      </c>
      <c r="F89" s="539">
        <f t="shared" si="3"/>
        <v>269.97802197802196</v>
      </c>
      <c r="G89" s="540">
        <f t="shared" si="4"/>
        <v>15.881060116354233</v>
      </c>
      <c r="H89" s="541">
        <f t="shared" si="5"/>
        <v>16269.978021978022</v>
      </c>
      <c r="I89" s="446"/>
    </row>
    <row r="90" spans="2:9" ht="26.1" hidden="1" customHeight="1" thickTop="1" thickBot="1" x14ac:dyDescent="0.4">
      <c r="B90" s="366"/>
      <c r="C90" s="452">
        <v>46172</v>
      </c>
      <c r="D90" s="451">
        <v>75</v>
      </c>
      <c r="E90" s="454" t="s">
        <v>909</v>
      </c>
      <c r="F90" s="539">
        <f t="shared" si="3"/>
        <v>273.62637362637361</v>
      </c>
      <c r="G90" s="540">
        <f t="shared" si="4"/>
        <v>16.095669036845507</v>
      </c>
      <c r="H90" s="541">
        <f t="shared" si="5"/>
        <v>16273.626373626374</v>
      </c>
      <c r="I90" s="446"/>
    </row>
    <row r="91" spans="2:9" ht="26.1" hidden="1" customHeight="1" thickTop="1" thickBot="1" x14ac:dyDescent="0.4">
      <c r="B91" s="366"/>
      <c r="C91" s="452">
        <v>46173</v>
      </c>
      <c r="D91" s="451">
        <v>76</v>
      </c>
      <c r="E91" s="454" t="s">
        <v>910</v>
      </c>
      <c r="F91" s="539">
        <f t="shared" si="3"/>
        <v>277.27472527472526</v>
      </c>
      <c r="G91" s="540">
        <f t="shared" si="4"/>
        <v>16.31027795733678</v>
      </c>
      <c r="H91" s="541">
        <f t="shared" si="5"/>
        <v>16277.274725274725</v>
      </c>
      <c r="I91" s="446"/>
    </row>
    <row r="92" spans="2:9" ht="26.1" hidden="1" customHeight="1" thickTop="1" thickBot="1" x14ac:dyDescent="0.4">
      <c r="B92" s="366"/>
      <c r="C92" s="452">
        <v>46174</v>
      </c>
      <c r="D92" s="451">
        <v>77</v>
      </c>
      <c r="E92" s="454" t="s">
        <v>904</v>
      </c>
      <c r="F92" s="539">
        <f t="shared" si="3"/>
        <v>280.92307692307691</v>
      </c>
      <c r="G92" s="540">
        <f t="shared" si="4"/>
        <v>16.524886877828052</v>
      </c>
      <c r="H92" s="541">
        <f t="shared" si="5"/>
        <v>16280.923076923076</v>
      </c>
      <c r="I92" s="446"/>
    </row>
    <row r="93" spans="2:9" ht="26.1" hidden="1" customHeight="1" thickTop="1" thickBot="1" x14ac:dyDescent="0.4">
      <c r="B93" s="366"/>
      <c r="C93" s="452">
        <v>46175</v>
      </c>
      <c r="D93" s="451">
        <v>78</v>
      </c>
      <c r="E93" s="454" t="s">
        <v>905</v>
      </c>
      <c r="F93" s="539">
        <f t="shared" si="3"/>
        <v>284.57142857142856</v>
      </c>
      <c r="G93" s="540">
        <f t="shared" si="4"/>
        <v>16.739495798319325</v>
      </c>
      <c r="H93" s="541">
        <f t="shared" si="5"/>
        <v>16284.571428571429</v>
      </c>
      <c r="I93" s="446"/>
    </row>
    <row r="94" spans="2:9" ht="26.1" hidden="1" customHeight="1" thickTop="1" thickBot="1" x14ac:dyDescent="0.4">
      <c r="B94" s="366"/>
      <c r="C94" s="452">
        <v>46176</v>
      </c>
      <c r="D94" s="451">
        <v>79</v>
      </c>
      <c r="E94" s="454" t="s">
        <v>906</v>
      </c>
      <c r="F94" s="539">
        <f t="shared" si="3"/>
        <v>288.2197802197802</v>
      </c>
      <c r="G94" s="540">
        <f t="shared" si="4"/>
        <v>16.954104718810601</v>
      </c>
      <c r="H94" s="541">
        <f t="shared" si="5"/>
        <v>16288.219780219781</v>
      </c>
      <c r="I94" s="446"/>
    </row>
    <row r="95" spans="2:9" ht="26.1" hidden="1" customHeight="1" thickTop="1" thickBot="1" x14ac:dyDescent="0.4">
      <c r="B95" s="366"/>
      <c r="C95" s="452">
        <v>46177</v>
      </c>
      <c r="D95" s="451">
        <v>80</v>
      </c>
      <c r="E95" s="454" t="s">
        <v>907</v>
      </c>
      <c r="F95" s="539">
        <f t="shared" si="3"/>
        <v>291.86813186813185</v>
      </c>
      <c r="G95" s="540">
        <f t="shared" si="4"/>
        <v>17.168713639301874</v>
      </c>
      <c r="H95" s="541">
        <f t="shared" si="5"/>
        <v>16291.868131868132</v>
      </c>
      <c r="I95" s="446"/>
    </row>
    <row r="96" spans="2:9" ht="26.1" hidden="1" customHeight="1" thickTop="1" thickBot="1" x14ac:dyDescent="0.4">
      <c r="B96" s="366"/>
      <c r="C96" s="452">
        <v>46178</v>
      </c>
      <c r="D96" s="451">
        <v>81</v>
      </c>
      <c r="E96" s="454" t="s">
        <v>908</v>
      </c>
      <c r="F96" s="539">
        <f t="shared" si="3"/>
        <v>295.5164835164835</v>
      </c>
      <c r="G96" s="540">
        <f t="shared" si="4"/>
        <v>17.383322559793147</v>
      </c>
      <c r="H96" s="541">
        <f t="shared" si="5"/>
        <v>16295.516483516483</v>
      </c>
      <c r="I96" s="446"/>
    </row>
    <row r="97" spans="2:9" ht="26.1" hidden="1" customHeight="1" thickTop="1" thickBot="1" x14ac:dyDescent="0.4">
      <c r="B97" s="366"/>
      <c r="C97" s="452">
        <v>46179</v>
      </c>
      <c r="D97" s="451">
        <v>82</v>
      </c>
      <c r="E97" s="454" t="s">
        <v>909</v>
      </c>
      <c r="F97" s="539">
        <f t="shared" si="3"/>
        <v>299.16483516483515</v>
      </c>
      <c r="G97" s="540">
        <f t="shared" si="4"/>
        <v>17.597931480284419</v>
      </c>
      <c r="H97" s="541">
        <f t="shared" si="5"/>
        <v>16299.164835164835</v>
      </c>
      <c r="I97" s="446"/>
    </row>
    <row r="98" spans="2:9" ht="26.1" hidden="1" customHeight="1" thickTop="1" thickBot="1" x14ac:dyDescent="0.4">
      <c r="B98" s="366"/>
      <c r="C98" s="452">
        <v>46180</v>
      </c>
      <c r="D98" s="451">
        <v>83</v>
      </c>
      <c r="E98" s="454" t="s">
        <v>910</v>
      </c>
      <c r="F98" s="539">
        <f t="shared" si="3"/>
        <v>302.8131868131868</v>
      </c>
      <c r="G98" s="540">
        <f t="shared" si="4"/>
        <v>17.812540400775696</v>
      </c>
      <c r="H98" s="541">
        <f t="shared" si="5"/>
        <v>16302.813186813186</v>
      </c>
      <c r="I98" s="446"/>
    </row>
    <row r="99" spans="2:9" ht="26.1" hidden="1" customHeight="1" thickTop="1" thickBot="1" x14ac:dyDescent="0.4">
      <c r="B99" s="366"/>
      <c r="C99" s="452">
        <v>46181</v>
      </c>
      <c r="D99" s="451">
        <v>84</v>
      </c>
      <c r="E99" s="454" t="s">
        <v>904</v>
      </c>
      <c r="F99" s="539">
        <f t="shared" si="3"/>
        <v>306.46153846153845</v>
      </c>
      <c r="G99" s="540">
        <f t="shared" si="4"/>
        <v>18.027149321266968</v>
      </c>
      <c r="H99" s="541">
        <f t="shared" si="5"/>
        <v>16306.461538461539</v>
      </c>
      <c r="I99" s="446"/>
    </row>
    <row r="100" spans="2:9" ht="26.1" hidden="1" customHeight="1" thickTop="1" thickBot="1" x14ac:dyDescent="0.4">
      <c r="B100" s="366"/>
      <c r="C100" s="452">
        <v>46182</v>
      </c>
      <c r="D100" s="451">
        <v>85</v>
      </c>
      <c r="E100" s="454" t="s">
        <v>905</v>
      </c>
      <c r="F100" s="539">
        <f t="shared" si="3"/>
        <v>310.1098901098901</v>
      </c>
      <c r="G100" s="540">
        <f t="shared" si="4"/>
        <v>18.241758241758241</v>
      </c>
      <c r="H100" s="541">
        <f t="shared" si="5"/>
        <v>16310.10989010989</v>
      </c>
      <c r="I100" s="446"/>
    </row>
    <row r="101" spans="2:9" ht="26.1" hidden="1" customHeight="1" thickTop="1" thickBot="1" x14ac:dyDescent="0.4">
      <c r="B101" s="366"/>
      <c r="C101" s="452">
        <v>46183</v>
      </c>
      <c r="D101" s="451">
        <v>86</v>
      </c>
      <c r="E101" s="454" t="s">
        <v>906</v>
      </c>
      <c r="F101" s="539">
        <f t="shared" si="3"/>
        <v>313.75824175824175</v>
      </c>
      <c r="G101" s="540">
        <f t="shared" si="4"/>
        <v>18.456367162249514</v>
      </c>
      <c r="H101" s="541">
        <f t="shared" si="5"/>
        <v>16313.758241758242</v>
      </c>
      <c r="I101" s="446"/>
    </row>
    <row r="102" spans="2:9" ht="26.1" hidden="1" customHeight="1" thickTop="1" thickBot="1" x14ac:dyDescent="0.4">
      <c r="B102" s="366"/>
      <c r="C102" s="452">
        <v>46184</v>
      </c>
      <c r="D102" s="451">
        <v>87</v>
      </c>
      <c r="E102" s="454" t="s">
        <v>907</v>
      </c>
      <c r="F102" s="539">
        <f t="shared" si="3"/>
        <v>317.4065934065934</v>
      </c>
      <c r="G102" s="540">
        <f t="shared" si="4"/>
        <v>18.67097608274079</v>
      </c>
      <c r="H102" s="541">
        <f t="shared" si="5"/>
        <v>16317.406593406593</v>
      </c>
      <c r="I102" s="446"/>
    </row>
    <row r="103" spans="2:9" ht="26.1" hidden="1" customHeight="1" thickTop="1" thickBot="1" x14ac:dyDescent="0.4">
      <c r="B103" s="366"/>
      <c r="C103" s="452">
        <v>46185</v>
      </c>
      <c r="D103" s="451">
        <v>88</v>
      </c>
      <c r="E103" s="454" t="s">
        <v>908</v>
      </c>
      <c r="F103" s="539">
        <f t="shared" si="3"/>
        <v>321.05494505494505</v>
      </c>
      <c r="G103" s="540">
        <f t="shared" si="4"/>
        <v>18.885585003232062</v>
      </c>
      <c r="H103" s="541">
        <f t="shared" si="5"/>
        <v>16321.054945054944</v>
      </c>
      <c r="I103" s="446"/>
    </row>
    <row r="104" spans="2:9" ht="26.1" hidden="1" customHeight="1" thickTop="1" thickBot="1" x14ac:dyDescent="0.4">
      <c r="B104" s="366"/>
      <c r="C104" s="452">
        <v>46186</v>
      </c>
      <c r="D104" s="451">
        <v>89</v>
      </c>
      <c r="E104" s="454" t="s">
        <v>909</v>
      </c>
      <c r="F104" s="539">
        <f t="shared" si="3"/>
        <v>324.7032967032967</v>
      </c>
      <c r="G104" s="540">
        <f t="shared" si="4"/>
        <v>19.100193923723335</v>
      </c>
      <c r="H104" s="541">
        <f t="shared" si="5"/>
        <v>16324.703296703297</v>
      </c>
      <c r="I104" s="446"/>
    </row>
    <row r="105" spans="2:9" ht="26.1" hidden="1" customHeight="1" thickTop="1" thickBot="1" x14ac:dyDescent="0.4">
      <c r="B105" s="366"/>
      <c r="C105" s="452">
        <v>46187</v>
      </c>
      <c r="D105" s="451">
        <v>90</v>
      </c>
      <c r="E105" s="454" t="s">
        <v>910</v>
      </c>
      <c r="F105" s="539">
        <f t="shared" si="3"/>
        <v>328.35164835164835</v>
      </c>
      <c r="G105" s="540">
        <f t="shared" si="4"/>
        <v>19.314802844214608</v>
      </c>
      <c r="H105" s="541">
        <f t="shared" si="5"/>
        <v>16328.351648351649</v>
      </c>
      <c r="I105" s="446"/>
    </row>
    <row r="106" spans="2:9" ht="26.1" hidden="1" customHeight="1" thickTop="1" thickBot="1" x14ac:dyDescent="0.4">
      <c r="B106" s="366"/>
      <c r="C106" s="452">
        <v>46188</v>
      </c>
      <c r="D106" s="451">
        <v>91</v>
      </c>
      <c r="E106" s="454" t="s">
        <v>904</v>
      </c>
      <c r="F106" s="539">
        <f t="shared" si="3"/>
        <v>332</v>
      </c>
      <c r="G106" s="540">
        <f t="shared" si="4"/>
        <v>19.529411764705884</v>
      </c>
      <c r="H106" s="541">
        <f t="shared" si="5"/>
        <v>16332</v>
      </c>
      <c r="I106" s="446"/>
    </row>
    <row r="107" spans="2:9" ht="26.1" hidden="1" customHeight="1" thickTop="1" thickBot="1" x14ac:dyDescent="0.4">
      <c r="B107" s="366"/>
      <c r="C107" s="452">
        <v>46189</v>
      </c>
      <c r="D107" s="451">
        <v>92</v>
      </c>
      <c r="E107" s="454" t="s">
        <v>905</v>
      </c>
      <c r="F107" s="539">
        <f t="shared" si="3"/>
        <v>335.64835164835165</v>
      </c>
      <c r="G107" s="540">
        <f t="shared" si="4"/>
        <v>19.744020685197157</v>
      </c>
      <c r="H107" s="541">
        <f t="shared" si="5"/>
        <v>16335.648351648351</v>
      </c>
      <c r="I107" s="446"/>
    </row>
    <row r="108" spans="2:9" ht="26.1" hidden="1" customHeight="1" thickTop="1" thickBot="1" x14ac:dyDescent="0.4">
      <c r="B108" s="366"/>
      <c r="C108" s="452">
        <v>46190</v>
      </c>
      <c r="D108" s="451">
        <v>93</v>
      </c>
      <c r="E108" s="454" t="s">
        <v>906</v>
      </c>
      <c r="F108" s="539">
        <f t="shared" si="3"/>
        <v>339.2967032967033</v>
      </c>
      <c r="G108" s="540">
        <f t="shared" si="4"/>
        <v>19.958629605688429</v>
      </c>
      <c r="H108" s="541">
        <f t="shared" si="5"/>
        <v>16339.296703296703</v>
      </c>
      <c r="I108" s="446"/>
    </row>
    <row r="109" spans="2:9" ht="26.1" hidden="1" customHeight="1" thickTop="1" thickBot="1" x14ac:dyDescent="0.4">
      <c r="B109" s="366"/>
      <c r="C109" s="452">
        <v>46191</v>
      </c>
      <c r="D109" s="451">
        <v>94</v>
      </c>
      <c r="E109" s="454" t="s">
        <v>907</v>
      </c>
      <c r="F109" s="539">
        <f t="shared" si="3"/>
        <v>342.94505494505495</v>
      </c>
      <c r="G109" s="540">
        <f t="shared" si="4"/>
        <v>20.173238526179702</v>
      </c>
      <c r="H109" s="541">
        <f t="shared" si="5"/>
        <v>16342.945054945056</v>
      </c>
      <c r="I109" s="446"/>
    </row>
    <row r="110" spans="2:9" ht="26.1" hidden="1" customHeight="1" thickTop="1" thickBot="1" x14ac:dyDescent="0.4">
      <c r="B110" s="366"/>
      <c r="C110" s="452">
        <v>46192</v>
      </c>
      <c r="D110" s="451">
        <v>95</v>
      </c>
      <c r="E110" s="454" t="s">
        <v>908</v>
      </c>
      <c r="F110" s="539">
        <f t="shared" si="3"/>
        <v>346.5934065934066</v>
      </c>
      <c r="G110" s="540">
        <f t="shared" si="4"/>
        <v>20.387847446670975</v>
      </c>
      <c r="H110" s="541">
        <f t="shared" si="5"/>
        <v>16346.593406593407</v>
      </c>
      <c r="I110" s="446"/>
    </row>
    <row r="111" spans="2:9" ht="26.1" hidden="1" customHeight="1" thickTop="1" thickBot="1" x14ac:dyDescent="0.4">
      <c r="B111" s="366"/>
      <c r="C111" s="452">
        <v>46193</v>
      </c>
      <c r="D111" s="451">
        <v>96</v>
      </c>
      <c r="E111" s="454" t="s">
        <v>909</v>
      </c>
      <c r="F111" s="539">
        <f t="shared" si="3"/>
        <v>350.24175824175825</v>
      </c>
      <c r="G111" s="540">
        <f t="shared" si="4"/>
        <v>20.602456367162251</v>
      </c>
      <c r="H111" s="541">
        <f t="shared" si="5"/>
        <v>16350.241758241758</v>
      </c>
      <c r="I111" s="446"/>
    </row>
    <row r="112" spans="2:9" ht="26.1" hidden="1" customHeight="1" thickTop="1" thickBot="1" x14ac:dyDescent="0.4">
      <c r="B112" s="366"/>
      <c r="C112" s="452">
        <v>46194</v>
      </c>
      <c r="D112" s="451">
        <v>97</v>
      </c>
      <c r="E112" s="454" t="s">
        <v>910</v>
      </c>
      <c r="F112" s="539">
        <f t="shared" si="3"/>
        <v>353.8901098901099</v>
      </c>
      <c r="G112" s="540">
        <f t="shared" si="4"/>
        <v>20.817065287653524</v>
      </c>
      <c r="H112" s="541">
        <f t="shared" si="5"/>
        <v>16353.89010989011</v>
      </c>
      <c r="I112" s="446"/>
    </row>
    <row r="113" spans="2:9" ht="26.1" hidden="1" customHeight="1" thickTop="1" thickBot="1" x14ac:dyDescent="0.4">
      <c r="B113" s="366"/>
      <c r="C113" s="452">
        <v>46195</v>
      </c>
      <c r="D113" s="451">
        <v>98</v>
      </c>
      <c r="E113" s="454" t="s">
        <v>904</v>
      </c>
      <c r="F113" s="539">
        <f t="shared" si="3"/>
        <v>357.53846153846155</v>
      </c>
      <c r="G113" s="540">
        <f t="shared" si="4"/>
        <v>21.031674208144796</v>
      </c>
      <c r="H113" s="541">
        <f t="shared" si="5"/>
        <v>16357.538461538461</v>
      </c>
      <c r="I113" s="446"/>
    </row>
    <row r="114" spans="2:9" ht="26.1" hidden="1" customHeight="1" thickTop="1" thickBot="1" x14ac:dyDescent="0.4">
      <c r="B114" s="366"/>
      <c r="C114" s="452">
        <v>46196</v>
      </c>
      <c r="D114" s="451">
        <v>99</v>
      </c>
      <c r="E114" s="454" t="s">
        <v>905</v>
      </c>
      <c r="F114" s="539">
        <f t="shared" si="3"/>
        <v>361.1868131868132</v>
      </c>
      <c r="G114" s="540">
        <f t="shared" si="4"/>
        <v>21.246283128636069</v>
      </c>
      <c r="H114" s="541">
        <f t="shared" si="5"/>
        <v>16361.186813186814</v>
      </c>
      <c r="I114" s="446"/>
    </row>
    <row r="115" spans="2:9" ht="26.1" hidden="1" customHeight="1" thickTop="1" thickBot="1" x14ac:dyDescent="0.4">
      <c r="B115" s="366"/>
      <c r="C115" s="452">
        <v>46197</v>
      </c>
      <c r="D115" s="451">
        <v>100</v>
      </c>
      <c r="E115" s="454" t="s">
        <v>906</v>
      </c>
      <c r="F115" s="539">
        <f t="shared" si="3"/>
        <v>364.83516483516485</v>
      </c>
      <c r="G115" s="540">
        <f t="shared" si="4"/>
        <v>21.460892049127345</v>
      </c>
      <c r="H115" s="541">
        <f t="shared" si="5"/>
        <v>16364.835164835165</v>
      </c>
      <c r="I115" s="446"/>
    </row>
    <row r="116" spans="2:9" ht="26.1" hidden="1" customHeight="1" thickTop="1" thickBot="1" x14ac:dyDescent="0.4">
      <c r="B116" s="366"/>
      <c r="C116" s="452">
        <v>46198</v>
      </c>
      <c r="D116" s="451">
        <v>101</v>
      </c>
      <c r="E116" s="454" t="s">
        <v>907</v>
      </c>
      <c r="F116" s="539">
        <f t="shared" si="3"/>
        <v>368.4835164835165</v>
      </c>
      <c r="G116" s="540">
        <f t="shared" si="4"/>
        <v>21.675500969618618</v>
      </c>
      <c r="H116" s="541">
        <f t="shared" si="5"/>
        <v>16368.483516483517</v>
      </c>
      <c r="I116" s="446"/>
    </row>
    <row r="117" spans="2:9" ht="26.1" hidden="1" customHeight="1" thickTop="1" thickBot="1" x14ac:dyDescent="0.4">
      <c r="B117" s="366"/>
      <c r="C117" s="452">
        <v>46199</v>
      </c>
      <c r="D117" s="451">
        <v>102</v>
      </c>
      <c r="E117" s="454" t="s">
        <v>908</v>
      </c>
      <c r="F117" s="539">
        <f t="shared" si="3"/>
        <v>372.13186813186815</v>
      </c>
      <c r="G117" s="540">
        <f t="shared" si="4"/>
        <v>21.890109890109891</v>
      </c>
      <c r="H117" s="541">
        <f t="shared" si="5"/>
        <v>16372.131868131868</v>
      </c>
      <c r="I117" s="446"/>
    </row>
    <row r="118" spans="2:9" ht="26.1" hidden="1" customHeight="1" thickTop="1" thickBot="1" x14ac:dyDescent="0.4">
      <c r="B118" s="366"/>
      <c r="C118" s="452">
        <v>46200</v>
      </c>
      <c r="D118" s="451">
        <v>103</v>
      </c>
      <c r="E118" s="454" t="s">
        <v>909</v>
      </c>
      <c r="F118" s="539">
        <f t="shared" si="3"/>
        <v>375.7802197802198</v>
      </c>
      <c r="G118" s="540">
        <f t="shared" si="4"/>
        <v>22.104718810601163</v>
      </c>
      <c r="H118" s="541">
        <f t="shared" si="5"/>
        <v>16375.780219780219</v>
      </c>
      <c r="I118" s="446"/>
    </row>
    <row r="119" spans="2:9" ht="26.1" hidden="1" customHeight="1" thickTop="1" thickBot="1" x14ac:dyDescent="0.4">
      <c r="B119" s="366"/>
      <c r="C119" s="452">
        <v>46201</v>
      </c>
      <c r="D119" s="451">
        <v>104</v>
      </c>
      <c r="E119" s="454" t="s">
        <v>910</v>
      </c>
      <c r="F119" s="539">
        <f t="shared" si="3"/>
        <v>379.42857142857144</v>
      </c>
      <c r="G119" s="540">
        <f t="shared" si="4"/>
        <v>22.319327731092439</v>
      </c>
      <c r="H119" s="541">
        <f t="shared" si="5"/>
        <v>16379.428571428571</v>
      </c>
      <c r="I119" s="446"/>
    </row>
    <row r="120" spans="2:9" ht="26.1" hidden="1" customHeight="1" thickTop="1" thickBot="1" x14ac:dyDescent="0.4">
      <c r="B120" s="366"/>
      <c r="C120" s="452">
        <v>46202</v>
      </c>
      <c r="D120" s="451">
        <v>105</v>
      </c>
      <c r="E120" s="454" t="s">
        <v>904</v>
      </c>
      <c r="F120" s="539">
        <f t="shared" si="3"/>
        <v>383.07692307692309</v>
      </c>
      <c r="G120" s="540">
        <f t="shared" si="4"/>
        <v>22.533936651583712</v>
      </c>
      <c r="H120" s="541">
        <f t="shared" si="5"/>
        <v>16383.076923076924</v>
      </c>
      <c r="I120" s="446"/>
    </row>
    <row r="121" spans="2:9" ht="26.1" hidden="1" customHeight="1" thickTop="1" thickBot="1" x14ac:dyDescent="0.4">
      <c r="B121" s="366"/>
      <c r="C121" s="452">
        <v>46203</v>
      </c>
      <c r="D121" s="451">
        <v>106</v>
      </c>
      <c r="E121" s="454" t="s">
        <v>905</v>
      </c>
      <c r="F121" s="539">
        <f t="shared" si="3"/>
        <v>386.72527472527474</v>
      </c>
      <c r="G121" s="540">
        <f t="shared" si="4"/>
        <v>22.748545572074985</v>
      </c>
      <c r="H121" s="541">
        <f t="shared" si="5"/>
        <v>16386.725274725275</v>
      </c>
      <c r="I121" s="446"/>
    </row>
    <row r="122" spans="2:9" ht="26.1" hidden="1" customHeight="1" thickTop="1" thickBot="1" x14ac:dyDescent="0.4">
      <c r="B122" s="366"/>
      <c r="C122" s="452">
        <v>46204</v>
      </c>
      <c r="D122" s="451">
        <v>107</v>
      </c>
      <c r="E122" s="454" t="s">
        <v>906</v>
      </c>
      <c r="F122" s="539">
        <f t="shared" si="3"/>
        <v>390.37362637362634</v>
      </c>
      <c r="G122" s="540">
        <f t="shared" si="4"/>
        <v>22.963154492566254</v>
      </c>
      <c r="H122" s="541">
        <f t="shared" si="5"/>
        <v>16390.373626373625</v>
      </c>
      <c r="I122" s="446"/>
    </row>
    <row r="123" spans="2:9" ht="26.1" hidden="1" customHeight="1" thickTop="1" thickBot="1" x14ac:dyDescent="0.4">
      <c r="B123" s="366"/>
      <c r="C123" s="452">
        <v>46205</v>
      </c>
      <c r="D123" s="451">
        <v>108</v>
      </c>
      <c r="E123" s="454" t="s">
        <v>907</v>
      </c>
      <c r="F123" s="539">
        <f t="shared" si="3"/>
        <v>394.02197802197799</v>
      </c>
      <c r="G123" s="540">
        <f t="shared" si="4"/>
        <v>23.17776341305753</v>
      </c>
      <c r="H123" s="541">
        <f t="shared" si="5"/>
        <v>16394.021978021978</v>
      </c>
      <c r="I123" s="446"/>
    </row>
    <row r="124" spans="2:9" ht="26.1" hidden="1" customHeight="1" thickTop="1" thickBot="1" x14ac:dyDescent="0.4">
      <c r="B124" s="366"/>
      <c r="C124" s="452">
        <v>46206</v>
      </c>
      <c r="D124" s="451">
        <v>109</v>
      </c>
      <c r="E124" s="454" t="s">
        <v>908</v>
      </c>
      <c r="F124" s="539">
        <f t="shared" si="3"/>
        <v>397.67032967032964</v>
      </c>
      <c r="G124" s="540">
        <f t="shared" si="4"/>
        <v>23.392372333548803</v>
      </c>
      <c r="H124" s="541">
        <f t="shared" si="5"/>
        <v>16397.670329670331</v>
      </c>
      <c r="I124" s="446"/>
    </row>
    <row r="125" spans="2:9" ht="26.1" hidden="1" customHeight="1" thickTop="1" thickBot="1" x14ac:dyDescent="0.4">
      <c r="B125" s="366"/>
      <c r="C125" s="452">
        <v>46207</v>
      </c>
      <c r="D125" s="451">
        <v>110</v>
      </c>
      <c r="E125" s="454" t="s">
        <v>909</v>
      </c>
      <c r="F125" s="539">
        <f t="shared" si="3"/>
        <v>401.31868131868129</v>
      </c>
      <c r="G125" s="540">
        <f t="shared" si="4"/>
        <v>23.606981254040075</v>
      </c>
      <c r="H125" s="541">
        <f t="shared" si="5"/>
        <v>16401.31868131868</v>
      </c>
      <c r="I125" s="446"/>
    </row>
    <row r="126" spans="2:9" ht="26.1" hidden="1" customHeight="1" thickTop="1" thickBot="1" x14ac:dyDescent="0.4">
      <c r="B126" s="366"/>
      <c r="C126" s="452">
        <v>46208</v>
      </c>
      <c r="D126" s="451">
        <v>111</v>
      </c>
      <c r="E126" s="454" t="s">
        <v>910</v>
      </c>
      <c r="F126" s="539">
        <f t="shared" si="3"/>
        <v>404.96703296703294</v>
      </c>
      <c r="G126" s="540">
        <f t="shared" si="4"/>
        <v>23.821590174531348</v>
      </c>
      <c r="H126" s="541">
        <f t="shared" si="5"/>
        <v>16404.967032967033</v>
      </c>
      <c r="I126" s="446"/>
    </row>
    <row r="127" spans="2:9" ht="26.1" hidden="1" customHeight="1" thickTop="1" thickBot="1" x14ac:dyDescent="0.4">
      <c r="B127" s="366"/>
      <c r="C127" s="452">
        <v>46209</v>
      </c>
      <c r="D127" s="451">
        <v>112</v>
      </c>
      <c r="E127" s="454" t="s">
        <v>904</v>
      </c>
      <c r="F127" s="539">
        <f t="shared" si="3"/>
        <v>408.61538461538458</v>
      </c>
      <c r="G127" s="540">
        <f t="shared" si="4"/>
        <v>24.036199095022624</v>
      </c>
      <c r="H127" s="541">
        <f t="shared" si="5"/>
        <v>16408.615384615383</v>
      </c>
      <c r="I127" s="446"/>
    </row>
    <row r="128" spans="2:9" ht="26.1" hidden="1" customHeight="1" thickTop="1" thickBot="1" x14ac:dyDescent="0.4">
      <c r="B128" s="366"/>
      <c r="C128" s="452">
        <v>46210</v>
      </c>
      <c r="D128" s="451">
        <v>113</v>
      </c>
      <c r="E128" s="454" t="s">
        <v>905</v>
      </c>
      <c r="F128" s="539">
        <f t="shared" si="3"/>
        <v>412.26373626373623</v>
      </c>
      <c r="G128" s="540">
        <f t="shared" si="4"/>
        <v>24.250808015513897</v>
      </c>
      <c r="H128" s="541">
        <f t="shared" si="5"/>
        <v>16412.263736263736</v>
      </c>
      <c r="I128" s="446"/>
    </row>
    <row r="129" spans="2:9" ht="26.1" hidden="1" customHeight="1" thickTop="1" thickBot="1" x14ac:dyDescent="0.4">
      <c r="B129" s="366"/>
      <c r="C129" s="452">
        <v>46211</v>
      </c>
      <c r="D129" s="451">
        <v>114</v>
      </c>
      <c r="E129" s="454" t="s">
        <v>906</v>
      </c>
      <c r="F129" s="539">
        <f t="shared" si="3"/>
        <v>415.91208791208788</v>
      </c>
      <c r="G129" s="540">
        <f t="shared" si="4"/>
        <v>24.46541693600517</v>
      </c>
      <c r="H129" s="541">
        <f t="shared" si="5"/>
        <v>16415.912087912089</v>
      </c>
      <c r="I129" s="446"/>
    </row>
    <row r="130" spans="2:9" ht="26.1" hidden="1" customHeight="1" thickTop="1" thickBot="1" x14ac:dyDescent="0.4">
      <c r="B130" s="366"/>
      <c r="C130" s="452">
        <v>46212</v>
      </c>
      <c r="D130" s="451">
        <v>115</v>
      </c>
      <c r="E130" s="454" t="s">
        <v>907</v>
      </c>
      <c r="F130" s="539">
        <f t="shared" si="3"/>
        <v>419.56043956043953</v>
      </c>
      <c r="G130" s="540">
        <f t="shared" si="4"/>
        <v>24.680025856496442</v>
      </c>
      <c r="H130" s="541">
        <f t="shared" si="5"/>
        <v>16419.560439560439</v>
      </c>
      <c r="I130" s="446"/>
    </row>
    <row r="131" spans="2:9" ht="26.1" hidden="1" customHeight="1" thickTop="1" thickBot="1" x14ac:dyDescent="0.4">
      <c r="B131" s="366"/>
      <c r="C131" s="452">
        <v>46213</v>
      </c>
      <c r="D131" s="451">
        <v>116</v>
      </c>
      <c r="E131" s="454" t="s">
        <v>908</v>
      </c>
      <c r="F131" s="539">
        <f t="shared" si="3"/>
        <v>423.20879120879118</v>
      </c>
      <c r="G131" s="540">
        <f t="shared" si="4"/>
        <v>24.894634776987715</v>
      </c>
      <c r="H131" s="541">
        <f t="shared" si="5"/>
        <v>16423.208791208792</v>
      </c>
      <c r="I131" s="446"/>
    </row>
    <row r="132" spans="2:9" ht="26.1" hidden="1" customHeight="1" thickTop="1" thickBot="1" x14ac:dyDescent="0.4">
      <c r="B132" s="366"/>
      <c r="C132" s="452">
        <v>46214</v>
      </c>
      <c r="D132" s="451">
        <v>117</v>
      </c>
      <c r="E132" s="454" t="s">
        <v>909</v>
      </c>
      <c r="F132" s="539">
        <f t="shared" si="3"/>
        <v>426.85714285714283</v>
      </c>
      <c r="G132" s="540">
        <f t="shared" si="4"/>
        <v>25.109243697478991</v>
      </c>
      <c r="H132" s="541">
        <f t="shared" si="5"/>
        <v>16426.857142857141</v>
      </c>
      <c r="I132" s="446"/>
    </row>
    <row r="133" spans="2:9" ht="26.1" hidden="1" customHeight="1" thickTop="1" thickBot="1" x14ac:dyDescent="0.4">
      <c r="B133" s="366"/>
      <c r="C133" s="452">
        <v>46215</v>
      </c>
      <c r="D133" s="451">
        <v>118</v>
      </c>
      <c r="E133" s="454" t="s">
        <v>910</v>
      </c>
      <c r="F133" s="539">
        <f t="shared" si="3"/>
        <v>430.50549450549448</v>
      </c>
      <c r="G133" s="540">
        <f t="shared" si="4"/>
        <v>25.323852617970264</v>
      </c>
      <c r="H133" s="541">
        <f t="shared" si="5"/>
        <v>16430.505494505494</v>
      </c>
      <c r="I133" s="446"/>
    </row>
    <row r="134" spans="2:9" ht="26.1" hidden="1" customHeight="1" thickTop="1" thickBot="1" x14ac:dyDescent="0.4">
      <c r="B134" s="366"/>
      <c r="C134" s="452">
        <v>46216</v>
      </c>
      <c r="D134" s="451">
        <v>119</v>
      </c>
      <c r="E134" s="454" t="s">
        <v>904</v>
      </c>
      <c r="F134" s="539">
        <f t="shared" si="3"/>
        <v>434.15384615384613</v>
      </c>
      <c r="G134" s="540">
        <f t="shared" si="4"/>
        <v>25.538461538461537</v>
      </c>
      <c r="H134" s="541">
        <f t="shared" si="5"/>
        <v>16434.153846153848</v>
      </c>
      <c r="I134" s="446"/>
    </row>
    <row r="135" spans="2:9" ht="26.1" hidden="1" customHeight="1" thickTop="1" thickBot="1" x14ac:dyDescent="0.4">
      <c r="B135" s="366"/>
      <c r="C135" s="452">
        <v>46217</v>
      </c>
      <c r="D135" s="451">
        <v>120</v>
      </c>
      <c r="E135" s="454" t="s">
        <v>905</v>
      </c>
      <c r="F135" s="539">
        <f t="shared" si="3"/>
        <v>437.80219780219778</v>
      </c>
      <c r="G135" s="540">
        <f t="shared" si="4"/>
        <v>25.753070458952809</v>
      </c>
      <c r="H135" s="541">
        <f t="shared" si="5"/>
        <v>16437.802197802197</v>
      </c>
      <c r="I135" s="446"/>
    </row>
    <row r="136" spans="2:9" ht="26.1" hidden="1" customHeight="1" thickTop="1" thickBot="1" x14ac:dyDescent="0.4">
      <c r="B136" s="366"/>
      <c r="C136" s="452">
        <v>46218</v>
      </c>
      <c r="D136" s="451">
        <v>121</v>
      </c>
      <c r="E136" s="454" t="s">
        <v>906</v>
      </c>
      <c r="F136" s="539">
        <f t="shared" si="3"/>
        <v>441.45054945054943</v>
      </c>
      <c r="G136" s="540">
        <f t="shared" si="4"/>
        <v>25.967679379444085</v>
      </c>
      <c r="H136" s="541">
        <f t="shared" si="5"/>
        <v>16441.45054945055</v>
      </c>
      <c r="I136" s="446"/>
    </row>
    <row r="137" spans="2:9" ht="26.1" hidden="1" customHeight="1" thickTop="1" thickBot="1" x14ac:dyDescent="0.4">
      <c r="B137" s="366"/>
      <c r="C137" s="452">
        <v>46219</v>
      </c>
      <c r="D137" s="451">
        <v>122</v>
      </c>
      <c r="E137" s="454" t="s">
        <v>907</v>
      </c>
      <c r="F137" s="539">
        <f t="shared" si="3"/>
        <v>445.09890109890108</v>
      </c>
      <c r="G137" s="540">
        <f t="shared" si="4"/>
        <v>26.182288299935358</v>
      </c>
      <c r="H137" s="541">
        <f t="shared" si="5"/>
        <v>16445.0989010989</v>
      </c>
      <c r="I137" s="446"/>
    </row>
    <row r="138" spans="2:9" ht="26.1" hidden="1" customHeight="1" thickTop="1" thickBot="1" x14ac:dyDescent="0.4">
      <c r="B138" s="366"/>
      <c r="C138" s="452">
        <v>46220</v>
      </c>
      <c r="D138" s="451">
        <v>123</v>
      </c>
      <c r="E138" s="454" t="s">
        <v>908</v>
      </c>
      <c r="F138" s="539">
        <f t="shared" si="3"/>
        <v>448.74725274725273</v>
      </c>
      <c r="G138" s="540">
        <f t="shared" si="4"/>
        <v>26.396897220426631</v>
      </c>
      <c r="H138" s="541">
        <f t="shared" si="5"/>
        <v>16448.747252747253</v>
      </c>
      <c r="I138" s="446"/>
    </row>
    <row r="139" spans="2:9" ht="26.1" hidden="1" customHeight="1" thickTop="1" thickBot="1" x14ac:dyDescent="0.4">
      <c r="B139" s="366"/>
      <c r="C139" s="452">
        <v>46221</v>
      </c>
      <c r="D139" s="451">
        <v>124</v>
      </c>
      <c r="E139" s="454" t="s">
        <v>909</v>
      </c>
      <c r="F139" s="539">
        <f t="shared" si="3"/>
        <v>452.39560439560438</v>
      </c>
      <c r="G139" s="540">
        <f t="shared" si="4"/>
        <v>26.611506140917903</v>
      </c>
      <c r="H139" s="541">
        <f t="shared" si="5"/>
        <v>16452.395604395606</v>
      </c>
      <c r="I139" s="446"/>
    </row>
    <row r="140" spans="2:9" ht="26.1" hidden="1" customHeight="1" thickTop="1" thickBot="1" x14ac:dyDescent="0.4">
      <c r="B140" s="366"/>
      <c r="C140" s="452">
        <v>46222</v>
      </c>
      <c r="D140" s="451">
        <v>125</v>
      </c>
      <c r="E140" s="454" t="s">
        <v>910</v>
      </c>
      <c r="F140" s="539">
        <f t="shared" si="3"/>
        <v>456.04395604395603</v>
      </c>
      <c r="G140" s="540">
        <f t="shared" si="4"/>
        <v>26.82611506140918</v>
      </c>
      <c r="H140" s="541">
        <f t="shared" si="5"/>
        <v>16456.043956043955</v>
      </c>
      <c r="I140" s="446"/>
    </row>
    <row r="141" spans="2:9" ht="26.1" hidden="1" customHeight="1" thickTop="1" thickBot="1" x14ac:dyDescent="0.4">
      <c r="B141" s="366"/>
      <c r="C141" s="452">
        <v>46223</v>
      </c>
      <c r="D141" s="451">
        <v>126</v>
      </c>
      <c r="E141" s="454" t="s">
        <v>904</v>
      </c>
      <c r="F141" s="539">
        <f t="shared" si="3"/>
        <v>459.69230769230768</v>
      </c>
      <c r="G141" s="540">
        <f t="shared" si="4"/>
        <v>27.040723981900452</v>
      </c>
      <c r="H141" s="541">
        <f t="shared" si="5"/>
        <v>16459.692307692309</v>
      </c>
      <c r="I141" s="446"/>
    </row>
    <row r="142" spans="2:9" ht="26.1" hidden="1" customHeight="1" thickTop="1" thickBot="1" x14ac:dyDescent="0.4">
      <c r="B142" s="366"/>
      <c r="C142" s="452">
        <v>46224</v>
      </c>
      <c r="D142" s="451">
        <v>127</v>
      </c>
      <c r="E142" s="454" t="s">
        <v>905</v>
      </c>
      <c r="F142" s="539">
        <f t="shared" si="3"/>
        <v>463.34065934065933</v>
      </c>
      <c r="G142" s="540">
        <f t="shared" si="4"/>
        <v>27.255332902391725</v>
      </c>
      <c r="H142" s="541">
        <f t="shared" si="5"/>
        <v>16463.340659340658</v>
      </c>
      <c r="I142" s="446"/>
    </row>
    <row r="143" spans="2:9" ht="26.1" hidden="1" customHeight="1" thickTop="1" thickBot="1" x14ac:dyDescent="0.4">
      <c r="B143" s="366"/>
      <c r="C143" s="452">
        <v>46225</v>
      </c>
      <c r="D143" s="451">
        <v>128</v>
      </c>
      <c r="E143" s="454" t="s">
        <v>906</v>
      </c>
      <c r="F143" s="539">
        <f t="shared" si="3"/>
        <v>466.98901098901098</v>
      </c>
      <c r="G143" s="540">
        <f t="shared" si="4"/>
        <v>27.469941822882998</v>
      </c>
      <c r="H143" s="541">
        <f t="shared" si="5"/>
        <v>16466.989010989011</v>
      </c>
      <c r="I143" s="446"/>
    </row>
    <row r="144" spans="2:9" ht="26.1" hidden="1" customHeight="1" thickTop="1" thickBot="1" x14ac:dyDescent="0.4">
      <c r="B144" s="366"/>
      <c r="C144" s="452">
        <v>46226</v>
      </c>
      <c r="D144" s="451">
        <v>129</v>
      </c>
      <c r="E144" s="454" t="s">
        <v>907</v>
      </c>
      <c r="F144" s="539">
        <f t="shared" ref="F144:F207" si="6">$E$8/$F$10*D144</f>
        <v>470.63736263736263</v>
      </c>
      <c r="G144" s="540">
        <f t="shared" ref="G144:G207" si="7">F144/$C$12</f>
        <v>27.684550743374274</v>
      </c>
      <c r="H144" s="541">
        <f t="shared" si="5"/>
        <v>16470.637362637364</v>
      </c>
      <c r="I144" s="446"/>
    </row>
    <row r="145" spans="2:9" ht="26.1" hidden="1" customHeight="1" thickTop="1" thickBot="1" x14ac:dyDescent="0.4">
      <c r="B145" s="366"/>
      <c r="C145" s="452">
        <v>46227</v>
      </c>
      <c r="D145" s="451">
        <v>130</v>
      </c>
      <c r="E145" s="454" t="s">
        <v>908</v>
      </c>
      <c r="F145" s="539">
        <f t="shared" si="6"/>
        <v>474.28571428571428</v>
      </c>
      <c r="G145" s="540">
        <f t="shared" si="7"/>
        <v>27.899159663865547</v>
      </c>
      <c r="H145" s="541">
        <f t="shared" ref="H145:H208" si="8">$C$8+F145</f>
        <v>16474.285714285714</v>
      </c>
      <c r="I145" s="446"/>
    </row>
    <row r="146" spans="2:9" ht="26.1" hidden="1" customHeight="1" thickTop="1" thickBot="1" x14ac:dyDescent="0.4">
      <c r="B146" s="366"/>
      <c r="C146" s="452">
        <v>46228</v>
      </c>
      <c r="D146" s="451">
        <v>131</v>
      </c>
      <c r="E146" s="454" t="s">
        <v>909</v>
      </c>
      <c r="F146" s="539">
        <f t="shared" si="6"/>
        <v>477.93406593406593</v>
      </c>
      <c r="G146" s="540">
        <f t="shared" si="7"/>
        <v>28.113768584356819</v>
      </c>
      <c r="H146" s="541">
        <f t="shared" si="8"/>
        <v>16477.934065934067</v>
      </c>
      <c r="I146" s="446"/>
    </row>
    <row r="147" spans="2:9" ht="26.1" hidden="1" customHeight="1" thickTop="1" thickBot="1" x14ac:dyDescent="0.4">
      <c r="B147" s="366"/>
      <c r="C147" s="452">
        <v>46229</v>
      </c>
      <c r="D147" s="451">
        <v>132</v>
      </c>
      <c r="E147" s="454" t="s">
        <v>910</v>
      </c>
      <c r="F147" s="539">
        <f t="shared" si="6"/>
        <v>481.58241758241758</v>
      </c>
      <c r="G147" s="540">
        <f t="shared" si="7"/>
        <v>28.328377504848092</v>
      </c>
      <c r="H147" s="541">
        <f t="shared" si="8"/>
        <v>16481.582417582416</v>
      </c>
      <c r="I147" s="446"/>
    </row>
    <row r="148" spans="2:9" ht="26.1" hidden="1" customHeight="1" thickTop="1" thickBot="1" x14ac:dyDescent="0.4">
      <c r="B148" s="366"/>
      <c r="C148" s="452">
        <v>46230</v>
      </c>
      <c r="D148" s="451">
        <v>133</v>
      </c>
      <c r="E148" s="454" t="s">
        <v>904</v>
      </c>
      <c r="F148" s="539">
        <f t="shared" si="6"/>
        <v>485.23076923076923</v>
      </c>
      <c r="G148" s="540">
        <f t="shared" si="7"/>
        <v>28.542986425339365</v>
      </c>
      <c r="H148" s="541">
        <f t="shared" si="8"/>
        <v>16485.23076923077</v>
      </c>
      <c r="I148" s="446"/>
    </row>
    <row r="149" spans="2:9" ht="26.1" hidden="1" customHeight="1" thickTop="1" thickBot="1" x14ac:dyDescent="0.4">
      <c r="B149" s="366"/>
      <c r="C149" s="452">
        <v>46231</v>
      </c>
      <c r="D149" s="451">
        <v>134</v>
      </c>
      <c r="E149" s="454" t="s">
        <v>905</v>
      </c>
      <c r="F149" s="539">
        <f t="shared" si="6"/>
        <v>488.87912087912088</v>
      </c>
      <c r="G149" s="540">
        <f t="shared" si="7"/>
        <v>28.757595345830641</v>
      </c>
      <c r="H149" s="541">
        <f t="shared" si="8"/>
        <v>16488.879120879123</v>
      </c>
      <c r="I149" s="446"/>
    </row>
    <row r="150" spans="2:9" ht="26.1" hidden="1" customHeight="1" thickTop="1" thickBot="1" x14ac:dyDescent="0.4">
      <c r="B150" s="366"/>
      <c r="C150" s="452">
        <v>46232</v>
      </c>
      <c r="D150" s="451">
        <v>135</v>
      </c>
      <c r="E150" s="454" t="s">
        <v>906</v>
      </c>
      <c r="F150" s="539">
        <f t="shared" si="6"/>
        <v>492.52747252747253</v>
      </c>
      <c r="G150" s="540">
        <f t="shared" si="7"/>
        <v>28.972204266321913</v>
      </c>
      <c r="H150" s="541">
        <f t="shared" si="8"/>
        <v>16492.527472527472</v>
      </c>
      <c r="I150" s="446"/>
    </row>
    <row r="151" spans="2:9" ht="26.1" hidden="1" customHeight="1" thickTop="1" thickBot="1" x14ac:dyDescent="0.4">
      <c r="B151" s="366"/>
      <c r="C151" s="452">
        <v>46233</v>
      </c>
      <c r="D151" s="451">
        <v>136</v>
      </c>
      <c r="E151" s="454" t="s">
        <v>907</v>
      </c>
      <c r="F151" s="539">
        <f t="shared" si="6"/>
        <v>496.17582417582418</v>
      </c>
      <c r="G151" s="540">
        <f t="shared" si="7"/>
        <v>29.186813186813186</v>
      </c>
      <c r="H151" s="541">
        <f t="shared" si="8"/>
        <v>16496.175824175825</v>
      </c>
      <c r="I151" s="446"/>
    </row>
    <row r="152" spans="2:9" ht="26.1" hidden="1" customHeight="1" thickTop="1" thickBot="1" x14ac:dyDescent="0.4">
      <c r="B152" s="366"/>
      <c r="C152" s="452">
        <v>46234</v>
      </c>
      <c r="D152" s="451">
        <v>137</v>
      </c>
      <c r="E152" s="454" t="s">
        <v>908</v>
      </c>
      <c r="F152" s="539">
        <f t="shared" si="6"/>
        <v>499.82417582417582</v>
      </c>
      <c r="G152" s="540">
        <f t="shared" si="7"/>
        <v>29.401422107304459</v>
      </c>
      <c r="H152" s="541">
        <f t="shared" si="8"/>
        <v>16499.824175824175</v>
      </c>
      <c r="I152" s="446"/>
    </row>
    <row r="153" spans="2:9" ht="26.1" hidden="1" customHeight="1" thickTop="1" thickBot="1" x14ac:dyDescent="0.4">
      <c r="B153" s="366"/>
      <c r="C153" s="452">
        <v>46235</v>
      </c>
      <c r="D153" s="451">
        <v>138</v>
      </c>
      <c r="E153" s="454" t="s">
        <v>909</v>
      </c>
      <c r="F153" s="539">
        <f t="shared" si="6"/>
        <v>503.47252747252747</v>
      </c>
      <c r="G153" s="540">
        <f t="shared" si="7"/>
        <v>29.616031027795735</v>
      </c>
      <c r="H153" s="541">
        <f t="shared" si="8"/>
        <v>16503.472527472528</v>
      </c>
      <c r="I153" s="446"/>
    </row>
    <row r="154" spans="2:9" ht="26.1" hidden="1" customHeight="1" thickTop="1" thickBot="1" x14ac:dyDescent="0.4">
      <c r="B154" s="366"/>
      <c r="C154" s="452">
        <v>46236</v>
      </c>
      <c r="D154" s="451">
        <v>139</v>
      </c>
      <c r="E154" s="454" t="s">
        <v>910</v>
      </c>
      <c r="F154" s="539">
        <f t="shared" si="6"/>
        <v>507.12087912087912</v>
      </c>
      <c r="G154" s="540">
        <f t="shared" si="7"/>
        <v>29.830639948287008</v>
      </c>
      <c r="H154" s="541">
        <f t="shared" si="8"/>
        <v>16507.120879120877</v>
      </c>
      <c r="I154" s="446"/>
    </row>
    <row r="155" spans="2:9" ht="26.1" hidden="1" customHeight="1" thickTop="1" thickBot="1" x14ac:dyDescent="0.4">
      <c r="B155" s="366"/>
      <c r="C155" s="452">
        <v>46237</v>
      </c>
      <c r="D155" s="451">
        <v>140</v>
      </c>
      <c r="E155" s="454" t="s">
        <v>904</v>
      </c>
      <c r="F155" s="539">
        <f t="shared" si="6"/>
        <v>510.76923076923077</v>
      </c>
      <c r="G155" s="540">
        <f t="shared" si="7"/>
        <v>30.04524886877828</v>
      </c>
      <c r="H155" s="541">
        <f t="shared" si="8"/>
        <v>16510.76923076923</v>
      </c>
      <c r="I155" s="446"/>
    </row>
    <row r="156" spans="2:9" ht="26.1" hidden="1" customHeight="1" thickTop="1" thickBot="1" x14ac:dyDescent="0.4">
      <c r="B156" s="366"/>
      <c r="C156" s="452">
        <v>46238</v>
      </c>
      <c r="D156" s="451">
        <v>141</v>
      </c>
      <c r="E156" s="454" t="s">
        <v>905</v>
      </c>
      <c r="F156" s="539">
        <f t="shared" si="6"/>
        <v>514.41758241758237</v>
      </c>
      <c r="G156" s="540">
        <f t="shared" si="7"/>
        <v>30.259857789269549</v>
      </c>
      <c r="H156" s="541">
        <f t="shared" si="8"/>
        <v>16514.417582417584</v>
      </c>
      <c r="I156" s="446"/>
    </row>
    <row r="157" spans="2:9" ht="26.1" hidden="1" customHeight="1" thickTop="1" thickBot="1" x14ac:dyDescent="0.4">
      <c r="B157" s="366"/>
      <c r="C157" s="452">
        <v>46239</v>
      </c>
      <c r="D157" s="451">
        <v>142</v>
      </c>
      <c r="E157" s="454" t="s">
        <v>906</v>
      </c>
      <c r="F157" s="539">
        <f t="shared" si="6"/>
        <v>518.06593406593402</v>
      </c>
      <c r="G157" s="540">
        <f t="shared" si="7"/>
        <v>30.474466709760826</v>
      </c>
      <c r="H157" s="541">
        <f t="shared" si="8"/>
        <v>16518.065934065933</v>
      </c>
      <c r="I157" s="446"/>
    </row>
    <row r="158" spans="2:9" ht="26.1" hidden="1" customHeight="1" thickTop="1" thickBot="1" x14ac:dyDescent="0.4">
      <c r="B158" s="366"/>
      <c r="C158" s="452">
        <v>46240</v>
      </c>
      <c r="D158" s="451">
        <v>143</v>
      </c>
      <c r="E158" s="454" t="s">
        <v>907</v>
      </c>
      <c r="F158" s="539">
        <f t="shared" si="6"/>
        <v>521.71428571428567</v>
      </c>
      <c r="G158" s="540">
        <f t="shared" si="7"/>
        <v>30.689075630252098</v>
      </c>
      <c r="H158" s="541">
        <f t="shared" si="8"/>
        <v>16521.714285714286</v>
      </c>
      <c r="I158" s="446"/>
    </row>
    <row r="159" spans="2:9" ht="26.1" hidden="1" customHeight="1" thickTop="1" thickBot="1" x14ac:dyDescent="0.4">
      <c r="B159" s="366"/>
      <c r="C159" s="452">
        <v>46241</v>
      </c>
      <c r="D159" s="451">
        <v>144</v>
      </c>
      <c r="E159" s="454" t="s">
        <v>908</v>
      </c>
      <c r="F159" s="539">
        <f t="shared" si="6"/>
        <v>525.36263736263732</v>
      </c>
      <c r="G159" s="540">
        <f t="shared" si="7"/>
        <v>30.903684550743371</v>
      </c>
      <c r="H159" s="541">
        <f t="shared" si="8"/>
        <v>16525.362637362636</v>
      </c>
      <c r="I159" s="446"/>
    </row>
    <row r="160" spans="2:9" ht="26.1" hidden="1" customHeight="1" thickTop="1" thickBot="1" x14ac:dyDescent="0.4">
      <c r="B160" s="366"/>
      <c r="C160" s="452">
        <v>46242</v>
      </c>
      <c r="D160" s="451">
        <v>145</v>
      </c>
      <c r="E160" s="454" t="s">
        <v>909</v>
      </c>
      <c r="F160" s="539">
        <f t="shared" si="6"/>
        <v>529.01098901098896</v>
      </c>
      <c r="G160" s="540">
        <f t="shared" si="7"/>
        <v>31.118293471234644</v>
      </c>
      <c r="H160" s="541">
        <f t="shared" si="8"/>
        <v>16529.010989010989</v>
      </c>
      <c r="I160" s="446"/>
    </row>
    <row r="161" spans="2:9" ht="26.1" hidden="1" customHeight="1" thickTop="1" thickBot="1" x14ac:dyDescent="0.4">
      <c r="B161" s="366"/>
      <c r="C161" s="452">
        <v>46243</v>
      </c>
      <c r="D161" s="451">
        <v>146</v>
      </c>
      <c r="E161" s="454" t="s">
        <v>910</v>
      </c>
      <c r="F161" s="539">
        <f t="shared" si="6"/>
        <v>532.65934065934061</v>
      </c>
      <c r="G161" s="540">
        <f t="shared" si="7"/>
        <v>31.33290239172592</v>
      </c>
      <c r="H161" s="541">
        <f t="shared" si="8"/>
        <v>16532.659340659342</v>
      </c>
      <c r="I161" s="446"/>
    </row>
    <row r="162" spans="2:9" ht="26.1" hidden="1" customHeight="1" thickTop="1" thickBot="1" x14ac:dyDescent="0.4">
      <c r="B162" s="366"/>
      <c r="C162" s="452">
        <v>46244</v>
      </c>
      <c r="D162" s="451">
        <v>147</v>
      </c>
      <c r="E162" s="454" t="s">
        <v>904</v>
      </c>
      <c r="F162" s="539">
        <f t="shared" si="6"/>
        <v>536.30769230769226</v>
      </c>
      <c r="G162" s="540">
        <f t="shared" si="7"/>
        <v>31.547511312217193</v>
      </c>
      <c r="H162" s="541">
        <f t="shared" si="8"/>
        <v>16536.307692307691</v>
      </c>
      <c r="I162" s="446"/>
    </row>
    <row r="163" spans="2:9" ht="26.1" hidden="1" customHeight="1" thickTop="1" thickBot="1" x14ac:dyDescent="0.4">
      <c r="B163" s="366"/>
      <c r="C163" s="452">
        <v>46245</v>
      </c>
      <c r="D163" s="451">
        <v>148</v>
      </c>
      <c r="E163" s="454" t="s">
        <v>905</v>
      </c>
      <c r="F163" s="539">
        <f t="shared" si="6"/>
        <v>539.95604395604391</v>
      </c>
      <c r="G163" s="540">
        <f t="shared" si="7"/>
        <v>31.762120232708465</v>
      </c>
      <c r="H163" s="541">
        <f t="shared" si="8"/>
        <v>16539.956043956045</v>
      </c>
      <c r="I163" s="446"/>
    </row>
    <row r="164" spans="2:9" ht="26.1" hidden="1" customHeight="1" thickTop="1" thickBot="1" x14ac:dyDescent="0.4">
      <c r="B164" s="366"/>
      <c r="C164" s="452">
        <v>46246</v>
      </c>
      <c r="D164" s="451">
        <v>149</v>
      </c>
      <c r="E164" s="454" t="s">
        <v>906</v>
      </c>
      <c r="F164" s="539">
        <f t="shared" si="6"/>
        <v>543.60439560439556</v>
      </c>
      <c r="G164" s="540">
        <f t="shared" si="7"/>
        <v>31.976729153199738</v>
      </c>
      <c r="H164" s="541">
        <f t="shared" si="8"/>
        <v>16543.604395604394</v>
      </c>
      <c r="I164" s="446"/>
    </row>
    <row r="165" spans="2:9" ht="26.1" hidden="1" customHeight="1" thickTop="1" thickBot="1" x14ac:dyDescent="0.4">
      <c r="B165" s="366"/>
      <c r="C165" s="452">
        <v>46247</v>
      </c>
      <c r="D165" s="451">
        <v>150</v>
      </c>
      <c r="E165" s="454" t="s">
        <v>907</v>
      </c>
      <c r="F165" s="539">
        <f t="shared" si="6"/>
        <v>547.25274725274721</v>
      </c>
      <c r="G165" s="540">
        <f t="shared" si="7"/>
        <v>32.191338073691014</v>
      </c>
      <c r="H165" s="541">
        <f t="shared" si="8"/>
        <v>16547.252747252747</v>
      </c>
      <c r="I165" s="446"/>
    </row>
    <row r="166" spans="2:9" ht="26.1" hidden="1" customHeight="1" thickTop="1" thickBot="1" x14ac:dyDescent="0.4">
      <c r="B166" s="366"/>
      <c r="C166" s="452">
        <v>46248</v>
      </c>
      <c r="D166" s="451">
        <v>151</v>
      </c>
      <c r="E166" s="454" t="s">
        <v>908</v>
      </c>
      <c r="F166" s="539">
        <f t="shared" si="6"/>
        <v>550.90109890109886</v>
      </c>
      <c r="G166" s="540">
        <f t="shared" si="7"/>
        <v>32.405946994182287</v>
      </c>
      <c r="H166" s="541">
        <f t="shared" si="8"/>
        <v>16550.9010989011</v>
      </c>
      <c r="I166" s="446"/>
    </row>
    <row r="167" spans="2:9" ht="26.1" hidden="1" customHeight="1" thickTop="1" thickBot="1" x14ac:dyDescent="0.4">
      <c r="B167" s="366"/>
      <c r="C167" s="452">
        <v>46249</v>
      </c>
      <c r="D167" s="451">
        <v>152</v>
      </c>
      <c r="E167" s="454" t="s">
        <v>909</v>
      </c>
      <c r="F167" s="539">
        <f t="shared" si="6"/>
        <v>554.54945054945051</v>
      </c>
      <c r="G167" s="540">
        <f t="shared" si="7"/>
        <v>32.62055591467356</v>
      </c>
      <c r="H167" s="541">
        <f t="shared" si="8"/>
        <v>16554.54945054945</v>
      </c>
      <c r="I167" s="446"/>
    </row>
    <row r="168" spans="2:9" ht="26.1" hidden="1" customHeight="1" thickTop="1" thickBot="1" x14ac:dyDescent="0.4">
      <c r="B168" s="366"/>
      <c r="C168" s="452">
        <v>46250</v>
      </c>
      <c r="D168" s="451">
        <v>153</v>
      </c>
      <c r="E168" s="454" t="s">
        <v>910</v>
      </c>
      <c r="F168" s="539">
        <f t="shared" si="6"/>
        <v>558.19780219780216</v>
      </c>
      <c r="G168" s="540">
        <f t="shared" si="7"/>
        <v>32.835164835164832</v>
      </c>
      <c r="H168" s="541">
        <f t="shared" si="8"/>
        <v>16558.197802197803</v>
      </c>
      <c r="I168" s="446"/>
    </row>
    <row r="169" spans="2:9" ht="26.1" hidden="1" customHeight="1" thickTop="1" thickBot="1" x14ac:dyDescent="0.4">
      <c r="B169" s="366"/>
      <c r="C169" s="452">
        <v>46251</v>
      </c>
      <c r="D169" s="451">
        <v>154</v>
      </c>
      <c r="E169" s="454" t="s">
        <v>904</v>
      </c>
      <c r="F169" s="539">
        <f t="shared" si="6"/>
        <v>561.84615384615381</v>
      </c>
      <c r="G169" s="540">
        <f t="shared" si="7"/>
        <v>33.049773755656105</v>
      </c>
      <c r="H169" s="541">
        <f t="shared" si="8"/>
        <v>16561.846153846152</v>
      </c>
      <c r="I169" s="446"/>
    </row>
    <row r="170" spans="2:9" ht="26.1" hidden="1" customHeight="1" thickTop="1" thickBot="1" x14ac:dyDescent="0.4">
      <c r="B170" s="366"/>
      <c r="C170" s="452">
        <v>46252</v>
      </c>
      <c r="D170" s="451">
        <v>155</v>
      </c>
      <c r="E170" s="454" t="s">
        <v>905</v>
      </c>
      <c r="F170" s="539">
        <f t="shared" si="6"/>
        <v>565.49450549450546</v>
      </c>
      <c r="G170" s="540">
        <f t="shared" si="7"/>
        <v>33.264382676147378</v>
      </c>
      <c r="H170" s="541">
        <f t="shared" si="8"/>
        <v>16565.494505494506</v>
      </c>
      <c r="I170" s="446"/>
    </row>
    <row r="171" spans="2:9" ht="26.1" hidden="1" customHeight="1" thickTop="1" thickBot="1" x14ac:dyDescent="0.4">
      <c r="B171" s="366"/>
      <c r="C171" s="452">
        <v>46253</v>
      </c>
      <c r="D171" s="451">
        <v>156</v>
      </c>
      <c r="E171" s="454" t="s">
        <v>906</v>
      </c>
      <c r="F171" s="539">
        <f t="shared" si="6"/>
        <v>569.14285714285711</v>
      </c>
      <c r="G171" s="540">
        <f t="shared" si="7"/>
        <v>33.47899159663865</v>
      </c>
      <c r="H171" s="541">
        <f t="shared" si="8"/>
        <v>16569.142857142859</v>
      </c>
      <c r="I171" s="446"/>
    </row>
    <row r="172" spans="2:9" ht="26.1" hidden="1" customHeight="1" thickTop="1" thickBot="1" x14ac:dyDescent="0.4">
      <c r="B172" s="366"/>
      <c r="C172" s="452">
        <v>46254</v>
      </c>
      <c r="D172" s="451">
        <v>157</v>
      </c>
      <c r="E172" s="454" t="s">
        <v>907</v>
      </c>
      <c r="F172" s="539">
        <f t="shared" si="6"/>
        <v>572.79120879120876</v>
      </c>
      <c r="G172" s="540">
        <f t="shared" si="7"/>
        <v>33.69360051712993</v>
      </c>
      <c r="H172" s="541">
        <f t="shared" si="8"/>
        <v>16572.791208791208</v>
      </c>
      <c r="I172" s="446"/>
    </row>
    <row r="173" spans="2:9" ht="26.1" hidden="1" customHeight="1" thickTop="1" thickBot="1" x14ac:dyDescent="0.4">
      <c r="B173" s="366"/>
      <c r="C173" s="452">
        <v>46255</v>
      </c>
      <c r="D173" s="451">
        <v>158</v>
      </c>
      <c r="E173" s="454" t="s">
        <v>908</v>
      </c>
      <c r="F173" s="539">
        <f t="shared" si="6"/>
        <v>576.43956043956041</v>
      </c>
      <c r="G173" s="540">
        <f t="shared" si="7"/>
        <v>33.908209437621203</v>
      </c>
      <c r="H173" s="541">
        <f t="shared" si="8"/>
        <v>16576.439560439561</v>
      </c>
      <c r="I173" s="446"/>
    </row>
    <row r="174" spans="2:9" ht="26.1" hidden="1" customHeight="1" thickTop="1" thickBot="1" x14ac:dyDescent="0.4">
      <c r="B174" s="366"/>
      <c r="C174" s="452">
        <v>46256</v>
      </c>
      <c r="D174" s="451">
        <v>159</v>
      </c>
      <c r="E174" s="454" t="s">
        <v>909</v>
      </c>
      <c r="F174" s="539">
        <f t="shared" si="6"/>
        <v>580.08791208791206</v>
      </c>
      <c r="G174" s="540">
        <f t="shared" si="7"/>
        <v>34.122818358112475</v>
      </c>
      <c r="H174" s="541">
        <f t="shared" si="8"/>
        <v>16580.087912087911</v>
      </c>
      <c r="I174" s="446"/>
    </row>
    <row r="175" spans="2:9" ht="26.1" hidden="1" customHeight="1" thickTop="1" thickBot="1" x14ac:dyDescent="0.4">
      <c r="B175" s="366"/>
      <c r="C175" s="452">
        <v>46257</v>
      </c>
      <c r="D175" s="451">
        <v>160</v>
      </c>
      <c r="E175" s="454" t="s">
        <v>910</v>
      </c>
      <c r="F175" s="539">
        <f t="shared" si="6"/>
        <v>583.73626373626371</v>
      </c>
      <c r="G175" s="540">
        <f t="shared" si="7"/>
        <v>34.337427278603748</v>
      </c>
      <c r="H175" s="541">
        <f t="shared" si="8"/>
        <v>16583.736263736264</v>
      </c>
      <c r="I175" s="446"/>
    </row>
    <row r="176" spans="2:9" ht="26.1" hidden="1" customHeight="1" thickTop="1" thickBot="1" x14ac:dyDescent="0.4">
      <c r="B176" s="366"/>
      <c r="C176" s="452">
        <v>46258</v>
      </c>
      <c r="D176" s="451">
        <v>161</v>
      </c>
      <c r="E176" s="454" t="s">
        <v>904</v>
      </c>
      <c r="F176" s="539">
        <f t="shared" si="6"/>
        <v>587.38461538461536</v>
      </c>
      <c r="G176" s="540">
        <f t="shared" si="7"/>
        <v>34.552036199095021</v>
      </c>
      <c r="H176" s="541">
        <f t="shared" si="8"/>
        <v>16587.384615384617</v>
      </c>
      <c r="I176" s="446"/>
    </row>
    <row r="177" spans="2:9" ht="26.1" hidden="1" customHeight="1" thickTop="1" thickBot="1" x14ac:dyDescent="0.4">
      <c r="B177" s="366"/>
      <c r="C177" s="452">
        <v>46259</v>
      </c>
      <c r="D177" s="451">
        <v>162</v>
      </c>
      <c r="E177" s="454" t="s">
        <v>905</v>
      </c>
      <c r="F177" s="539">
        <f t="shared" si="6"/>
        <v>591.03296703296701</v>
      </c>
      <c r="G177" s="540">
        <f t="shared" si="7"/>
        <v>34.766645119586293</v>
      </c>
      <c r="H177" s="541">
        <f t="shared" si="8"/>
        <v>16591.032967032967</v>
      </c>
      <c r="I177" s="446"/>
    </row>
    <row r="178" spans="2:9" ht="26.1" hidden="1" customHeight="1" thickTop="1" thickBot="1" x14ac:dyDescent="0.4">
      <c r="B178" s="366"/>
      <c r="C178" s="452">
        <v>46260</v>
      </c>
      <c r="D178" s="451">
        <v>163</v>
      </c>
      <c r="E178" s="454" t="s">
        <v>906</v>
      </c>
      <c r="F178" s="539">
        <f t="shared" si="6"/>
        <v>594.68131868131866</v>
      </c>
      <c r="G178" s="540">
        <f t="shared" si="7"/>
        <v>34.981254040077566</v>
      </c>
      <c r="H178" s="541">
        <f t="shared" si="8"/>
        <v>16594.68131868132</v>
      </c>
      <c r="I178" s="446"/>
    </row>
    <row r="179" spans="2:9" ht="26.1" hidden="1" customHeight="1" thickTop="1" thickBot="1" x14ac:dyDescent="0.4">
      <c r="B179" s="366"/>
      <c r="C179" s="452">
        <v>46261</v>
      </c>
      <c r="D179" s="451">
        <v>164</v>
      </c>
      <c r="E179" s="454" t="s">
        <v>907</v>
      </c>
      <c r="F179" s="539">
        <f t="shared" si="6"/>
        <v>598.32967032967031</v>
      </c>
      <c r="G179" s="540">
        <f t="shared" si="7"/>
        <v>35.195862960568839</v>
      </c>
      <c r="H179" s="541">
        <f t="shared" si="8"/>
        <v>16598.329670329669</v>
      </c>
      <c r="I179" s="446"/>
    </row>
    <row r="180" spans="2:9" ht="26.1" hidden="1" customHeight="1" thickTop="1" thickBot="1" x14ac:dyDescent="0.4">
      <c r="B180" s="366"/>
      <c r="C180" s="452">
        <v>46262</v>
      </c>
      <c r="D180" s="451">
        <v>165</v>
      </c>
      <c r="E180" s="454" t="s">
        <v>908</v>
      </c>
      <c r="F180" s="539">
        <f t="shared" si="6"/>
        <v>601.97802197802196</v>
      </c>
      <c r="G180" s="540">
        <f t="shared" si="7"/>
        <v>35.410471881060118</v>
      </c>
      <c r="H180" s="541">
        <f t="shared" si="8"/>
        <v>16601.978021978022</v>
      </c>
      <c r="I180" s="446"/>
    </row>
    <row r="181" spans="2:9" ht="26.1" hidden="1" customHeight="1" thickTop="1" thickBot="1" x14ac:dyDescent="0.4">
      <c r="B181" s="366"/>
      <c r="C181" s="452">
        <v>46263</v>
      </c>
      <c r="D181" s="451">
        <v>166</v>
      </c>
      <c r="E181" s="454" t="s">
        <v>909</v>
      </c>
      <c r="F181" s="539">
        <f t="shared" si="6"/>
        <v>605.62637362637361</v>
      </c>
      <c r="G181" s="540">
        <f t="shared" si="7"/>
        <v>35.625080801551391</v>
      </c>
      <c r="H181" s="541">
        <f t="shared" si="8"/>
        <v>16605.626373626372</v>
      </c>
      <c r="I181" s="446"/>
    </row>
    <row r="182" spans="2:9" ht="26.1" hidden="1" customHeight="1" thickTop="1" thickBot="1" x14ac:dyDescent="0.4">
      <c r="B182" s="366"/>
      <c r="C182" s="452">
        <v>46264</v>
      </c>
      <c r="D182" s="451">
        <v>167</v>
      </c>
      <c r="E182" s="454" t="s">
        <v>910</v>
      </c>
      <c r="F182" s="539">
        <f t="shared" si="6"/>
        <v>609.27472527472526</v>
      </c>
      <c r="G182" s="540">
        <f t="shared" si="7"/>
        <v>35.839689722042664</v>
      </c>
      <c r="H182" s="541">
        <f t="shared" si="8"/>
        <v>16609.274725274725</v>
      </c>
      <c r="I182" s="446"/>
    </row>
    <row r="183" spans="2:9" ht="26.1" hidden="1" customHeight="1" thickTop="1" thickBot="1" x14ac:dyDescent="0.4">
      <c r="B183" s="366"/>
      <c r="C183" s="452">
        <v>46265</v>
      </c>
      <c r="D183" s="451">
        <v>168</v>
      </c>
      <c r="E183" s="454" t="s">
        <v>904</v>
      </c>
      <c r="F183" s="539">
        <f t="shared" si="6"/>
        <v>612.92307692307691</v>
      </c>
      <c r="G183" s="540">
        <f t="shared" si="7"/>
        <v>36.054298642533936</v>
      </c>
      <c r="H183" s="541">
        <f t="shared" si="8"/>
        <v>16612.923076923078</v>
      </c>
      <c r="I183" s="446"/>
    </row>
    <row r="184" spans="2:9" ht="26.1" hidden="1" customHeight="1" thickTop="1" thickBot="1" x14ac:dyDescent="0.4">
      <c r="B184" s="366"/>
      <c r="C184" s="452">
        <v>46266</v>
      </c>
      <c r="D184" s="451">
        <v>169</v>
      </c>
      <c r="E184" s="454" t="s">
        <v>905</v>
      </c>
      <c r="F184" s="539">
        <f t="shared" si="6"/>
        <v>616.57142857142856</v>
      </c>
      <c r="G184" s="540">
        <f t="shared" si="7"/>
        <v>36.268907563025209</v>
      </c>
      <c r="H184" s="541">
        <f t="shared" si="8"/>
        <v>16616.571428571428</v>
      </c>
      <c r="I184" s="446"/>
    </row>
    <row r="185" spans="2:9" ht="26.1" hidden="1" customHeight="1" thickTop="1" thickBot="1" x14ac:dyDescent="0.4">
      <c r="B185" s="366"/>
      <c r="C185" s="452">
        <v>46267</v>
      </c>
      <c r="D185" s="451">
        <v>170</v>
      </c>
      <c r="E185" s="454" t="s">
        <v>906</v>
      </c>
      <c r="F185" s="539">
        <f t="shared" si="6"/>
        <v>620.2197802197802</v>
      </c>
      <c r="G185" s="540">
        <f t="shared" si="7"/>
        <v>36.483516483516482</v>
      </c>
      <c r="H185" s="541">
        <f t="shared" si="8"/>
        <v>16620.219780219781</v>
      </c>
      <c r="I185" s="446"/>
    </row>
    <row r="186" spans="2:9" ht="26.1" hidden="1" customHeight="1" thickTop="1" thickBot="1" x14ac:dyDescent="0.4">
      <c r="B186" s="366"/>
      <c r="C186" s="452">
        <v>46268</v>
      </c>
      <c r="D186" s="451">
        <v>171</v>
      </c>
      <c r="E186" s="454" t="s">
        <v>907</v>
      </c>
      <c r="F186" s="539">
        <f t="shared" si="6"/>
        <v>623.86813186813185</v>
      </c>
      <c r="G186" s="540">
        <f t="shared" si="7"/>
        <v>36.698125404007754</v>
      </c>
      <c r="H186" s="541">
        <f t="shared" si="8"/>
        <v>16623.86813186813</v>
      </c>
      <c r="I186" s="446"/>
    </row>
    <row r="187" spans="2:9" ht="26.1" hidden="1" customHeight="1" thickTop="1" thickBot="1" x14ac:dyDescent="0.4">
      <c r="B187" s="366"/>
      <c r="C187" s="452">
        <v>46269</v>
      </c>
      <c r="D187" s="451">
        <v>172</v>
      </c>
      <c r="E187" s="454" t="s">
        <v>908</v>
      </c>
      <c r="F187" s="539">
        <f t="shared" si="6"/>
        <v>627.5164835164835</v>
      </c>
      <c r="G187" s="540">
        <f t="shared" si="7"/>
        <v>36.912734324499027</v>
      </c>
      <c r="H187" s="541">
        <f t="shared" si="8"/>
        <v>16627.516483516483</v>
      </c>
      <c r="I187" s="446"/>
    </row>
    <row r="188" spans="2:9" ht="26.1" hidden="1" customHeight="1" thickTop="1" thickBot="1" x14ac:dyDescent="0.4">
      <c r="B188" s="366"/>
      <c r="C188" s="452">
        <v>46270</v>
      </c>
      <c r="D188" s="451">
        <v>173</v>
      </c>
      <c r="E188" s="454" t="s">
        <v>909</v>
      </c>
      <c r="F188" s="539">
        <f t="shared" si="6"/>
        <v>631.16483516483515</v>
      </c>
      <c r="G188" s="540">
        <f t="shared" si="7"/>
        <v>37.1273432449903</v>
      </c>
      <c r="H188" s="541">
        <f t="shared" si="8"/>
        <v>16631.164835164836</v>
      </c>
      <c r="I188" s="446"/>
    </row>
    <row r="189" spans="2:9" ht="26.1" hidden="1" customHeight="1" thickTop="1" thickBot="1" x14ac:dyDescent="0.4">
      <c r="B189" s="366"/>
      <c r="C189" s="452">
        <v>46271</v>
      </c>
      <c r="D189" s="451">
        <v>174</v>
      </c>
      <c r="E189" s="454" t="s">
        <v>910</v>
      </c>
      <c r="F189" s="539">
        <f t="shared" si="6"/>
        <v>634.8131868131868</v>
      </c>
      <c r="G189" s="540">
        <f t="shared" si="7"/>
        <v>37.34195216548158</v>
      </c>
      <c r="H189" s="541">
        <f t="shared" si="8"/>
        <v>16634.813186813186</v>
      </c>
      <c r="I189" s="446"/>
    </row>
    <row r="190" spans="2:9" ht="26.1" hidden="1" customHeight="1" thickTop="1" thickBot="1" x14ac:dyDescent="0.4">
      <c r="B190" s="366"/>
      <c r="C190" s="452">
        <v>46272</v>
      </c>
      <c r="D190" s="451">
        <v>175</v>
      </c>
      <c r="E190" s="454" t="s">
        <v>904</v>
      </c>
      <c r="F190" s="539">
        <f t="shared" si="6"/>
        <v>638.46153846153845</v>
      </c>
      <c r="G190" s="540">
        <f t="shared" si="7"/>
        <v>37.556561085972852</v>
      </c>
      <c r="H190" s="541">
        <f t="shared" si="8"/>
        <v>16638.461538461539</v>
      </c>
      <c r="I190" s="446"/>
    </row>
    <row r="191" spans="2:9" ht="26.1" hidden="1" customHeight="1" thickTop="1" thickBot="1" x14ac:dyDescent="0.4">
      <c r="B191" s="366"/>
      <c r="C191" s="452">
        <v>46273</v>
      </c>
      <c r="D191" s="451">
        <v>176</v>
      </c>
      <c r="E191" s="454" t="s">
        <v>905</v>
      </c>
      <c r="F191" s="539">
        <f t="shared" si="6"/>
        <v>642.1098901098901</v>
      </c>
      <c r="G191" s="540">
        <f t="shared" si="7"/>
        <v>37.771170006464125</v>
      </c>
      <c r="H191" s="541">
        <f t="shared" si="8"/>
        <v>16642.109890109889</v>
      </c>
      <c r="I191" s="446"/>
    </row>
    <row r="192" spans="2:9" ht="26.1" hidden="1" customHeight="1" thickTop="1" thickBot="1" x14ac:dyDescent="0.4">
      <c r="B192" s="366"/>
      <c r="C192" s="452">
        <v>46274</v>
      </c>
      <c r="D192" s="451">
        <v>177</v>
      </c>
      <c r="E192" s="454" t="s">
        <v>906</v>
      </c>
      <c r="F192" s="539">
        <f t="shared" si="6"/>
        <v>645.75824175824175</v>
      </c>
      <c r="G192" s="540">
        <f t="shared" si="7"/>
        <v>37.985778926955398</v>
      </c>
      <c r="H192" s="541">
        <f t="shared" si="8"/>
        <v>16645.758241758242</v>
      </c>
      <c r="I192" s="446"/>
    </row>
    <row r="193" spans="2:9" ht="26.1" hidden="1" customHeight="1" thickTop="1" thickBot="1" x14ac:dyDescent="0.4">
      <c r="B193" s="366"/>
      <c r="C193" s="452">
        <v>46275</v>
      </c>
      <c r="D193" s="451">
        <v>178</v>
      </c>
      <c r="E193" s="454" t="s">
        <v>907</v>
      </c>
      <c r="F193" s="539">
        <f t="shared" si="6"/>
        <v>649.4065934065934</v>
      </c>
      <c r="G193" s="540">
        <f t="shared" si="7"/>
        <v>38.20038784744667</v>
      </c>
      <c r="H193" s="541">
        <f t="shared" si="8"/>
        <v>16649.406593406595</v>
      </c>
      <c r="I193" s="446"/>
    </row>
    <row r="194" spans="2:9" ht="26.1" hidden="1" customHeight="1" thickTop="1" thickBot="1" x14ac:dyDescent="0.4">
      <c r="B194" s="366"/>
      <c r="C194" s="452">
        <v>46276</v>
      </c>
      <c r="D194" s="451">
        <v>179</v>
      </c>
      <c r="E194" s="454" t="s">
        <v>908</v>
      </c>
      <c r="F194" s="539">
        <f t="shared" si="6"/>
        <v>653.05494505494505</v>
      </c>
      <c r="G194" s="540">
        <f t="shared" si="7"/>
        <v>38.414996767937943</v>
      </c>
      <c r="H194" s="541">
        <f t="shared" si="8"/>
        <v>16653.054945054944</v>
      </c>
      <c r="I194" s="446"/>
    </row>
    <row r="195" spans="2:9" ht="26.1" hidden="1" customHeight="1" thickTop="1" thickBot="1" x14ac:dyDescent="0.4">
      <c r="B195" s="366"/>
      <c r="C195" s="452">
        <v>46277</v>
      </c>
      <c r="D195" s="451">
        <v>180</v>
      </c>
      <c r="E195" s="454" t="s">
        <v>909</v>
      </c>
      <c r="F195" s="539">
        <f t="shared" si="6"/>
        <v>656.7032967032967</v>
      </c>
      <c r="G195" s="540">
        <f t="shared" si="7"/>
        <v>38.629605688429216</v>
      </c>
      <c r="H195" s="541">
        <f t="shared" si="8"/>
        <v>16656.703296703297</v>
      </c>
      <c r="I195" s="446"/>
    </row>
    <row r="196" spans="2:9" ht="26.1" hidden="1" customHeight="1" thickTop="1" thickBot="1" x14ac:dyDescent="0.4">
      <c r="B196" s="366"/>
      <c r="C196" s="452">
        <v>46278</v>
      </c>
      <c r="D196" s="451">
        <v>181</v>
      </c>
      <c r="E196" s="454" t="s">
        <v>910</v>
      </c>
      <c r="F196" s="539">
        <f t="shared" si="6"/>
        <v>660.35164835164835</v>
      </c>
      <c r="G196" s="540">
        <f t="shared" si="7"/>
        <v>38.844214608920488</v>
      </c>
      <c r="H196" s="541">
        <f t="shared" si="8"/>
        <v>16660.351648351647</v>
      </c>
      <c r="I196" s="446"/>
    </row>
    <row r="197" spans="2:9" ht="26.1" hidden="1" customHeight="1" thickTop="1" thickBot="1" x14ac:dyDescent="0.4">
      <c r="B197" s="366"/>
      <c r="C197" s="452">
        <v>46279</v>
      </c>
      <c r="D197" s="451">
        <v>182</v>
      </c>
      <c r="E197" s="454" t="s">
        <v>904</v>
      </c>
      <c r="F197" s="539">
        <f t="shared" si="6"/>
        <v>664</v>
      </c>
      <c r="G197" s="540">
        <f t="shared" si="7"/>
        <v>39.058823529411768</v>
      </c>
      <c r="H197" s="541">
        <f t="shared" si="8"/>
        <v>16664</v>
      </c>
      <c r="I197" s="446"/>
    </row>
    <row r="198" spans="2:9" ht="26.1" hidden="1" customHeight="1" thickTop="1" thickBot="1" x14ac:dyDescent="0.4">
      <c r="B198" s="366"/>
      <c r="C198" s="452">
        <v>46280</v>
      </c>
      <c r="D198" s="451">
        <v>183</v>
      </c>
      <c r="E198" s="454" t="s">
        <v>905</v>
      </c>
      <c r="F198" s="539">
        <f t="shared" si="6"/>
        <v>667.64835164835165</v>
      </c>
      <c r="G198" s="540">
        <f t="shared" si="7"/>
        <v>39.273432449903041</v>
      </c>
      <c r="H198" s="541">
        <f t="shared" si="8"/>
        <v>16667.648351648353</v>
      </c>
      <c r="I198" s="446"/>
    </row>
    <row r="199" spans="2:9" ht="26.1" hidden="1" customHeight="1" thickTop="1" thickBot="1" x14ac:dyDescent="0.4">
      <c r="B199" s="366"/>
      <c r="C199" s="452">
        <v>46281</v>
      </c>
      <c r="D199" s="451">
        <v>184</v>
      </c>
      <c r="E199" s="454" t="s">
        <v>906</v>
      </c>
      <c r="F199" s="539">
        <f t="shared" si="6"/>
        <v>671.2967032967033</v>
      </c>
      <c r="G199" s="540">
        <f t="shared" si="7"/>
        <v>39.488041370394313</v>
      </c>
      <c r="H199" s="541">
        <f t="shared" si="8"/>
        <v>16671.296703296703</v>
      </c>
      <c r="I199" s="446"/>
    </row>
    <row r="200" spans="2:9" ht="26.1" hidden="1" customHeight="1" thickTop="1" thickBot="1" x14ac:dyDescent="0.4">
      <c r="B200" s="366"/>
      <c r="C200" s="452">
        <v>46282</v>
      </c>
      <c r="D200" s="451">
        <v>185</v>
      </c>
      <c r="E200" s="454" t="s">
        <v>907</v>
      </c>
      <c r="F200" s="539">
        <f t="shared" si="6"/>
        <v>674.94505494505495</v>
      </c>
      <c r="G200" s="540">
        <f t="shared" si="7"/>
        <v>39.702650290885586</v>
      </c>
      <c r="H200" s="541">
        <f t="shared" si="8"/>
        <v>16674.945054945056</v>
      </c>
      <c r="I200" s="446"/>
    </row>
    <row r="201" spans="2:9" ht="26.1" hidden="1" customHeight="1" thickTop="1" thickBot="1" x14ac:dyDescent="0.4">
      <c r="B201" s="366"/>
      <c r="C201" s="452">
        <v>46283</v>
      </c>
      <c r="D201" s="451">
        <v>186</v>
      </c>
      <c r="E201" s="454" t="s">
        <v>908</v>
      </c>
      <c r="F201" s="539">
        <f t="shared" si="6"/>
        <v>678.5934065934066</v>
      </c>
      <c r="G201" s="540">
        <f t="shared" si="7"/>
        <v>39.917259211376859</v>
      </c>
      <c r="H201" s="541">
        <f t="shared" si="8"/>
        <v>16678.593406593405</v>
      </c>
      <c r="I201" s="446"/>
    </row>
    <row r="202" spans="2:9" ht="26.1" hidden="1" customHeight="1" thickTop="1" thickBot="1" x14ac:dyDescent="0.4">
      <c r="B202" s="366"/>
      <c r="C202" s="452">
        <v>46284</v>
      </c>
      <c r="D202" s="451">
        <v>187</v>
      </c>
      <c r="E202" s="454" t="s">
        <v>909</v>
      </c>
      <c r="F202" s="539">
        <f t="shared" si="6"/>
        <v>682.24175824175825</v>
      </c>
      <c r="G202" s="540">
        <f t="shared" si="7"/>
        <v>40.131868131868131</v>
      </c>
      <c r="H202" s="541">
        <f t="shared" si="8"/>
        <v>16682.241758241758</v>
      </c>
      <c r="I202" s="446"/>
    </row>
    <row r="203" spans="2:9" ht="26.1" hidden="1" customHeight="1" thickTop="1" thickBot="1" x14ac:dyDescent="0.4">
      <c r="B203" s="366"/>
      <c r="C203" s="452">
        <v>46285</v>
      </c>
      <c r="D203" s="451">
        <v>188</v>
      </c>
      <c r="E203" s="454" t="s">
        <v>910</v>
      </c>
      <c r="F203" s="539">
        <f t="shared" si="6"/>
        <v>685.8901098901099</v>
      </c>
      <c r="G203" s="540">
        <f t="shared" si="7"/>
        <v>40.346477052359404</v>
      </c>
      <c r="H203" s="541">
        <f t="shared" si="8"/>
        <v>16685.890109890111</v>
      </c>
      <c r="I203" s="446"/>
    </row>
    <row r="204" spans="2:9" ht="26.1" hidden="1" customHeight="1" thickTop="1" thickBot="1" x14ac:dyDescent="0.4">
      <c r="B204" s="366"/>
      <c r="C204" s="452">
        <v>46286</v>
      </c>
      <c r="D204" s="451">
        <v>189</v>
      </c>
      <c r="E204" s="454" t="s">
        <v>904</v>
      </c>
      <c r="F204" s="539">
        <f t="shared" si="6"/>
        <v>689.53846153846155</v>
      </c>
      <c r="G204" s="540">
        <f t="shared" si="7"/>
        <v>40.561085972850677</v>
      </c>
      <c r="H204" s="541">
        <f t="shared" si="8"/>
        <v>16689.538461538461</v>
      </c>
      <c r="I204" s="446"/>
    </row>
    <row r="205" spans="2:9" ht="26.1" hidden="1" customHeight="1" thickTop="1" thickBot="1" x14ac:dyDescent="0.4">
      <c r="B205" s="366"/>
      <c r="C205" s="452">
        <v>46287</v>
      </c>
      <c r="D205" s="451">
        <v>190</v>
      </c>
      <c r="E205" s="454" t="s">
        <v>905</v>
      </c>
      <c r="F205" s="539">
        <f t="shared" si="6"/>
        <v>693.1868131868132</v>
      </c>
      <c r="G205" s="540">
        <f t="shared" si="7"/>
        <v>40.775694893341949</v>
      </c>
      <c r="H205" s="541">
        <f t="shared" si="8"/>
        <v>16693.186813186814</v>
      </c>
      <c r="I205" s="446"/>
    </row>
    <row r="206" spans="2:9" ht="26.1" hidden="1" customHeight="1" thickTop="1" thickBot="1" x14ac:dyDescent="0.4">
      <c r="B206" s="366"/>
      <c r="C206" s="452">
        <v>46288</v>
      </c>
      <c r="D206" s="451">
        <v>191</v>
      </c>
      <c r="E206" s="454" t="s">
        <v>906</v>
      </c>
      <c r="F206" s="539">
        <f t="shared" si="6"/>
        <v>696.83516483516485</v>
      </c>
      <c r="G206" s="540">
        <f t="shared" si="7"/>
        <v>40.990303813833229</v>
      </c>
      <c r="H206" s="541">
        <f t="shared" si="8"/>
        <v>16696.835164835164</v>
      </c>
      <c r="I206" s="446"/>
    </row>
    <row r="207" spans="2:9" ht="26.1" hidden="1" customHeight="1" thickTop="1" thickBot="1" x14ac:dyDescent="0.4">
      <c r="B207" s="366"/>
      <c r="C207" s="452">
        <v>46289</v>
      </c>
      <c r="D207" s="451">
        <v>192</v>
      </c>
      <c r="E207" s="454" t="s">
        <v>907</v>
      </c>
      <c r="F207" s="539">
        <f t="shared" si="6"/>
        <v>700.4835164835165</v>
      </c>
      <c r="G207" s="540">
        <f t="shared" si="7"/>
        <v>41.204912734324502</v>
      </c>
      <c r="H207" s="541">
        <f t="shared" si="8"/>
        <v>16700.483516483517</v>
      </c>
      <c r="I207" s="446"/>
    </row>
    <row r="208" spans="2:9" ht="26.1" hidden="1" customHeight="1" thickTop="1" thickBot="1" x14ac:dyDescent="0.4">
      <c r="B208" s="366"/>
      <c r="C208" s="452">
        <v>46290</v>
      </c>
      <c r="D208" s="451">
        <v>193</v>
      </c>
      <c r="E208" s="454" t="s">
        <v>908</v>
      </c>
      <c r="F208" s="539">
        <f t="shared" ref="F208:F271" si="9">$E$8/$F$10*D208</f>
        <v>704.13186813186815</v>
      </c>
      <c r="G208" s="540">
        <f t="shared" ref="G208:G271" si="10">F208/$C$12</f>
        <v>41.419521654815775</v>
      </c>
      <c r="H208" s="541">
        <f t="shared" si="8"/>
        <v>16704.13186813187</v>
      </c>
      <c r="I208" s="446"/>
    </row>
    <row r="209" spans="2:9" ht="26.1" hidden="1" customHeight="1" thickTop="1" thickBot="1" x14ac:dyDescent="0.4">
      <c r="B209" s="366"/>
      <c r="C209" s="452">
        <v>46291</v>
      </c>
      <c r="D209" s="451">
        <v>194</v>
      </c>
      <c r="E209" s="454" t="s">
        <v>909</v>
      </c>
      <c r="F209" s="539">
        <f t="shared" si="9"/>
        <v>707.7802197802198</v>
      </c>
      <c r="G209" s="540">
        <f t="shared" si="10"/>
        <v>41.634130575307047</v>
      </c>
      <c r="H209" s="541">
        <f t="shared" ref="H209:H272" si="11">$C$8+F209</f>
        <v>16707.780219780219</v>
      </c>
      <c r="I209" s="446"/>
    </row>
    <row r="210" spans="2:9" ht="26.1" hidden="1" customHeight="1" thickTop="1" thickBot="1" x14ac:dyDescent="0.4">
      <c r="B210" s="366"/>
      <c r="C210" s="452">
        <v>46292</v>
      </c>
      <c r="D210" s="451">
        <v>195</v>
      </c>
      <c r="E210" s="454" t="s">
        <v>910</v>
      </c>
      <c r="F210" s="539">
        <f t="shared" si="9"/>
        <v>711.42857142857144</v>
      </c>
      <c r="G210" s="540">
        <f t="shared" si="10"/>
        <v>41.84873949579832</v>
      </c>
      <c r="H210" s="541">
        <f t="shared" si="11"/>
        <v>16711.428571428572</v>
      </c>
      <c r="I210" s="446"/>
    </row>
    <row r="211" spans="2:9" ht="26.1" hidden="1" customHeight="1" thickTop="1" thickBot="1" x14ac:dyDescent="0.4">
      <c r="B211" s="366"/>
      <c r="C211" s="452">
        <v>46293</v>
      </c>
      <c r="D211" s="451">
        <v>196</v>
      </c>
      <c r="E211" s="454" t="s">
        <v>904</v>
      </c>
      <c r="F211" s="539">
        <f t="shared" si="9"/>
        <v>715.07692307692309</v>
      </c>
      <c r="G211" s="540">
        <f t="shared" si="10"/>
        <v>42.063348416289593</v>
      </c>
      <c r="H211" s="541">
        <f t="shared" si="11"/>
        <v>16715.076923076922</v>
      </c>
      <c r="I211" s="446"/>
    </row>
    <row r="212" spans="2:9" ht="26.1" hidden="1" customHeight="1" thickTop="1" thickBot="1" x14ac:dyDescent="0.4">
      <c r="B212" s="366"/>
      <c r="C212" s="452">
        <v>46294</v>
      </c>
      <c r="D212" s="451">
        <v>197</v>
      </c>
      <c r="E212" s="454" t="s">
        <v>905</v>
      </c>
      <c r="F212" s="539">
        <f t="shared" si="9"/>
        <v>718.72527472527474</v>
      </c>
      <c r="G212" s="540">
        <f t="shared" si="10"/>
        <v>42.277957336780865</v>
      </c>
      <c r="H212" s="541">
        <f t="shared" si="11"/>
        <v>16718.725274725275</v>
      </c>
      <c r="I212" s="446"/>
    </row>
    <row r="213" spans="2:9" ht="26.1" hidden="1" customHeight="1" thickTop="1" thickBot="1" x14ac:dyDescent="0.4">
      <c r="B213" s="366"/>
      <c r="C213" s="452">
        <v>46295</v>
      </c>
      <c r="D213" s="451">
        <v>198</v>
      </c>
      <c r="E213" s="454" t="s">
        <v>906</v>
      </c>
      <c r="F213" s="539">
        <f t="shared" si="9"/>
        <v>722.37362637362639</v>
      </c>
      <c r="G213" s="540">
        <f t="shared" si="10"/>
        <v>42.492566257272138</v>
      </c>
      <c r="H213" s="541">
        <f t="shared" si="11"/>
        <v>16722.373626373628</v>
      </c>
      <c r="I213" s="446"/>
    </row>
    <row r="214" spans="2:9" ht="26.1" hidden="1" customHeight="1" thickTop="1" thickBot="1" x14ac:dyDescent="0.4">
      <c r="B214" s="366"/>
      <c r="C214" s="452">
        <v>46296</v>
      </c>
      <c r="D214" s="451">
        <v>199</v>
      </c>
      <c r="E214" s="454" t="s">
        <v>907</v>
      </c>
      <c r="F214" s="539">
        <f t="shared" si="9"/>
        <v>726.02197802197804</v>
      </c>
      <c r="G214" s="540">
        <f t="shared" si="10"/>
        <v>42.707175177763418</v>
      </c>
      <c r="H214" s="541">
        <f t="shared" si="11"/>
        <v>16726.021978021978</v>
      </c>
      <c r="I214" s="446"/>
    </row>
    <row r="215" spans="2:9" ht="26.1" hidden="1" customHeight="1" thickTop="1" thickBot="1" x14ac:dyDescent="0.4">
      <c r="B215" s="366"/>
      <c r="C215" s="452">
        <v>46297</v>
      </c>
      <c r="D215" s="451">
        <v>200</v>
      </c>
      <c r="E215" s="454" t="s">
        <v>908</v>
      </c>
      <c r="F215" s="539">
        <f t="shared" si="9"/>
        <v>729.67032967032969</v>
      </c>
      <c r="G215" s="540">
        <f t="shared" si="10"/>
        <v>42.92178409825469</v>
      </c>
      <c r="H215" s="541">
        <f t="shared" si="11"/>
        <v>16729.670329670331</v>
      </c>
      <c r="I215" s="446"/>
    </row>
    <row r="216" spans="2:9" ht="26.1" hidden="1" customHeight="1" thickTop="1" thickBot="1" x14ac:dyDescent="0.4">
      <c r="B216" s="366"/>
      <c r="C216" s="452">
        <v>46298</v>
      </c>
      <c r="D216" s="451">
        <v>201</v>
      </c>
      <c r="E216" s="454" t="s">
        <v>909</v>
      </c>
      <c r="F216" s="539">
        <f t="shared" si="9"/>
        <v>733.31868131868134</v>
      </c>
      <c r="G216" s="540">
        <f t="shared" si="10"/>
        <v>43.136393018745963</v>
      </c>
      <c r="H216" s="541">
        <f t="shared" si="11"/>
        <v>16733.31868131868</v>
      </c>
      <c r="I216" s="446"/>
    </row>
    <row r="217" spans="2:9" ht="26.1" hidden="1" customHeight="1" thickTop="1" thickBot="1" x14ac:dyDescent="0.4">
      <c r="B217" s="366"/>
      <c r="C217" s="452">
        <v>46299</v>
      </c>
      <c r="D217" s="451">
        <v>202</v>
      </c>
      <c r="E217" s="454" t="s">
        <v>910</v>
      </c>
      <c r="F217" s="539">
        <f t="shared" si="9"/>
        <v>736.96703296703299</v>
      </c>
      <c r="G217" s="540">
        <f t="shared" si="10"/>
        <v>43.351001939237236</v>
      </c>
      <c r="H217" s="541">
        <f t="shared" si="11"/>
        <v>16736.967032967033</v>
      </c>
      <c r="I217" s="446"/>
    </row>
    <row r="218" spans="2:9" ht="26.1" hidden="1" customHeight="1" thickTop="1" thickBot="1" x14ac:dyDescent="0.4">
      <c r="B218" s="366"/>
      <c r="C218" s="452">
        <v>46300</v>
      </c>
      <c r="D218" s="451">
        <v>203</v>
      </c>
      <c r="E218" s="454" t="s">
        <v>904</v>
      </c>
      <c r="F218" s="539">
        <f t="shared" si="9"/>
        <v>740.61538461538464</v>
      </c>
      <c r="G218" s="540">
        <f t="shared" si="10"/>
        <v>43.565610859728508</v>
      </c>
      <c r="H218" s="541">
        <f t="shared" si="11"/>
        <v>16740.615384615383</v>
      </c>
      <c r="I218" s="446"/>
    </row>
    <row r="219" spans="2:9" ht="26.1" hidden="1" customHeight="1" thickTop="1" thickBot="1" x14ac:dyDescent="0.4">
      <c r="B219" s="366"/>
      <c r="C219" s="452">
        <v>46301</v>
      </c>
      <c r="D219" s="451">
        <v>204</v>
      </c>
      <c r="E219" s="454" t="s">
        <v>905</v>
      </c>
      <c r="F219" s="539">
        <f t="shared" si="9"/>
        <v>744.26373626373629</v>
      </c>
      <c r="G219" s="540">
        <f t="shared" si="10"/>
        <v>43.780219780219781</v>
      </c>
      <c r="H219" s="541">
        <f t="shared" si="11"/>
        <v>16744.263736263736</v>
      </c>
      <c r="I219" s="446"/>
    </row>
    <row r="220" spans="2:9" ht="26.1" hidden="1" customHeight="1" thickTop="1" thickBot="1" x14ac:dyDescent="0.4">
      <c r="B220" s="366"/>
      <c r="C220" s="452">
        <v>46302</v>
      </c>
      <c r="D220" s="451">
        <v>205</v>
      </c>
      <c r="E220" s="454" t="s">
        <v>906</v>
      </c>
      <c r="F220" s="539">
        <f t="shared" si="9"/>
        <v>747.91208791208794</v>
      </c>
      <c r="G220" s="540">
        <f t="shared" si="10"/>
        <v>43.994828700711054</v>
      </c>
      <c r="H220" s="541">
        <f t="shared" si="11"/>
        <v>16747.912087912089</v>
      </c>
      <c r="I220" s="446"/>
    </row>
    <row r="221" spans="2:9" ht="26.1" hidden="1" customHeight="1" thickTop="1" thickBot="1" x14ac:dyDescent="0.4">
      <c r="B221" s="366"/>
      <c r="C221" s="452">
        <v>46303</v>
      </c>
      <c r="D221" s="451">
        <v>206</v>
      </c>
      <c r="E221" s="454" t="s">
        <v>907</v>
      </c>
      <c r="F221" s="539">
        <f t="shared" si="9"/>
        <v>751.56043956043959</v>
      </c>
      <c r="G221" s="540">
        <f t="shared" si="10"/>
        <v>44.209437621202326</v>
      </c>
      <c r="H221" s="541">
        <f t="shared" si="11"/>
        <v>16751.560439560439</v>
      </c>
      <c r="I221" s="446"/>
    </row>
    <row r="222" spans="2:9" ht="26.1" hidden="1" customHeight="1" thickTop="1" thickBot="1" x14ac:dyDescent="0.4">
      <c r="B222" s="366"/>
      <c r="C222" s="452">
        <v>46304</v>
      </c>
      <c r="D222" s="451">
        <v>207</v>
      </c>
      <c r="E222" s="454" t="s">
        <v>908</v>
      </c>
      <c r="F222" s="539">
        <f t="shared" si="9"/>
        <v>755.20879120879124</v>
      </c>
      <c r="G222" s="540">
        <f t="shared" si="10"/>
        <v>44.424046541693599</v>
      </c>
      <c r="H222" s="541">
        <f t="shared" si="11"/>
        <v>16755.208791208792</v>
      </c>
      <c r="I222" s="446"/>
    </row>
    <row r="223" spans="2:9" ht="26.1" hidden="1" customHeight="1" thickTop="1" thickBot="1" x14ac:dyDescent="0.4">
      <c r="B223" s="366"/>
      <c r="C223" s="452">
        <v>46305</v>
      </c>
      <c r="D223" s="451">
        <v>208</v>
      </c>
      <c r="E223" s="454" t="s">
        <v>909</v>
      </c>
      <c r="F223" s="539">
        <f t="shared" si="9"/>
        <v>758.85714285714289</v>
      </c>
      <c r="G223" s="540">
        <f t="shared" si="10"/>
        <v>44.638655462184879</v>
      </c>
      <c r="H223" s="541">
        <f t="shared" si="11"/>
        <v>16758.857142857141</v>
      </c>
      <c r="I223" s="446"/>
    </row>
    <row r="224" spans="2:9" ht="26.1" hidden="1" customHeight="1" thickTop="1" thickBot="1" x14ac:dyDescent="0.4">
      <c r="B224" s="366"/>
      <c r="C224" s="452">
        <v>46306</v>
      </c>
      <c r="D224" s="451">
        <v>209</v>
      </c>
      <c r="E224" s="454" t="s">
        <v>910</v>
      </c>
      <c r="F224" s="539">
        <f t="shared" si="9"/>
        <v>762.50549450549454</v>
      </c>
      <c r="G224" s="540">
        <f t="shared" si="10"/>
        <v>44.853264382676151</v>
      </c>
      <c r="H224" s="541">
        <f t="shared" si="11"/>
        <v>16762.505494505494</v>
      </c>
      <c r="I224" s="446"/>
    </row>
    <row r="225" spans="2:9" ht="26.1" hidden="1" customHeight="1" thickTop="1" thickBot="1" x14ac:dyDescent="0.4">
      <c r="B225" s="366"/>
      <c r="C225" s="452">
        <v>46307</v>
      </c>
      <c r="D225" s="451">
        <v>210</v>
      </c>
      <c r="E225" s="454" t="s">
        <v>904</v>
      </c>
      <c r="F225" s="539">
        <f t="shared" si="9"/>
        <v>766.15384615384619</v>
      </c>
      <c r="G225" s="540">
        <f t="shared" si="10"/>
        <v>45.067873303167424</v>
      </c>
      <c r="H225" s="541">
        <f t="shared" si="11"/>
        <v>16766.153846153848</v>
      </c>
      <c r="I225" s="446"/>
    </row>
    <row r="226" spans="2:9" ht="26.1" hidden="1" customHeight="1" thickTop="1" thickBot="1" x14ac:dyDescent="0.4">
      <c r="B226" s="366"/>
      <c r="C226" s="452">
        <v>46308</v>
      </c>
      <c r="D226" s="451">
        <v>211</v>
      </c>
      <c r="E226" s="454" t="s">
        <v>905</v>
      </c>
      <c r="F226" s="539">
        <f t="shared" si="9"/>
        <v>769.80219780219784</v>
      </c>
      <c r="G226" s="540">
        <f t="shared" si="10"/>
        <v>45.282482223658697</v>
      </c>
      <c r="H226" s="541">
        <f t="shared" si="11"/>
        <v>16769.802197802197</v>
      </c>
      <c r="I226" s="446"/>
    </row>
    <row r="227" spans="2:9" ht="26.1" hidden="1" customHeight="1" thickTop="1" thickBot="1" x14ac:dyDescent="0.4">
      <c r="B227" s="366"/>
      <c r="C227" s="452">
        <v>46309</v>
      </c>
      <c r="D227" s="451">
        <v>212</v>
      </c>
      <c r="E227" s="454" t="s">
        <v>906</v>
      </c>
      <c r="F227" s="539">
        <f t="shared" si="9"/>
        <v>773.45054945054949</v>
      </c>
      <c r="G227" s="540">
        <f t="shared" si="10"/>
        <v>45.497091144149969</v>
      </c>
      <c r="H227" s="541">
        <f t="shared" si="11"/>
        <v>16773.45054945055</v>
      </c>
      <c r="I227" s="446"/>
    </row>
    <row r="228" spans="2:9" ht="26.1" hidden="1" customHeight="1" thickTop="1" thickBot="1" x14ac:dyDescent="0.4">
      <c r="B228" s="366"/>
      <c r="C228" s="452">
        <v>46310</v>
      </c>
      <c r="D228" s="451">
        <v>213</v>
      </c>
      <c r="E228" s="454" t="s">
        <v>907</v>
      </c>
      <c r="F228" s="539">
        <f t="shared" si="9"/>
        <v>777.09890109890114</v>
      </c>
      <c r="G228" s="540">
        <f t="shared" si="10"/>
        <v>45.711700064641242</v>
      </c>
      <c r="H228" s="541">
        <f t="shared" si="11"/>
        <v>16777.0989010989</v>
      </c>
      <c r="I228" s="446"/>
    </row>
    <row r="229" spans="2:9" ht="26.1" hidden="1" customHeight="1" thickTop="1" thickBot="1" x14ac:dyDescent="0.4">
      <c r="B229" s="366"/>
      <c r="C229" s="452">
        <v>46311</v>
      </c>
      <c r="D229" s="451">
        <v>214</v>
      </c>
      <c r="E229" s="454" t="s">
        <v>908</v>
      </c>
      <c r="F229" s="539">
        <f t="shared" si="9"/>
        <v>780.74725274725267</v>
      </c>
      <c r="G229" s="540">
        <f t="shared" si="10"/>
        <v>45.926308985132508</v>
      </c>
      <c r="H229" s="541">
        <f t="shared" si="11"/>
        <v>16780.747252747253</v>
      </c>
      <c r="I229" s="446"/>
    </row>
    <row r="230" spans="2:9" ht="26.1" hidden="1" customHeight="1" thickTop="1" thickBot="1" x14ac:dyDescent="0.4">
      <c r="B230" s="366"/>
      <c r="C230" s="452">
        <v>46312</v>
      </c>
      <c r="D230" s="451">
        <v>215</v>
      </c>
      <c r="E230" s="454" t="s">
        <v>909</v>
      </c>
      <c r="F230" s="539">
        <f t="shared" si="9"/>
        <v>784.39560439560432</v>
      </c>
      <c r="G230" s="540">
        <f t="shared" si="10"/>
        <v>46.14091790562378</v>
      </c>
      <c r="H230" s="541">
        <f t="shared" si="11"/>
        <v>16784.395604395606</v>
      </c>
      <c r="I230" s="446"/>
    </row>
    <row r="231" spans="2:9" ht="26.1" hidden="1" customHeight="1" thickTop="1" thickBot="1" x14ac:dyDescent="0.4">
      <c r="B231" s="366"/>
      <c r="C231" s="452">
        <v>46313</v>
      </c>
      <c r="D231" s="451">
        <v>216</v>
      </c>
      <c r="E231" s="454" t="s">
        <v>910</v>
      </c>
      <c r="F231" s="539">
        <f t="shared" si="9"/>
        <v>788.04395604395597</v>
      </c>
      <c r="G231" s="540">
        <f t="shared" si="10"/>
        <v>46.35552682611506</v>
      </c>
      <c r="H231" s="541">
        <f t="shared" si="11"/>
        <v>16788.043956043955</v>
      </c>
      <c r="I231" s="446"/>
    </row>
    <row r="232" spans="2:9" ht="26.1" hidden="1" customHeight="1" thickTop="1" thickBot="1" x14ac:dyDescent="0.4">
      <c r="B232" s="366"/>
      <c r="C232" s="452">
        <v>46314</v>
      </c>
      <c r="D232" s="451">
        <v>217</v>
      </c>
      <c r="E232" s="454" t="s">
        <v>904</v>
      </c>
      <c r="F232" s="539">
        <f t="shared" si="9"/>
        <v>791.69230769230762</v>
      </c>
      <c r="G232" s="540">
        <f t="shared" si="10"/>
        <v>46.570135746606333</v>
      </c>
      <c r="H232" s="541">
        <f t="shared" si="11"/>
        <v>16791.692307692309</v>
      </c>
      <c r="I232" s="446"/>
    </row>
    <row r="233" spans="2:9" ht="26.1" hidden="1" customHeight="1" thickTop="1" thickBot="1" x14ac:dyDescent="0.4">
      <c r="B233" s="366"/>
      <c r="C233" s="452">
        <v>46315</v>
      </c>
      <c r="D233" s="451">
        <v>218</v>
      </c>
      <c r="E233" s="454" t="s">
        <v>905</v>
      </c>
      <c r="F233" s="539">
        <f t="shared" si="9"/>
        <v>795.34065934065927</v>
      </c>
      <c r="G233" s="540">
        <f t="shared" si="10"/>
        <v>46.784744667097605</v>
      </c>
      <c r="H233" s="541">
        <f t="shared" si="11"/>
        <v>16795.340659340658</v>
      </c>
      <c r="I233" s="446"/>
    </row>
    <row r="234" spans="2:9" ht="26.1" hidden="1" customHeight="1" thickTop="1" thickBot="1" x14ac:dyDescent="0.4">
      <c r="B234" s="366"/>
      <c r="C234" s="452">
        <v>46316</v>
      </c>
      <c r="D234" s="451">
        <v>219</v>
      </c>
      <c r="E234" s="454" t="s">
        <v>906</v>
      </c>
      <c r="F234" s="539">
        <f t="shared" si="9"/>
        <v>798.98901098901092</v>
      </c>
      <c r="G234" s="540">
        <f t="shared" si="10"/>
        <v>46.999353587588878</v>
      </c>
      <c r="H234" s="541">
        <f t="shared" si="11"/>
        <v>16798.989010989011</v>
      </c>
      <c r="I234" s="446"/>
    </row>
    <row r="235" spans="2:9" ht="26.1" hidden="1" customHeight="1" thickTop="1" thickBot="1" x14ac:dyDescent="0.4">
      <c r="B235" s="366"/>
      <c r="C235" s="452">
        <v>46317</v>
      </c>
      <c r="D235" s="451">
        <v>220</v>
      </c>
      <c r="E235" s="454" t="s">
        <v>907</v>
      </c>
      <c r="F235" s="539">
        <f t="shared" si="9"/>
        <v>802.63736263736257</v>
      </c>
      <c r="G235" s="540">
        <f t="shared" si="10"/>
        <v>47.213962508080151</v>
      </c>
      <c r="H235" s="541">
        <f t="shared" si="11"/>
        <v>16802.637362637364</v>
      </c>
      <c r="I235" s="446"/>
    </row>
    <row r="236" spans="2:9" ht="26.1" hidden="1" customHeight="1" thickTop="1" thickBot="1" x14ac:dyDescent="0.4">
      <c r="B236" s="366"/>
      <c r="C236" s="452">
        <v>46318</v>
      </c>
      <c r="D236" s="451">
        <v>221</v>
      </c>
      <c r="E236" s="454" t="s">
        <v>908</v>
      </c>
      <c r="F236" s="539">
        <f t="shared" si="9"/>
        <v>806.28571428571422</v>
      </c>
      <c r="G236" s="540">
        <f t="shared" si="10"/>
        <v>47.428571428571423</v>
      </c>
      <c r="H236" s="541">
        <f t="shared" si="11"/>
        <v>16806.285714285714</v>
      </c>
      <c r="I236" s="446"/>
    </row>
    <row r="237" spans="2:9" ht="26.1" hidden="1" customHeight="1" thickTop="1" thickBot="1" x14ac:dyDescent="0.4">
      <c r="B237" s="366"/>
      <c r="C237" s="452">
        <v>46319</v>
      </c>
      <c r="D237" s="451">
        <v>222</v>
      </c>
      <c r="E237" s="454" t="s">
        <v>909</v>
      </c>
      <c r="F237" s="539">
        <f t="shared" si="9"/>
        <v>809.93406593406587</v>
      </c>
      <c r="G237" s="540">
        <f t="shared" si="10"/>
        <v>47.643180349062696</v>
      </c>
      <c r="H237" s="541">
        <f t="shared" si="11"/>
        <v>16809.934065934067</v>
      </c>
      <c r="I237" s="446"/>
    </row>
    <row r="238" spans="2:9" ht="26.1" hidden="1" customHeight="1" thickTop="1" thickBot="1" x14ac:dyDescent="0.4">
      <c r="B238" s="366"/>
      <c r="C238" s="452">
        <v>46320</v>
      </c>
      <c r="D238" s="451">
        <v>223</v>
      </c>
      <c r="E238" s="454" t="s">
        <v>910</v>
      </c>
      <c r="F238" s="539">
        <f t="shared" si="9"/>
        <v>813.58241758241752</v>
      </c>
      <c r="G238" s="540">
        <f t="shared" si="10"/>
        <v>47.857789269553969</v>
      </c>
      <c r="H238" s="541">
        <f t="shared" si="11"/>
        <v>16813.582417582416</v>
      </c>
      <c r="I238" s="446"/>
    </row>
    <row r="239" spans="2:9" ht="26.1" hidden="1" customHeight="1" thickTop="1" thickBot="1" x14ac:dyDescent="0.4">
      <c r="B239" s="366"/>
      <c r="C239" s="452">
        <v>46321</v>
      </c>
      <c r="D239" s="451">
        <v>224</v>
      </c>
      <c r="E239" s="454" t="s">
        <v>904</v>
      </c>
      <c r="F239" s="539">
        <f t="shared" si="9"/>
        <v>817.23076923076917</v>
      </c>
      <c r="G239" s="540">
        <f t="shared" si="10"/>
        <v>48.072398190045249</v>
      </c>
      <c r="H239" s="541">
        <f t="shared" si="11"/>
        <v>16817.23076923077</v>
      </c>
      <c r="I239" s="446"/>
    </row>
    <row r="240" spans="2:9" ht="26.1" hidden="1" customHeight="1" thickTop="1" thickBot="1" x14ac:dyDescent="0.4">
      <c r="B240" s="366"/>
      <c r="C240" s="452">
        <v>46322</v>
      </c>
      <c r="D240" s="451">
        <v>225</v>
      </c>
      <c r="E240" s="454" t="s">
        <v>905</v>
      </c>
      <c r="F240" s="539">
        <f t="shared" si="9"/>
        <v>820.87912087912082</v>
      </c>
      <c r="G240" s="540">
        <f t="shared" si="10"/>
        <v>48.287007110536521</v>
      </c>
      <c r="H240" s="541">
        <f t="shared" si="11"/>
        <v>16820.879120879123</v>
      </c>
      <c r="I240" s="446"/>
    </row>
    <row r="241" spans="2:9" ht="26.1" hidden="1" customHeight="1" thickTop="1" thickBot="1" x14ac:dyDescent="0.4">
      <c r="B241" s="366"/>
      <c r="C241" s="452">
        <v>46323</v>
      </c>
      <c r="D241" s="451">
        <v>226</v>
      </c>
      <c r="E241" s="454" t="s">
        <v>906</v>
      </c>
      <c r="F241" s="539">
        <f t="shared" si="9"/>
        <v>824.52747252747247</v>
      </c>
      <c r="G241" s="540">
        <f t="shared" si="10"/>
        <v>48.501616031027794</v>
      </c>
      <c r="H241" s="541">
        <f t="shared" si="11"/>
        <v>16824.527472527472</v>
      </c>
      <c r="I241" s="446"/>
    </row>
    <row r="242" spans="2:9" ht="26.1" hidden="1" customHeight="1" thickTop="1" thickBot="1" x14ac:dyDescent="0.4">
      <c r="B242" s="366"/>
      <c r="C242" s="452">
        <v>46324</v>
      </c>
      <c r="D242" s="451">
        <v>227</v>
      </c>
      <c r="E242" s="454" t="s">
        <v>907</v>
      </c>
      <c r="F242" s="539">
        <f t="shared" si="9"/>
        <v>828.17582417582412</v>
      </c>
      <c r="G242" s="540">
        <f t="shared" si="10"/>
        <v>48.716224951519067</v>
      </c>
      <c r="H242" s="541">
        <f t="shared" si="11"/>
        <v>16828.175824175825</v>
      </c>
      <c r="I242" s="446"/>
    </row>
    <row r="243" spans="2:9" ht="26.1" hidden="1" customHeight="1" thickTop="1" thickBot="1" x14ac:dyDescent="0.4">
      <c r="B243" s="366"/>
      <c r="C243" s="452">
        <v>46325</v>
      </c>
      <c r="D243" s="451">
        <v>228</v>
      </c>
      <c r="E243" s="454" t="s">
        <v>908</v>
      </c>
      <c r="F243" s="539">
        <f t="shared" si="9"/>
        <v>831.82417582417577</v>
      </c>
      <c r="G243" s="540">
        <f t="shared" si="10"/>
        <v>48.930833872010339</v>
      </c>
      <c r="H243" s="541">
        <f t="shared" si="11"/>
        <v>16831.824175824175</v>
      </c>
      <c r="I243" s="446"/>
    </row>
    <row r="244" spans="2:9" ht="26.1" hidden="1" customHeight="1" thickTop="1" thickBot="1" x14ac:dyDescent="0.4">
      <c r="B244" s="366"/>
      <c r="C244" s="452">
        <v>46326</v>
      </c>
      <c r="D244" s="451">
        <v>229</v>
      </c>
      <c r="E244" s="454" t="s">
        <v>909</v>
      </c>
      <c r="F244" s="539">
        <f t="shared" si="9"/>
        <v>835.47252747252742</v>
      </c>
      <c r="G244" s="540">
        <f t="shared" si="10"/>
        <v>49.145442792501612</v>
      </c>
      <c r="H244" s="541">
        <f t="shared" si="11"/>
        <v>16835.472527472528</v>
      </c>
      <c r="I244" s="446"/>
    </row>
    <row r="245" spans="2:9" ht="26.1" hidden="1" customHeight="1" thickTop="1" thickBot="1" x14ac:dyDescent="0.4">
      <c r="B245" s="366"/>
      <c r="C245" s="452">
        <v>46327</v>
      </c>
      <c r="D245" s="451">
        <v>230</v>
      </c>
      <c r="E245" s="454" t="s">
        <v>910</v>
      </c>
      <c r="F245" s="539">
        <f t="shared" si="9"/>
        <v>839.12087912087907</v>
      </c>
      <c r="G245" s="540">
        <f t="shared" si="10"/>
        <v>49.360051712992885</v>
      </c>
      <c r="H245" s="541">
        <f t="shared" si="11"/>
        <v>16839.120879120877</v>
      </c>
      <c r="I245" s="446"/>
    </row>
    <row r="246" spans="2:9" ht="26.1" hidden="1" customHeight="1" thickTop="1" thickBot="1" x14ac:dyDescent="0.4">
      <c r="B246" s="366"/>
      <c r="C246" s="452">
        <v>46328</v>
      </c>
      <c r="D246" s="451">
        <v>231</v>
      </c>
      <c r="E246" s="454" t="s">
        <v>904</v>
      </c>
      <c r="F246" s="539">
        <f t="shared" si="9"/>
        <v>842.76923076923072</v>
      </c>
      <c r="G246" s="540">
        <f t="shared" si="10"/>
        <v>49.574660633484157</v>
      </c>
      <c r="H246" s="541">
        <f t="shared" si="11"/>
        <v>16842.76923076923</v>
      </c>
      <c r="I246" s="446"/>
    </row>
    <row r="247" spans="2:9" ht="26.1" hidden="1" customHeight="1" thickTop="1" thickBot="1" x14ac:dyDescent="0.4">
      <c r="B247" s="366"/>
      <c r="C247" s="452">
        <v>46329</v>
      </c>
      <c r="D247" s="451">
        <v>232</v>
      </c>
      <c r="E247" s="454" t="s">
        <v>905</v>
      </c>
      <c r="F247" s="539">
        <f t="shared" si="9"/>
        <v>846.41758241758237</v>
      </c>
      <c r="G247" s="540">
        <f t="shared" si="10"/>
        <v>49.78926955397543</v>
      </c>
      <c r="H247" s="541">
        <f t="shared" si="11"/>
        <v>16846.417582417584</v>
      </c>
      <c r="I247" s="446"/>
    </row>
    <row r="248" spans="2:9" ht="26.1" hidden="1" customHeight="1" thickTop="1" thickBot="1" x14ac:dyDescent="0.4">
      <c r="B248" s="366"/>
      <c r="C248" s="452">
        <v>46330</v>
      </c>
      <c r="D248" s="451">
        <v>233</v>
      </c>
      <c r="E248" s="454" t="s">
        <v>906</v>
      </c>
      <c r="F248" s="539">
        <f t="shared" si="9"/>
        <v>850.06593406593402</v>
      </c>
      <c r="G248" s="540">
        <f t="shared" si="10"/>
        <v>50.00387847446671</v>
      </c>
      <c r="H248" s="541">
        <f t="shared" si="11"/>
        <v>16850.065934065933</v>
      </c>
      <c r="I248" s="446"/>
    </row>
    <row r="249" spans="2:9" ht="26.1" hidden="1" customHeight="1" thickTop="1" thickBot="1" x14ac:dyDescent="0.4">
      <c r="B249" s="366"/>
      <c r="C249" s="452">
        <v>46331</v>
      </c>
      <c r="D249" s="451">
        <v>234</v>
      </c>
      <c r="E249" s="454" t="s">
        <v>907</v>
      </c>
      <c r="F249" s="539">
        <f t="shared" si="9"/>
        <v>853.71428571428567</v>
      </c>
      <c r="G249" s="540">
        <f t="shared" si="10"/>
        <v>50.218487394957982</v>
      </c>
      <c r="H249" s="541">
        <f t="shared" si="11"/>
        <v>16853.714285714286</v>
      </c>
      <c r="I249" s="446"/>
    </row>
    <row r="250" spans="2:9" ht="26.1" hidden="1" customHeight="1" thickTop="1" thickBot="1" x14ac:dyDescent="0.4">
      <c r="B250" s="366"/>
      <c r="C250" s="452">
        <v>46332</v>
      </c>
      <c r="D250" s="451">
        <v>235</v>
      </c>
      <c r="E250" s="454" t="s">
        <v>908</v>
      </c>
      <c r="F250" s="539">
        <f t="shared" si="9"/>
        <v>857.36263736263732</v>
      </c>
      <c r="G250" s="540">
        <f t="shared" si="10"/>
        <v>50.433096315449255</v>
      </c>
      <c r="H250" s="541">
        <f t="shared" si="11"/>
        <v>16857.362637362636</v>
      </c>
      <c r="I250" s="446"/>
    </row>
    <row r="251" spans="2:9" ht="26.1" hidden="1" customHeight="1" thickTop="1" thickBot="1" x14ac:dyDescent="0.4">
      <c r="B251" s="366"/>
      <c r="C251" s="452">
        <v>46333</v>
      </c>
      <c r="D251" s="451">
        <v>236</v>
      </c>
      <c r="E251" s="454" t="s">
        <v>909</v>
      </c>
      <c r="F251" s="539">
        <f t="shared" si="9"/>
        <v>861.01098901098896</v>
      </c>
      <c r="G251" s="540">
        <f t="shared" si="10"/>
        <v>50.647705235940528</v>
      </c>
      <c r="H251" s="541">
        <f t="shared" si="11"/>
        <v>16861.010989010989</v>
      </c>
      <c r="I251" s="446"/>
    </row>
    <row r="252" spans="2:9" ht="26.1" hidden="1" customHeight="1" thickTop="1" thickBot="1" x14ac:dyDescent="0.4">
      <c r="B252" s="366"/>
      <c r="C252" s="452">
        <v>46334</v>
      </c>
      <c r="D252" s="451">
        <v>237</v>
      </c>
      <c r="E252" s="454" t="s">
        <v>910</v>
      </c>
      <c r="F252" s="539">
        <f t="shared" si="9"/>
        <v>864.65934065934061</v>
      </c>
      <c r="G252" s="540">
        <f t="shared" si="10"/>
        <v>50.8623141564318</v>
      </c>
      <c r="H252" s="541">
        <f t="shared" si="11"/>
        <v>16864.659340659342</v>
      </c>
      <c r="I252" s="446"/>
    </row>
    <row r="253" spans="2:9" ht="26.1" hidden="1" customHeight="1" thickTop="1" thickBot="1" x14ac:dyDescent="0.4">
      <c r="B253" s="366"/>
      <c r="C253" s="452">
        <v>46335</v>
      </c>
      <c r="D253" s="451">
        <v>238</v>
      </c>
      <c r="E253" s="454" t="s">
        <v>904</v>
      </c>
      <c r="F253" s="539">
        <f t="shared" si="9"/>
        <v>868.30769230769226</v>
      </c>
      <c r="G253" s="540">
        <f t="shared" si="10"/>
        <v>51.076923076923073</v>
      </c>
      <c r="H253" s="541">
        <f t="shared" si="11"/>
        <v>16868.307692307691</v>
      </c>
      <c r="I253" s="446"/>
    </row>
    <row r="254" spans="2:9" ht="26.1" hidden="1" customHeight="1" thickTop="1" thickBot="1" x14ac:dyDescent="0.4">
      <c r="B254" s="366"/>
      <c r="C254" s="452">
        <v>46336</v>
      </c>
      <c r="D254" s="451">
        <v>239</v>
      </c>
      <c r="E254" s="454" t="s">
        <v>905</v>
      </c>
      <c r="F254" s="539">
        <f t="shared" si="9"/>
        <v>871.95604395604391</v>
      </c>
      <c r="G254" s="540">
        <f t="shared" si="10"/>
        <v>51.291531997414346</v>
      </c>
      <c r="H254" s="541">
        <f t="shared" si="11"/>
        <v>16871.956043956045</v>
      </c>
      <c r="I254" s="446"/>
    </row>
    <row r="255" spans="2:9" ht="26.1" hidden="1" customHeight="1" thickTop="1" thickBot="1" x14ac:dyDescent="0.4">
      <c r="B255" s="366"/>
      <c r="C255" s="452">
        <v>46337</v>
      </c>
      <c r="D255" s="451">
        <v>240</v>
      </c>
      <c r="E255" s="454" t="s">
        <v>906</v>
      </c>
      <c r="F255" s="539">
        <f t="shared" si="9"/>
        <v>875.60439560439556</v>
      </c>
      <c r="G255" s="540">
        <f t="shared" si="10"/>
        <v>51.506140917905618</v>
      </c>
      <c r="H255" s="541">
        <f t="shared" si="11"/>
        <v>16875.604395604394</v>
      </c>
      <c r="I255" s="446"/>
    </row>
    <row r="256" spans="2:9" ht="26.1" hidden="1" customHeight="1" thickTop="1" thickBot="1" x14ac:dyDescent="0.4">
      <c r="B256" s="366"/>
      <c r="C256" s="452">
        <v>46338</v>
      </c>
      <c r="D256" s="451">
        <v>241</v>
      </c>
      <c r="E256" s="454" t="s">
        <v>907</v>
      </c>
      <c r="F256" s="539">
        <f t="shared" si="9"/>
        <v>879.25274725274721</v>
      </c>
      <c r="G256" s="540">
        <f t="shared" si="10"/>
        <v>51.720749838396898</v>
      </c>
      <c r="H256" s="541">
        <f t="shared" si="11"/>
        <v>16879.252747252747</v>
      </c>
      <c r="I256" s="446"/>
    </row>
    <row r="257" spans="2:9" ht="26.1" hidden="1" customHeight="1" thickTop="1" thickBot="1" x14ac:dyDescent="0.4">
      <c r="B257" s="366"/>
      <c r="C257" s="452">
        <v>46339</v>
      </c>
      <c r="D257" s="451">
        <v>242</v>
      </c>
      <c r="E257" s="454" t="s">
        <v>908</v>
      </c>
      <c r="F257" s="539">
        <f t="shared" si="9"/>
        <v>882.90109890109886</v>
      </c>
      <c r="G257" s="540">
        <f t="shared" si="10"/>
        <v>51.935358758888171</v>
      </c>
      <c r="H257" s="541">
        <f t="shared" si="11"/>
        <v>16882.9010989011</v>
      </c>
      <c r="I257" s="446"/>
    </row>
    <row r="258" spans="2:9" ht="26.1" hidden="1" customHeight="1" thickTop="1" thickBot="1" x14ac:dyDescent="0.4">
      <c r="B258" s="366"/>
      <c r="C258" s="452">
        <v>46340</v>
      </c>
      <c r="D258" s="451">
        <v>243</v>
      </c>
      <c r="E258" s="454" t="s">
        <v>909</v>
      </c>
      <c r="F258" s="539">
        <f t="shared" si="9"/>
        <v>886.54945054945051</v>
      </c>
      <c r="G258" s="540">
        <f t="shared" si="10"/>
        <v>52.149967679379444</v>
      </c>
      <c r="H258" s="541">
        <f t="shared" si="11"/>
        <v>16886.54945054945</v>
      </c>
      <c r="I258" s="446"/>
    </row>
    <row r="259" spans="2:9" ht="26.1" hidden="1" customHeight="1" thickTop="1" thickBot="1" x14ac:dyDescent="0.4">
      <c r="B259" s="366"/>
      <c r="C259" s="452">
        <v>46341</v>
      </c>
      <c r="D259" s="451">
        <v>244</v>
      </c>
      <c r="E259" s="454" t="s">
        <v>910</v>
      </c>
      <c r="F259" s="539">
        <f t="shared" si="9"/>
        <v>890.19780219780216</v>
      </c>
      <c r="G259" s="540">
        <f t="shared" si="10"/>
        <v>52.364576599870716</v>
      </c>
      <c r="H259" s="541">
        <f t="shared" si="11"/>
        <v>16890.197802197803</v>
      </c>
      <c r="I259" s="446"/>
    </row>
    <row r="260" spans="2:9" ht="26.1" hidden="1" customHeight="1" thickTop="1" thickBot="1" x14ac:dyDescent="0.4">
      <c r="B260" s="366"/>
      <c r="C260" s="452">
        <v>46342</v>
      </c>
      <c r="D260" s="451">
        <v>245</v>
      </c>
      <c r="E260" s="454" t="s">
        <v>904</v>
      </c>
      <c r="F260" s="539">
        <f t="shared" si="9"/>
        <v>893.84615384615381</v>
      </c>
      <c r="G260" s="540">
        <f t="shared" si="10"/>
        <v>52.579185520361989</v>
      </c>
      <c r="H260" s="541">
        <f t="shared" si="11"/>
        <v>16893.846153846152</v>
      </c>
      <c r="I260" s="446"/>
    </row>
    <row r="261" spans="2:9" ht="26.1" hidden="1" customHeight="1" thickTop="1" thickBot="1" x14ac:dyDescent="0.4">
      <c r="B261" s="366"/>
      <c r="C261" s="452">
        <v>46343</v>
      </c>
      <c r="D261" s="451">
        <v>246</v>
      </c>
      <c r="E261" s="454" t="s">
        <v>905</v>
      </c>
      <c r="F261" s="539">
        <f t="shared" si="9"/>
        <v>897.49450549450546</v>
      </c>
      <c r="G261" s="540">
        <f t="shared" si="10"/>
        <v>52.793794440853262</v>
      </c>
      <c r="H261" s="541">
        <f t="shared" si="11"/>
        <v>16897.494505494506</v>
      </c>
      <c r="I261" s="446"/>
    </row>
    <row r="262" spans="2:9" ht="26.1" hidden="1" customHeight="1" thickTop="1" thickBot="1" x14ac:dyDescent="0.4">
      <c r="B262" s="366"/>
      <c r="C262" s="452">
        <v>46344</v>
      </c>
      <c r="D262" s="451">
        <v>247</v>
      </c>
      <c r="E262" s="454" t="s">
        <v>906</v>
      </c>
      <c r="F262" s="539">
        <f t="shared" si="9"/>
        <v>901.14285714285711</v>
      </c>
      <c r="G262" s="540">
        <f t="shared" si="10"/>
        <v>53.008403361344534</v>
      </c>
      <c r="H262" s="541">
        <f t="shared" si="11"/>
        <v>16901.142857142859</v>
      </c>
      <c r="I262" s="446"/>
    </row>
    <row r="263" spans="2:9" ht="26.1" hidden="1" customHeight="1" thickTop="1" thickBot="1" x14ac:dyDescent="0.4">
      <c r="B263" s="366"/>
      <c r="C263" s="452">
        <v>46345</v>
      </c>
      <c r="D263" s="451">
        <v>248</v>
      </c>
      <c r="E263" s="454" t="s">
        <v>907</v>
      </c>
      <c r="F263" s="539">
        <f t="shared" si="9"/>
        <v>904.79120879120876</v>
      </c>
      <c r="G263" s="540">
        <f t="shared" si="10"/>
        <v>53.223012281835807</v>
      </c>
      <c r="H263" s="541">
        <f t="shared" si="11"/>
        <v>16904.791208791208</v>
      </c>
      <c r="I263" s="446"/>
    </row>
    <row r="264" spans="2:9" ht="26.1" hidden="1" customHeight="1" thickTop="1" thickBot="1" x14ac:dyDescent="0.4">
      <c r="B264" s="366"/>
      <c r="C264" s="452">
        <v>46346</v>
      </c>
      <c r="D264" s="451">
        <v>249</v>
      </c>
      <c r="E264" s="454" t="s">
        <v>908</v>
      </c>
      <c r="F264" s="539">
        <f t="shared" si="9"/>
        <v>908.43956043956041</v>
      </c>
      <c r="G264" s="540">
        <f t="shared" si="10"/>
        <v>53.43762120232708</v>
      </c>
      <c r="H264" s="541">
        <f t="shared" si="11"/>
        <v>16908.439560439561</v>
      </c>
      <c r="I264" s="446"/>
    </row>
    <row r="265" spans="2:9" ht="26.1" hidden="1" customHeight="1" thickTop="1" thickBot="1" x14ac:dyDescent="0.4">
      <c r="B265" s="366"/>
      <c r="C265" s="452">
        <v>46347</v>
      </c>
      <c r="D265" s="451">
        <v>250</v>
      </c>
      <c r="E265" s="454" t="s">
        <v>909</v>
      </c>
      <c r="F265" s="539">
        <f t="shared" si="9"/>
        <v>912.08791208791206</v>
      </c>
      <c r="G265" s="540">
        <f t="shared" si="10"/>
        <v>53.652230122818359</v>
      </c>
      <c r="H265" s="541">
        <f t="shared" si="11"/>
        <v>16912.087912087911</v>
      </c>
      <c r="I265" s="446"/>
    </row>
    <row r="266" spans="2:9" ht="26.1" hidden="1" customHeight="1" thickTop="1" thickBot="1" x14ac:dyDescent="0.4">
      <c r="B266" s="366"/>
      <c r="C266" s="452">
        <v>46348</v>
      </c>
      <c r="D266" s="451">
        <v>251</v>
      </c>
      <c r="E266" s="454" t="s">
        <v>910</v>
      </c>
      <c r="F266" s="539">
        <f t="shared" si="9"/>
        <v>915.73626373626371</v>
      </c>
      <c r="G266" s="540">
        <f t="shared" si="10"/>
        <v>53.866839043309632</v>
      </c>
      <c r="H266" s="541">
        <f t="shared" si="11"/>
        <v>16915.736263736264</v>
      </c>
      <c r="I266" s="446"/>
    </row>
    <row r="267" spans="2:9" ht="26.1" hidden="1" customHeight="1" thickTop="1" thickBot="1" x14ac:dyDescent="0.4">
      <c r="B267" s="366"/>
      <c r="C267" s="452">
        <v>46349</v>
      </c>
      <c r="D267" s="451">
        <v>252</v>
      </c>
      <c r="E267" s="454" t="s">
        <v>904</v>
      </c>
      <c r="F267" s="539">
        <f t="shared" si="9"/>
        <v>919.38461538461536</v>
      </c>
      <c r="G267" s="540">
        <f t="shared" si="10"/>
        <v>54.081447963800905</v>
      </c>
      <c r="H267" s="541">
        <f t="shared" si="11"/>
        <v>16919.384615384617</v>
      </c>
      <c r="I267" s="446"/>
    </row>
    <row r="268" spans="2:9" ht="26.1" hidden="1" customHeight="1" thickTop="1" thickBot="1" x14ac:dyDescent="0.4">
      <c r="B268" s="366"/>
      <c r="C268" s="452">
        <v>46350</v>
      </c>
      <c r="D268" s="451">
        <v>253</v>
      </c>
      <c r="E268" s="454" t="s">
        <v>905</v>
      </c>
      <c r="F268" s="539">
        <f t="shared" si="9"/>
        <v>923.03296703296701</v>
      </c>
      <c r="G268" s="540">
        <f t="shared" si="10"/>
        <v>54.296056884292177</v>
      </c>
      <c r="H268" s="541">
        <f t="shared" si="11"/>
        <v>16923.032967032967</v>
      </c>
      <c r="I268" s="446"/>
    </row>
    <row r="269" spans="2:9" ht="26.1" hidden="1" customHeight="1" thickTop="1" thickBot="1" x14ac:dyDescent="0.4">
      <c r="B269" s="366"/>
      <c r="C269" s="452">
        <v>46351</v>
      </c>
      <c r="D269" s="451">
        <v>254</v>
      </c>
      <c r="E269" s="454" t="s">
        <v>906</v>
      </c>
      <c r="F269" s="539">
        <f t="shared" si="9"/>
        <v>926.68131868131866</v>
      </c>
      <c r="G269" s="540">
        <f t="shared" si="10"/>
        <v>54.51066580478345</v>
      </c>
      <c r="H269" s="541">
        <f t="shared" si="11"/>
        <v>16926.68131868132</v>
      </c>
      <c r="I269" s="446"/>
    </row>
    <row r="270" spans="2:9" ht="26.1" hidden="1" customHeight="1" thickTop="1" thickBot="1" x14ac:dyDescent="0.4">
      <c r="B270" s="366"/>
      <c r="C270" s="452">
        <v>46352</v>
      </c>
      <c r="D270" s="451">
        <v>255</v>
      </c>
      <c r="E270" s="454" t="s">
        <v>907</v>
      </c>
      <c r="F270" s="539">
        <f t="shared" si="9"/>
        <v>930.32967032967031</v>
      </c>
      <c r="G270" s="540">
        <f t="shared" si="10"/>
        <v>54.725274725274723</v>
      </c>
      <c r="H270" s="541">
        <f t="shared" si="11"/>
        <v>16930.329670329669</v>
      </c>
      <c r="I270" s="446"/>
    </row>
    <row r="271" spans="2:9" ht="26.1" hidden="1" customHeight="1" thickTop="1" thickBot="1" x14ac:dyDescent="0.4">
      <c r="B271" s="366"/>
      <c r="C271" s="452">
        <v>46353</v>
      </c>
      <c r="D271" s="451">
        <v>256</v>
      </c>
      <c r="E271" s="454" t="s">
        <v>908</v>
      </c>
      <c r="F271" s="539">
        <f t="shared" si="9"/>
        <v>933.97802197802196</v>
      </c>
      <c r="G271" s="540">
        <f t="shared" si="10"/>
        <v>54.939883645765995</v>
      </c>
      <c r="H271" s="541">
        <f t="shared" si="11"/>
        <v>16933.978021978022</v>
      </c>
      <c r="I271" s="446"/>
    </row>
    <row r="272" spans="2:9" ht="26.1" hidden="1" customHeight="1" thickTop="1" thickBot="1" x14ac:dyDescent="0.4">
      <c r="B272" s="366"/>
      <c r="C272" s="452">
        <v>46354</v>
      </c>
      <c r="D272" s="451">
        <v>257</v>
      </c>
      <c r="E272" s="454" t="s">
        <v>909</v>
      </c>
      <c r="F272" s="539">
        <f t="shared" ref="F272:F335" si="12">$E$8/$F$10*D272</f>
        <v>937.62637362637361</v>
      </c>
      <c r="G272" s="540">
        <f t="shared" ref="G272:G335" si="13">F272/$C$12</f>
        <v>55.154492566257268</v>
      </c>
      <c r="H272" s="541">
        <f t="shared" si="11"/>
        <v>16937.626373626372</v>
      </c>
      <c r="I272" s="446"/>
    </row>
    <row r="273" spans="2:9" ht="26.1" hidden="1" customHeight="1" thickTop="1" thickBot="1" x14ac:dyDescent="0.4">
      <c r="B273" s="366"/>
      <c r="C273" s="452">
        <v>46355</v>
      </c>
      <c r="D273" s="451">
        <v>258</v>
      </c>
      <c r="E273" s="454" t="s">
        <v>910</v>
      </c>
      <c r="F273" s="539">
        <f t="shared" si="12"/>
        <v>941.27472527472526</v>
      </c>
      <c r="G273" s="540">
        <f t="shared" si="13"/>
        <v>55.369101486748548</v>
      </c>
      <c r="H273" s="541">
        <f t="shared" ref="H273:H336" si="14">$C$8+F273</f>
        <v>16941.274725274725</v>
      </c>
      <c r="I273" s="446"/>
    </row>
    <row r="274" spans="2:9" ht="26.1" hidden="1" customHeight="1" thickTop="1" thickBot="1" x14ac:dyDescent="0.4">
      <c r="B274" s="366"/>
      <c r="C274" s="452">
        <v>46356</v>
      </c>
      <c r="D274" s="451">
        <v>259</v>
      </c>
      <c r="E274" s="454" t="s">
        <v>904</v>
      </c>
      <c r="F274" s="539">
        <f t="shared" si="12"/>
        <v>944.92307692307691</v>
      </c>
      <c r="G274" s="540">
        <f t="shared" si="13"/>
        <v>55.58371040723982</v>
      </c>
      <c r="H274" s="541">
        <f t="shared" si="14"/>
        <v>16944.923076923078</v>
      </c>
      <c r="I274" s="446"/>
    </row>
    <row r="275" spans="2:9" ht="26.1" hidden="1" customHeight="1" thickTop="1" thickBot="1" x14ac:dyDescent="0.4">
      <c r="B275" s="366"/>
      <c r="C275" s="452">
        <v>46357</v>
      </c>
      <c r="D275" s="451">
        <v>260</v>
      </c>
      <c r="E275" s="454" t="s">
        <v>905</v>
      </c>
      <c r="F275" s="539">
        <f t="shared" si="12"/>
        <v>948.57142857142856</v>
      </c>
      <c r="G275" s="540">
        <f t="shared" si="13"/>
        <v>55.798319327731093</v>
      </c>
      <c r="H275" s="541">
        <f t="shared" si="14"/>
        <v>16948.571428571428</v>
      </c>
      <c r="I275" s="446"/>
    </row>
    <row r="276" spans="2:9" ht="26.1" hidden="1" customHeight="1" thickTop="1" thickBot="1" x14ac:dyDescent="0.4">
      <c r="B276" s="366"/>
      <c r="C276" s="452">
        <v>46358</v>
      </c>
      <c r="D276" s="451">
        <v>261</v>
      </c>
      <c r="E276" s="454" t="s">
        <v>906</v>
      </c>
      <c r="F276" s="539">
        <f t="shared" si="12"/>
        <v>952.2197802197802</v>
      </c>
      <c r="G276" s="540">
        <f t="shared" si="13"/>
        <v>56.012928248222366</v>
      </c>
      <c r="H276" s="541">
        <f t="shared" si="14"/>
        <v>16952.219780219781</v>
      </c>
      <c r="I276" s="446"/>
    </row>
    <row r="277" spans="2:9" ht="26.1" hidden="1" customHeight="1" thickTop="1" thickBot="1" x14ac:dyDescent="0.4">
      <c r="B277" s="366"/>
      <c r="C277" s="452">
        <v>46359</v>
      </c>
      <c r="D277" s="451">
        <v>262</v>
      </c>
      <c r="E277" s="454" t="s">
        <v>907</v>
      </c>
      <c r="F277" s="539">
        <f t="shared" si="12"/>
        <v>955.86813186813185</v>
      </c>
      <c r="G277" s="540">
        <f t="shared" si="13"/>
        <v>56.227537168713638</v>
      </c>
      <c r="H277" s="541">
        <f t="shared" si="14"/>
        <v>16955.86813186813</v>
      </c>
      <c r="I277" s="446"/>
    </row>
    <row r="278" spans="2:9" ht="26.1" hidden="1" customHeight="1" thickTop="1" thickBot="1" x14ac:dyDescent="0.4">
      <c r="B278" s="366"/>
      <c r="C278" s="452">
        <v>46360</v>
      </c>
      <c r="D278" s="451">
        <v>263</v>
      </c>
      <c r="E278" s="454" t="s">
        <v>908</v>
      </c>
      <c r="F278" s="539">
        <f t="shared" si="12"/>
        <v>959.5164835164835</v>
      </c>
      <c r="G278" s="540">
        <f t="shared" si="13"/>
        <v>56.442146089204911</v>
      </c>
      <c r="H278" s="541">
        <f t="shared" si="14"/>
        <v>16959.516483516483</v>
      </c>
      <c r="I278" s="446"/>
    </row>
    <row r="279" spans="2:9" ht="26.1" hidden="1" customHeight="1" thickTop="1" thickBot="1" x14ac:dyDescent="0.4">
      <c r="B279" s="366"/>
      <c r="C279" s="452">
        <v>46361</v>
      </c>
      <c r="D279" s="451">
        <v>264</v>
      </c>
      <c r="E279" s="454" t="s">
        <v>909</v>
      </c>
      <c r="F279" s="539">
        <f t="shared" si="12"/>
        <v>963.16483516483515</v>
      </c>
      <c r="G279" s="540">
        <f t="shared" si="13"/>
        <v>56.656755009696184</v>
      </c>
      <c r="H279" s="541">
        <f t="shared" si="14"/>
        <v>16963.164835164836</v>
      </c>
      <c r="I279" s="446"/>
    </row>
    <row r="280" spans="2:9" ht="26.1" hidden="1" customHeight="1" thickTop="1" thickBot="1" x14ac:dyDescent="0.4">
      <c r="B280" s="366"/>
      <c r="C280" s="452">
        <v>46362</v>
      </c>
      <c r="D280" s="451">
        <v>265</v>
      </c>
      <c r="E280" s="454" t="s">
        <v>910</v>
      </c>
      <c r="F280" s="539">
        <f t="shared" si="12"/>
        <v>966.8131868131868</v>
      </c>
      <c r="G280" s="540">
        <f t="shared" si="13"/>
        <v>56.871363930187457</v>
      </c>
      <c r="H280" s="541">
        <f t="shared" si="14"/>
        <v>16966.813186813186</v>
      </c>
      <c r="I280" s="446"/>
    </row>
    <row r="281" spans="2:9" ht="26.1" hidden="1" customHeight="1" thickTop="1" thickBot="1" x14ac:dyDescent="0.4">
      <c r="B281" s="366"/>
      <c r="C281" s="452">
        <v>46363</v>
      </c>
      <c r="D281" s="451">
        <v>266</v>
      </c>
      <c r="E281" s="454" t="s">
        <v>904</v>
      </c>
      <c r="F281" s="539">
        <f t="shared" si="12"/>
        <v>970.46153846153845</v>
      </c>
      <c r="G281" s="540">
        <f t="shared" si="13"/>
        <v>57.085972850678729</v>
      </c>
      <c r="H281" s="541">
        <f t="shared" si="14"/>
        <v>16970.461538461539</v>
      </c>
      <c r="I281" s="446"/>
    </row>
    <row r="282" spans="2:9" ht="26.1" hidden="1" customHeight="1" thickTop="1" thickBot="1" x14ac:dyDescent="0.4">
      <c r="B282" s="366"/>
      <c r="C282" s="452">
        <v>46364</v>
      </c>
      <c r="D282" s="451">
        <v>267</v>
      </c>
      <c r="E282" s="454" t="s">
        <v>905</v>
      </c>
      <c r="F282" s="539">
        <f t="shared" si="12"/>
        <v>974.1098901098901</v>
      </c>
      <c r="G282" s="540">
        <f t="shared" si="13"/>
        <v>57.300581771170009</v>
      </c>
      <c r="H282" s="541">
        <f t="shared" si="14"/>
        <v>16974.109890109889</v>
      </c>
      <c r="I282" s="446"/>
    </row>
    <row r="283" spans="2:9" ht="26.1" hidden="1" customHeight="1" thickTop="1" thickBot="1" x14ac:dyDescent="0.4">
      <c r="B283" s="366"/>
      <c r="C283" s="452">
        <v>46365</v>
      </c>
      <c r="D283" s="451">
        <v>268</v>
      </c>
      <c r="E283" s="454" t="s">
        <v>906</v>
      </c>
      <c r="F283" s="539">
        <f t="shared" si="12"/>
        <v>977.75824175824175</v>
      </c>
      <c r="G283" s="540">
        <f t="shared" si="13"/>
        <v>57.515190691661282</v>
      </c>
      <c r="H283" s="541">
        <f t="shared" si="14"/>
        <v>16977.758241758242</v>
      </c>
      <c r="I283" s="446"/>
    </row>
    <row r="284" spans="2:9" ht="26.1" hidden="1" customHeight="1" thickTop="1" thickBot="1" x14ac:dyDescent="0.4">
      <c r="B284" s="366"/>
      <c r="C284" s="452">
        <v>46366</v>
      </c>
      <c r="D284" s="451">
        <v>269</v>
      </c>
      <c r="E284" s="454" t="s">
        <v>907</v>
      </c>
      <c r="F284" s="539">
        <f t="shared" si="12"/>
        <v>981.4065934065934</v>
      </c>
      <c r="G284" s="540">
        <f t="shared" si="13"/>
        <v>57.729799612152554</v>
      </c>
      <c r="H284" s="541">
        <f t="shared" si="14"/>
        <v>16981.406593406595</v>
      </c>
      <c r="I284" s="446"/>
    </row>
    <row r="285" spans="2:9" ht="26.1" hidden="1" customHeight="1" thickTop="1" thickBot="1" x14ac:dyDescent="0.4">
      <c r="B285" s="366"/>
      <c r="C285" s="452">
        <v>46367</v>
      </c>
      <c r="D285" s="451">
        <v>270</v>
      </c>
      <c r="E285" s="454" t="s">
        <v>908</v>
      </c>
      <c r="F285" s="539">
        <f t="shared" si="12"/>
        <v>985.05494505494505</v>
      </c>
      <c r="G285" s="540">
        <f t="shared" si="13"/>
        <v>57.944408532643827</v>
      </c>
      <c r="H285" s="541">
        <f t="shared" si="14"/>
        <v>16985.054945054944</v>
      </c>
      <c r="I285" s="446"/>
    </row>
    <row r="286" spans="2:9" ht="26.1" hidden="1" customHeight="1" thickTop="1" thickBot="1" x14ac:dyDescent="0.4">
      <c r="B286" s="366"/>
      <c r="C286" s="452">
        <v>46368</v>
      </c>
      <c r="D286" s="451">
        <v>271</v>
      </c>
      <c r="E286" s="454" t="s">
        <v>909</v>
      </c>
      <c r="F286" s="539">
        <f t="shared" si="12"/>
        <v>988.7032967032967</v>
      </c>
      <c r="G286" s="540">
        <f t="shared" si="13"/>
        <v>58.1590174531351</v>
      </c>
      <c r="H286" s="541">
        <f t="shared" si="14"/>
        <v>16988.703296703297</v>
      </c>
      <c r="I286" s="446"/>
    </row>
    <row r="287" spans="2:9" ht="26.1" hidden="1" customHeight="1" thickTop="1" thickBot="1" x14ac:dyDescent="0.4">
      <c r="B287" s="366"/>
      <c r="C287" s="452">
        <v>46369</v>
      </c>
      <c r="D287" s="451">
        <v>272</v>
      </c>
      <c r="E287" s="454" t="s">
        <v>910</v>
      </c>
      <c r="F287" s="539">
        <f t="shared" si="12"/>
        <v>992.35164835164835</v>
      </c>
      <c r="G287" s="540">
        <f t="shared" si="13"/>
        <v>58.373626373626372</v>
      </c>
      <c r="H287" s="541">
        <f t="shared" si="14"/>
        <v>16992.351648351647</v>
      </c>
      <c r="I287" s="446"/>
    </row>
    <row r="288" spans="2:9" ht="26.1" hidden="1" customHeight="1" thickTop="1" thickBot="1" x14ac:dyDescent="0.4">
      <c r="B288" s="366"/>
      <c r="C288" s="452">
        <v>46370</v>
      </c>
      <c r="D288" s="451">
        <v>273</v>
      </c>
      <c r="E288" s="454" t="s">
        <v>904</v>
      </c>
      <c r="F288" s="539">
        <f t="shared" si="12"/>
        <v>996</v>
      </c>
      <c r="G288" s="540">
        <f t="shared" si="13"/>
        <v>58.588235294117645</v>
      </c>
      <c r="H288" s="541">
        <f t="shared" si="14"/>
        <v>16996</v>
      </c>
      <c r="I288" s="446"/>
    </row>
    <row r="289" spans="2:9" ht="26.1" hidden="1" customHeight="1" thickTop="1" thickBot="1" x14ac:dyDescent="0.4">
      <c r="B289" s="366"/>
      <c r="C289" s="452">
        <v>46371</v>
      </c>
      <c r="D289" s="451">
        <v>274</v>
      </c>
      <c r="E289" s="454" t="s">
        <v>905</v>
      </c>
      <c r="F289" s="539">
        <f t="shared" si="12"/>
        <v>999.64835164835165</v>
      </c>
      <c r="G289" s="540">
        <f t="shared" si="13"/>
        <v>58.802844214608918</v>
      </c>
      <c r="H289" s="541">
        <f t="shared" si="14"/>
        <v>16999.648351648353</v>
      </c>
      <c r="I289" s="446"/>
    </row>
    <row r="290" spans="2:9" ht="26.1" hidden="1" customHeight="1" thickTop="1" thickBot="1" x14ac:dyDescent="0.4">
      <c r="B290" s="366"/>
      <c r="C290" s="452">
        <v>46372</v>
      </c>
      <c r="D290" s="451">
        <v>275</v>
      </c>
      <c r="E290" s="454" t="s">
        <v>906</v>
      </c>
      <c r="F290" s="539">
        <f t="shared" si="12"/>
        <v>1003.2967032967033</v>
      </c>
      <c r="G290" s="540">
        <f t="shared" si="13"/>
        <v>59.017453135100197</v>
      </c>
      <c r="H290" s="541">
        <f t="shared" si="14"/>
        <v>17003.296703296703</v>
      </c>
      <c r="I290" s="446"/>
    </row>
    <row r="291" spans="2:9" ht="26.1" hidden="1" customHeight="1" thickTop="1" thickBot="1" x14ac:dyDescent="0.4">
      <c r="B291" s="366"/>
      <c r="C291" s="452">
        <v>46373</v>
      </c>
      <c r="D291" s="451">
        <v>276</v>
      </c>
      <c r="E291" s="454" t="s">
        <v>907</v>
      </c>
      <c r="F291" s="539">
        <f t="shared" si="12"/>
        <v>1006.9450549450549</v>
      </c>
      <c r="G291" s="540">
        <f t="shared" si="13"/>
        <v>59.23206205559147</v>
      </c>
      <c r="H291" s="541">
        <f t="shared" si="14"/>
        <v>17006.945054945056</v>
      </c>
      <c r="I291" s="446"/>
    </row>
    <row r="292" spans="2:9" ht="26.1" hidden="1" customHeight="1" thickTop="1" thickBot="1" x14ac:dyDescent="0.4">
      <c r="B292" s="366"/>
      <c r="C292" s="452">
        <v>46374</v>
      </c>
      <c r="D292" s="451">
        <v>277</v>
      </c>
      <c r="E292" s="454" t="s">
        <v>908</v>
      </c>
      <c r="F292" s="539">
        <f t="shared" si="12"/>
        <v>1010.5934065934066</v>
      </c>
      <c r="G292" s="540">
        <f t="shared" si="13"/>
        <v>59.446670976082743</v>
      </c>
      <c r="H292" s="541">
        <f t="shared" si="14"/>
        <v>17010.593406593405</v>
      </c>
      <c r="I292" s="446"/>
    </row>
    <row r="293" spans="2:9" ht="26.1" hidden="1" customHeight="1" thickTop="1" thickBot="1" x14ac:dyDescent="0.4">
      <c r="B293" s="366"/>
      <c r="C293" s="452">
        <v>46375</v>
      </c>
      <c r="D293" s="451">
        <v>278</v>
      </c>
      <c r="E293" s="454" t="s">
        <v>909</v>
      </c>
      <c r="F293" s="539">
        <f t="shared" si="12"/>
        <v>1014.2417582417582</v>
      </c>
      <c r="G293" s="540">
        <f t="shared" si="13"/>
        <v>59.661279896574015</v>
      </c>
      <c r="H293" s="541">
        <f t="shared" si="14"/>
        <v>17014.241758241758</v>
      </c>
      <c r="I293" s="446"/>
    </row>
    <row r="294" spans="2:9" ht="26.1" hidden="1" customHeight="1" thickTop="1" thickBot="1" x14ac:dyDescent="0.4">
      <c r="B294" s="366"/>
      <c r="C294" s="452">
        <v>46376</v>
      </c>
      <c r="D294" s="451">
        <v>279</v>
      </c>
      <c r="E294" s="454" t="s">
        <v>910</v>
      </c>
      <c r="F294" s="539">
        <f t="shared" si="12"/>
        <v>1017.8901098901099</v>
      </c>
      <c r="G294" s="540">
        <f t="shared" si="13"/>
        <v>59.875888817065288</v>
      </c>
      <c r="H294" s="541">
        <f t="shared" si="14"/>
        <v>17017.890109890111</v>
      </c>
      <c r="I294" s="446"/>
    </row>
    <row r="295" spans="2:9" ht="26.1" hidden="1" customHeight="1" thickTop="1" thickBot="1" x14ac:dyDescent="0.4">
      <c r="B295" s="366"/>
      <c r="C295" s="452">
        <v>46377</v>
      </c>
      <c r="D295" s="451">
        <v>280</v>
      </c>
      <c r="E295" s="454" t="s">
        <v>904</v>
      </c>
      <c r="F295" s="539">
        <f t="shared" si="12"/>
        <v>1021.5384615384615</v>
      </c>
      <c r="G295" s="540">
        <f t="shared" si="13"/>
        <v>60.090497737556561</v>
      </c>
      <c r="H295" s="541">
        <f t="shared" si="14"/>
        <v>17021.538461538461</v>
      </c>
      <c r="I295" s="446"/>
    </row>
    <row r="296" spans="2:9" ht="26.1" hidden="1" customHeight="1" thickTop="1" thickBot="1" x14ac:dyDescent="0.4">
      <c r="B296" s="366"/>
      <c r="C296" s="452">
        <v>46378</v>
      </c>
      <c r="D296" s="451">
        <v>281</v>
      </c>
      <c r="E296" s="454" t="s">
        <v>905</v>
      </c>
      <c r="F296" s="539">
        <f t="shared" si="12"/>
        <v>1025.1868131868132</v>
      </c>
      <c r="G296" s="540">
        <f t="shared" si="13"/>
        <v>60.305106658047833</v>
      </c>
      <c r="H296" s="541">
        <f t="shared" si="14"/>
        <v>17025.186813186814</v>
      </c>
      <c r="I296" s="446"/>
    </row>
    <row r="297" spans="2:9" ht="26.1" hidden="1" customHeight="1" thickTop="1" thickBot="1" x14ac:dyDescent="0.4">
      <c r="B297" s="366"/>
      <c r="C297" s="452">
        <v>46379</v>
      </c>
      <c r="D297" s="451">
        <v>282</v>
      </c>
      <c r="E297" s="454" t="s">
        <v>906</v>
      </c>
      <c r="F297" s="539">
        <f t="shared" si="12"/>
        <v>1028.8351648351647</v>
      </c>
      <c r="G297" s="540">
        <f t="shared" si="13"/>
        <v>60.519715578539099</v>
      </c>
      <c r="H297" s="541">
        <f t="shared" si="14"/>
        <v>17028.835164835164</v>
      </c>
      <c r="I297" s="446"/>
    </row>
    <row r="298" spans="2:9" ht="26.1" hidden="1" customHeight="1" thickTop="1" thickBot="1" x14ac:dyDescent="0.4">
      <c r="B298" s="366"/>
      <c r="C298" s="452">
        <v>46380</v>
      </c>
      <c r="D298" s="451">
        <v>283</v>
      </c>
      <c r="E298" s="454" t="s">
        <v>907</v>
      </c>
      <c r="F298" s="539">
        <f t="shared" si="12"/>
        <v>1032.4835164835165</v>
      </c>
      <c r="G298" s="540">
        <f t="shared" si="13"/>
        <v>60.734324499030379</v>
      </c>
      <c r="H298" s="541">
        <f t="shared" si="14"/>
        <v>17032.483516483517</v>
      </c>
      <c r="I298" s="446"/>
    </row>
    <row r="299" spans="2:9" ht="26.1" hidden="1" customHeight="1" thickTop="1" thickBot="1" x14ac:dyDescent="0.4">
      <c r="B299" s="366"/>
      <c r="C299" s="452">
        <v>46381</v>
      </c>
      <c r="D299" s="451">
        <v>284</v>
      </c>
      <c r="E299" s="454" t="s">
        <v>908</v>
      </c>
      <c r="F299" s="539">
        <f t="shared" si="12"/>
        <v>1036.131868131868</v>
      </c>
      <c r="G299" s="540">
        <f t="shared" si="13"/>
        <v>60.948933419521651</v>
      </c>
      <c r="H299" s="541">
        <f t="shared" si="14"/>
        <v>17036.131868131866</v>
      </c>
      <c r="I299" s="446"/>
    </row>
    <row r="300" spans="2:9" ht="26.1" hidden="1" customHeight="1" thickTop="1" thickBot="1" x14ac:dyDescent="0.4">
      <c r="B300" s="366"/>
      <c r="C300" s="452">
        <v>46382</v>
      </c>
      <c r="D300" s="451">
        <v>285</v>
      </c>
      <c r="E300" s="454" t="s">
        <v>909</v>
      </c>
      <c r="F300" s="539">
        <f t="shared" si="12"/>
        <v>1039.7802197802198</v>
      </c>
      <c r="G300" s="540">
        <f t="shared" si="13"/>
        <v>61.163542340012931</v>
      </c>
      <c r="H300" s="541">
        <f t="shared" si="14"/>
        <v>17039.780219780219</v>
      </c>
      <c r="I300" s="446"/>
    </row>
    <row r="301" spans="2:9" ht="26.1" hidden="1" customHeight="1" thickTop="1" thickBot="1" x14ac:dyDescent="0.4">
      <c r="B301" s="366"/>
      <c r="C301" s="452">
        <v>46383</v>
      </c>
      <c r="D301" s="451">
        <v>286</v>
      </c>
      <c r="E301" s="454" t="s">
        <v>910</v>
      </c>
      <c r="F301" s="539">
        <f t="shared" si="12"/>
        <v>1043.4285714285713</v>
      </c>
      <c r="G301" s="540">
        <f t="shared" si="13"/>
        <v>61.378151260504197</v>
      </c>
      <c r="H301" s="541">
        <f t="shared" si="14"/>
        <v>17043.428571428572</v>
      </c>
      <c r="I301" s="446"/>
    </row>
    <row r="302" spans="2:9" ht="26.1" hidden="1" customHeight="1" thickTop="1" thickBot="1" x14ac:dyDescent="0.4">
      <c r="B302" s="366"/>
      <c r="C302" s="452">
        <v>46384</v>
      </c>
      <c r="D302" s="451">
        <v>287</v>
      </c>
      <c r="E302" s="454" t="s">
        <v>904</v>
      </c>
      <c r="F302" s="539">
        <f t="shared" si="12"/>
        <v>1047.0769230769231</v>
      </c>
      <c r="G302" s="540">
        <f t="shared" si="13"/>
        <v>61.592760180995477</v>
      </c>
      <c r="H302" s="541">
        <f t="shared" si="14"/>
        <v>17047.076923076922</v>
      </c>
      <c r="I302" s="446"/>
    </row>
    <row r="303" spans="2:9" ht="26.1" hidden="1" customHeight="1" thickTop="1" thickBot="1" x14ac:dyDescent="0.4">
      <c r="B303" s="366"/>
      <c r="C303" s="452">
        <v>46385</v>
      </c>
      <c r="D303" s="451">
        <v>288</v>
      </c>
      <c r="E303" s="454" t="s">
        <v>905</v>
      </c>
      <c r="F303" s="539">
        <f t="shared" si="12"/>
        <v>1050.7252747252746</v>
      </c>
      <c r="G303" s="540">
        <f t="shared" si="13"/>
        <v>61.807369101486742</v>
      </c>
      <c r="H303" s="541">
        <f t="shared" si="14"/>
        <v>17050.725274725275</v>
      </c>
      <c r="I303" s="446"/>
    </row>
    <row r="304" spans="2:9" ht="26.1" hidden="1" customHeight="1" thickTop="1" thickBot="1" x14ac:dyDescent="0.4">
      <c r="B304" s="366"/>
      <c r="C304" s="452">
        <v>46386</v>
      </c>
      <c r="D304" s="451">
        <v>289</v>
      </c>
      <c r="E304" s="454" t="s">
        <v>906</v>
      </c>
      <c r="F304" s="539">
        <f t="shared" si="12"/>
        <v>1054.3736263736264</v>
      </c>
      <c r="G304" s="540">
        <f t="shared" si="13"/>
        <v>62.021978021978022</v>
      </c>
      <c r="H304" s="541">
        <f t="shared" si="14"/>
        <v>17054.373626373628</v>
      </c>
      <c r="I304" s="446"/>
    </row>
    <row r="305" spans="2:9" ht="26.1" hidden="1" customHeight="1" thickTop="1" thickBot="1" x14ac:dyDescent="0.4">
      <c r="B305" s="366"/>
      <c r="C305" s="452">
        <v>46387</v>
      </c>
      <c r="D305" s="451">
        <v>290</v>
      </c>
      <c r="E305" s="454" t="s">
        <v>907</v>
      </c>
      <c r="F305" s="539">
        <f t="shared" si="12"/>
        <v>1058.0219780219779</v>
      </c>
      <c r="G305" s="540">
        <f t="shared" si="13"/>
        <v>62.236586942469287</v>
      </c>
      <c r="H305" s="541">
        <f t="shared" si="14"/>
        <v>17058.021978021978</v>
      </c>
      <c r="I305" s="446"/>
    </row>
    <row r="306" spans="2:9" ht="26.1" hidden="1" customHeight="1" thickTop="1" thickBot="1" x14ac:dyDescent="0.4">
      <c r="B306" s="366"/>
      <c r="C306" s="452">
        <v>46388</v>
      </c>
      <c r="D306" s="451">
        <v>291</v>
      </c>
      <c r="E306" s="454" t="s">
        <v>908</v>
      </c>
      <c r="F306" s="539">
        <f t="shared" si="12"/>
        <v>1061.6703296703297</v>
      </c>
      <c r="G306" s="540">
        <f t="shared" si="13"/>
        <v>62.451195862960567</v>
      </c>
      <c r="H306" s="541">
        <f t="shared" si="14"/>
        <v>17061.670329670331</v>
      </c>
      <c r="I306" s="446"/>
    </row>
    <row r="307" spans="2:9" ht="26.1" hidden="1" customHeight="1" thickTop="1" thickBot="1" x14ac:dyDescent="0.4">
      <c r="B307" s="366"/>
      <c r="C307" s="452">
        <v>46389</v>
      </c>
      <c r="D307" s="451">
        <v>292</v>
      </c>
      <c r="E307" s="454" t="s">
        <v>909</v>
      </c>
      <c r="F307" s="539">
        <f t="shared" si="12"/>
        <v>1065.3186813186812</v>
      </c>
      <c r="G307" s="540">
        <f t="shared" si="13"/>
        <v>62.66580478345184</v>
      </c>
      <c r="H307" s="541">
        <f t="shared" si="14"/>
        <v>17065.31868131868</v>
      </c>
      <c r="I307" s="446"/>
    </row>
    <row r="308" spans="2:9" ht="26.1" hidden="1" customHeight="1" thickTop="1" thickBot="1" x14ac:dyDescent="0.4">
      <c r="B308" s="366"/>
      <c r="C308" s="452">
        <v>46390</v>
      </c>
      <c r="D308" s="451">
        <v>293</v>
      </c>
      <c r="E308" s="454" t="s">
        <v>910</v>
      </c>
      <c r="F308" s="539">
        <f t="shared" si="12"/>
        <v>1068.967032967033</v>
      </c>
      <c r="G308" s="540">
        <f t="shared" si="13"/>
        <v>62.88041370394312</v>
      </c>
      <c r="H308" s="541">
        <f t="shared" si="14"/>
        <v>17068.967032967033</v>
      </c>
      <c r="I308" s="446"/>
    </row>
    <row r="309" spans="2:9" ht="26.1" hidden="1" customHeight="1" thickTop="1" thickBot="1" x14ac:dyDescent="0.4">
      <c r="B309" s="366"/>
      <c r="C309" s="452">
        <v>46391</v>
      </c>
      <c r="D309" s="451">
        <v>294</v>
      </c>
      <c r="E309" s="454" t="s">
        <v>904</v>
      </c>
      <c r="F309" s="539">
        <f t="shared" si="12"/>
        <v>1072.6153846153845</v>
      </c>
      <c r="G309" s="540">
        <f t="shared" si="13"/>
        <v>63.095022624434385</v>
      </c>
      <c r="H309" s="541">
        <f t="shared" si="14"/>
        <v>17072.615384615383</v>
      </c>
      <c r="I309" s="446"/>
    </row>
    <row r="310" spans="2:9" ht="26.1" hidden="1" customHeight="1" thickTop="1" thickBot="1" x14ac:dyDescent="0.4">
      <c r="B310" s="366"/>
      <c r="C310" s="452">
        <v>46392</v>
      </c>
      <c r="D310" s="451">
        <v>295</v>
      </c>
      <c r="E310" s="454" t="s">
        <v>905</v>
      </c>
      <c r="F310" s="539">
        <f t="shared" si="12"/>
        <v>1076.2637362637363</v>
      </c>
      <c r="G310" s="540">
        <f t="shared" si="13"/>
        <v>63.309631544925665</v>
      </c>
      <c r="H310" s="541">
        <f t="shared" si="14"/>
        <v>17076.263736263736</v>
      </c>
      <c r="I310" s="446"/>
    </row>
    <row r="311" spans="2:9" ht="26.1" hidden="1" customHeight="1" thickTop="1" thickBot="1" x14ac:dyDescent="0.4">
      <c r="B311" s="366"/>
      <c r="C311" s="452">
        <v>46393</v>
      </c>
      <c r="D311" s="451">
        <v>296</v>
      </c>
      <c r="E311" s="454" t="s">
        <v>906</v>
      </c>
      <c r="F311" s="539">
        <f t="shared" si="12"/>
        <v>1079.9120879120878</v>
      </c>
      <c r="G311" s="540">
        <f t="shared" si="13"/>
        <v>63.524240465416931</v>
      </c>
      <c r="H311" s="541">
        <f t="shared" si="14"/>
        <v>17079.912087912089</v>
      </c>
      <c r="I311" s="446"/>
    </row>
    <row r="312" spans="2:9" ht="26.1" hidden="1" customHeight="1" thickTop="1" thickBot="1" x14ac:dyDescent="0.4">
      <c r="B312" s="366"/>
      <c r="C312" s="452">
        <v>46394</v>
      </c>
      <c r="D312" s="451">
        <v>297</v>
      </c>
      <c r="E312" s="454" t="s">
        <v>907</v>
      </c>
      <c r="F312" s="539">
        <f t="shared" si="12"/>
        <v>1083.5604395604396</v>
      </c>
      <c r="G312" s="540">
        <f t="shared" si="13"/>
        <v>63.73884938590821</v>
      </c>
      <c r="H312" s="541">
        <f t="shared" si="14"/>
        <v>17083.560439560439</v>
      </c>
      <c r="I312" s="446"/>
    </row>
    <row r="313" spans="2:9" ht="26.1" hidden="1" customHeight="1" thickTop="1" thickBot="1" x14ac:dyDescent="0.4">
      <c r="B313" s="366"/>
      <c r="C313" s="452">
        <v>46395</v>
      </c>
      <c r="D313" s="451">
        <v>298</v>
      </c>
      <c r="E313" s="454" t="s">
        <v>908</v>
      </c>
      <c r="F313" s="539">
        <f t="shared" si="12"/>
        <v>1087.2087912087911</v>
      </c>
      <c r="G313" s="540">
        <f t="shared" si="13"/>
        <v>63.953458306399476</v>
      </c>
      <c r="H313" s="541">
        <f t="shared" si="14"/>
        <v>17087.208791208792</v>
      </c>
      <c r="I313" s="446"/>
    </row>
    <row r="314" spans="2:9" ht="26.1" hidden="1" customHeight="1" thickTop="1" thickBot="1" x14ac:dyDescent="0.4">
      <c r="B314" s="366"/>
      <c r="C314" s="452">
        <v>46396</v>
      </c>
      <c r="D314" s="451">
        <v>299</v>
      </c>
      <c r="E314" s="454" t="s">
        <v>909</v>
      </c>
      <c r="F314" s="539">
        <f t="shared" si="12"/>
        <v>1090.8571428571429</v>
      </c>
      <c r="G314" s="540">
        <f t="shared" si="13"/>
        <v>64.168067226890756</v>
      </c>
      <c r="H314" s="541">
        <f t="shared" si="14"/>
        <v>17090.857142857141</v>
      </c>
      <c r="I314" s="446"/>
    </row>
    <row r="315" spans="2:9" ht="26.1" hidden="1" customHeight="1" thickTop="1" thickBot="1" x14ac:dyDescent="0.4">
      <c r="B315" s="366"/>
      <c r="C315" s="452">
        <v>46397</v>
      </c>
      <c r="D315" s="451">
        <v>300</v>
      </c>
      <c r="E315" s="454" t="s">
        <v>910</v>
      </c>
      <c r="F315" s="539">
        <f t="shared" si="12"/>
        <v>1094.5054945054944</v>
      </c>
      <c r="G315" s="540">
        <f t="shared" si="13"/>
        <v>64.382676147382028</v>
      </c>
      <c r="H315" s="541">
        <f t="shared" si="14"/>
        <v>17094.505494505494</v>
      </c>
      <c r="I315" s="446"/>
    </row>
    <row r="316" spans="2:9" ht="26.1" hidden="1" customHeight="1" thickTop="1" thickBot="1" x14ac:dyDescent="0.4">
      <c r="B316" s="366"/>
      <c r="C316" s="452">
        <v>46398</v>
      </c>
      <c r="D316" s="451">
        <v>301</v>
      </c>
      <c r="E316" s="454" t="s">
        <v>904</v>
      </c>
      <c r="F316" s="539">
        <f t="shared" si="12"/>
        <v>1098.1538461538462</v>
      </c>
      <c r="G316" s="540">
        <f t="shared" si="13"/>
        <v>64.597285067873301</v>
      </c>
      <c r="H316" s="541">
        <f t="shared" si="14"/>
        <v>17098.153846153848</v>
      </c>
      <c r="I316" s="446"/>
    </row>
    <row r="317" spans="2:9" ht="26.1" hidden="1" customHeight="1" thickTop="1" thickBot="1" x14ac:dyDescent="0.4">
      <c r="B317" s="366"/>
      <c r="C317" s="452">
        <v>46399</v>
      </c>
      <c r="D317" s="451">
        <v>302</v>
      </c>
      <c r="E317" s="454" t="s">
        <v>905</v>
      </c>
      <c r="F317" s="539">
        <f t="shared" si="12"/>
        <v>1101.8021978021977</v>
      </c>
      <c r="G317" s="540">
        <f t="shared" si="13"/>
        <v>64.811893988364574</v>
      </c>
      <c r="H317" s="541">
        <f t="shared" si="14"/>
        <v>17101.802197802197</v>
      </c>
      <c r="I317" s="446"/>
    </row>
    <row r="318" spans="2:9" ht="26.1" hidden="1" customHeight="1" thickTop="1" thickBot="1" x14ac:dyDescent="0.4">
      <c r="B318" s="366"/>
      <c r="C318" s="452">
        <v>46400</v>
      </c>
      <c r="D318" s="451">
        <v>303</v>
      </c>
      <c r="E318" s="454" t="s">
        <v>906</v>
      </c>
      <c r="F318" s="539">
        <f t="shared" si="12"/>
        <v>1105.4505494505495</v>
      </c>
      <c r="G318" s="540">
        <f t="shared" si="13"/>
        <v>65.026502908855846</v>
      </c>
      <c r="H318" s="541">
        <f t="shared" si="14"/>
        <v>17105.45054945055</v>
      </c>
      <c r="I318" s="446"/>
    </row>
    <row r="319" spans="2:9" ht="26.1" hidden="1" customHeight="1" thickTop="1" thickBot="1" x14ac:dyDescent="0.4">
      <c r="B319" s="366"/>
      <c r="C319" s="452">
        <v>46401</v>
      </c>
      <c r="D319" s="451">
        <v>304</v>
      </c>
      <c r="E319" s="454" t="s">
        <v>907</v>
      </c>
      <c r="F319" s="539">
        <f t="shared" si="12"/>
        <v>1109.098901098901</v>
      </c>
      <c r="G319" s="540">
        <f t="shared" si="13"/>
        <v>65.241111829347119</v>
      </c>
      <c r="H319" s="541">
        <f t="shared" si="14"/>
        <v>17109.0989010989</v>
      </c>
      <c r="I319" s="446"/>
    </row>
    <row r="320" spans="2:9" ht="26.1" hidden="1" customHeight="1" thickTop="1" thickBot="1" x14ac:dyDescent="0.4">
      <c r="B320" s="366"/>
      <c r="C320" s="452">
        <v>46402</v>
      </c>
      <c r="D320" s="451">
        <v>305</v>
      </c>
      <c r="E320" s="454" t="s">
        <v>908</v>
      </c>
      <c r="F320" s="539">
        <f t="shared" si="12"/>
        <v>1112.7472527472528</v>
      </c>
      <c r="G320" s="540">
        <f t="shared" si="13"/>
        <v>65.455720749838406</v>
      </c>
      <c r="H320" s="541">
        <f t="shared" si="14"/>
        <v>17112.747252747253</v>
      </c>
      <c r="I320" s="446"/>
    </row>
    <row r="321" spans="2:9" ht="26.1" hidden="1" customHeight="1" thickTop="1" thickBot="1" x14ac:dyDescent="0.4">
      <c r="B321" s="366"/>
      <c r="C321" s="452">
        <v>46403</v>
      </c>
      <c r="D321" s="451">
        <v>306</v>
      </c>
      <c r="E321" s="454" t="s">
        <v>909</v>
      </c>
      <c r="F321" s="539">
        <f t="shared" si="12"/>
        <v>1116.3956043956043</v>
      </c>
      <c r="G321" s="540">
        <f t="shared" si="13"/>
        <v>65.670329670329664</v>
      </c>
      <c r="H321" s="541">
        <f t="shared" si="14"/>
        <v>17116.395604395606</v>
      </c>
      <c r="I321" s="446"/>
    </row>
    <row r="322" spans="2:9" ht="26.1" hidden="1" customHeight="1" thickTop="1" thickBot="1" x14ac:dyDescent="0.4">
      <c r="B322" s="366"/>
      <c r="C322" s="452">
        <v>46404</v>
      </c>
      <c r="D322" s="451">
        <v>307</v>
      </c>
      <c r="E322" s="454" t="s">
        <v>910</v>
      </c>
      <c r="F322" s="539">
        <f t="shared" si="12"/>
        <v>1120.0439560439561</v>
      </c>
      <c r="G322" s="540">
        <f t="shared" si="13"/>
        <v>65.884938590820951</v>
      </c>
      <c r="H322" s="541">
        <f t="shared" si="14"/>
        <v>17120.043956043955</v>
      </c>
      <c r="I322" s="446"/>
    </row>
    <row r="323" spans="2:9" ht="26.1" hidden="1" customHeight="1" thickTop="1" thickBot="1" x14ac:dyDescent="0.4">
      <c r="B323" s="366"/>
      <c r="C323" s="452">
        <v>46405</v>
      </c>
      <c r="D323" s="451">
        <v>308</v>
      </c>
      <c r="E323" s="454" t="s">
        <v>904</v>
      </c>
      <c r="F323" s="539">
        <f t="shared" si="12"/>
        <v>1123.6923076923076</v>
      </c>
      <c r="G323" s="540">
        <f t="shared" si="13"/>
        <v>66.09954751131221</v>
      </c>
      <c r="H323" s="541">
        <f t="shared" si="14"/>
        <v>17123.692307692309</v>
      </c>
      <c r="I323" s="446"/>
    </row>
    <row r="324" spans="2:9" ht="26.1" hidden="1" customHeight="1" thickTop="1" thickBot="1" x14ac:dyDescent="0.4">
      <c r="B324" s="366"/>
      <c r="C324" s="452">
        <v>46406</v>
      </c>
      <c r="D324" s="451">
        <v>309</v>
      </c>
      <c r="E324" s="454" t="s">
        <v>905</v>
      </c>
      <c r="F324" s="539">
        <f t="shared" si="12"/>
        <v>1127.3406593406594</v>
      </c>
      <c r="G324" s="540">
        <f t="shared" si="13"/>
        <v>66.314156431803497</v>
      </c>
      <c r="H324" s="541">
        <f t="shared" si="14"/>
        <v>17127.340659340658</v>
      </c>
      <c r="I324" s="446"/>
    </row>
    <row r="325" spans="2:9" ht="26.1" hidden="1" customHeight="1" thickTop="1" thickBot="1" x14ac:dyDescent="0.4">
      <c r="B325" s="366"/>
      <c r="C325" s="452">
        <v>46407</v>
      </c>
      <c r="D325" s="451">
        <v>310</v>
      </c>
      <c r="E325" s="454" t="s">
        <v>906</v>
      </c>
      <c r="F325" s="539">
        <f t="shared" si="12"/>
        <v>1130.9890109890109</v>
      </c>
      <c r="G325" s="540">
        <f t="shared" si="13"/>
        <v>66.528765352294755</v>
      </c>
      <c r="H325" s="541">
        <f t="shared" si="14"/>
        <v>17130.989010989011</v>
      </c>
      <c r="I325" s="446"/>
    </row>
    <row r="326" spans="2:9" ht="26.1" hidden="1" customHeight="1" thickTop="1" thickBot="1" x14ac:dyDescent="0.4">
      <c r="B326" s="366"/>
      <c r="C326" s="452">
        <v>46408</v>
      </c>
      <c r="D326" s="451">
        <v>311</v>
      </c>
      <c r="E326" s="454" t="s">
        <v>907</v>
      </c>
      <c r="F326" s="539">
        <f t="shared" si="12"/>
        <v>1134.6373626373627</v>
      </c>
      <c r="G326" s="540">
        <f t="shared" si="13"/>
        <v>66.743374272786042</v>
      </c>
      <c r="H326" s="541">
        <f t="shared" si="14"/>
        <v>17134.637362637364</v>
      </c>
      <c r="I326" s="446"/>
    </row>
    <row r="327" spans="2:9" ht="26.1" hidden="1" customHeight="1" thickTop="1" thickBot="1" x14ac:dyDescent="0.4">
      <c r="B327" s="366"/>
      <c r="C327" s="452">
        <v>46409</v>
      </c>
      <c r="D327" s="451">
        <v>312</v>
      </c>
      <c r="E327" s="454" t="s">
        <v>908</v>
      </c>
      <c r="F327" s="539">
        <f t="shared" si="12"/>
        <v>1138.2857142857142</v>
      </c>
      <c r="G327" s="540">
        <f t="shared" si="13"/>
        <v>66.9579831932773</v>
      </c>
      <c r="H327" s="541">
        <f t="shared" si="14"/>
        <v>17138.285714285714</v>
      </c>
      <c r="I327" s="446"/>
    </row>
    <row r="328" spans="2:9" ht="26.1" hidden="1" customHeight="1" thickTop="1" thickBot="1" x14ac:dyDescent="0.4">
      <c r="B328" s="366"/>
      <c r="C328" s="452">
        <v>46410</v>
      </c>
      <c r="D328" s="451">
        <v>313</v>
      </c>
      <c r="E328" s="454" t="s">
        <v>909</v>
      </c>
      <c r="F328" s="539">
        <f t="shared" si="12"/>
        <v>1141.934065934066</v>
      </c>
      <c r="G328" s="540">
        <f t="shared" si="13"/>
        <v>67.172592113768587</v>
      </c>
      <c r="H328" s="541">
        <f t="shared" si="14"/>
        <v>17141.934065934067</v>
      </c>
      <c r="I328" s="446"/>
    </row>
    <row r="329" spans="2:9" ht="26.1" hidden="1" customHeight="1" thickTop="1" thickBot="1" x14ac:dyDescent="0.4">
      <c r="B329" s="366"/>
      <c r="C329" s="452">
        <v>46411</v>
      </c>
      <c r="D329" s="451">
        <v>314</v>
      </c>
      <c r="E329" s="454" t="s">
        <v>910</v>
      </c>
      <c r="F329" s="539">
        <f t="shared" si="12"/>
        <v>1145.5824175824175</v>
      </c>
      <c r="G329" s="540">
        <f t="shared" si="13"/>
        <v>67.38720103425986</v>
      </c>
      <c r="H329" s="541">
        <f t="shared" si="14"/>
        <v>17145.582417582416</v>
      </c>
      <c r="I329" s="446"/>
    </row>
    <row r="330" spans="2:9" ht="26.1" hidden="1" customHeight="1" thickTop="1" thickBot="1" x14ac:dyDescent="0.4">
      <c r="B330" s="366"/>
      <c r="C330" s="452">
        <v>46412</v>
      </c>
      <c r="D330" s="451">
        <v>315</v>
      </c>
      <c r="E330" s="454" t="s">
        <v>904</v>
      </c>
      <c r="F330" s="539">
        <f t="shared" si="12"/>
        <v>1149.2307692307693</v>
      </c>
      <c r="G330" s="540">
        <f t="shared" si="13"/>
        <v>67.601809954751133</v>
      </c>
      <c r="H330" s="541">
        <f t="shared" si="14"/>
        <v>17149.23076923077</v>
      </c>
      <c r="I330" s="446"/>
    </row>
    <row r="331" spans="2:9" ht="26.1" hidden="1" customHeight="1" thickTop="1" thickBot="1" x14ac:dyDescent="0.4">
      <c r="B331" s="366"/>
      <c r="C331" s="452">
        <v>46413</v>
      </c>
      <c r="D331" s="451">
        <v>316</v>
      </c>
      <c r="E331" s="454" t="s">
        <v>905</v>
      </c>
      <c r="F331" s="539">
        <f t="shared" si="12"/>
        <v>1152.8791208791208</v>
      </c>
      <c r="G331" s="540">
        <f t="shared" si="13"/>
        <v>67.816418875242405</v>
      </c>
      <c r="H331" s="541">
        <f t="shared" si="14"/>
        <v>17152.879120879123</v>
      </c>
      <c r="I331" s="446"/>
    </row>
    <row r="332" spans="2:9" ht="26.1" hidden="1" customHeight="1" thickTop="1" thickBot="1" x14ac:dyDescent="0.4">
      <c r="B332" s="366"/>
      <c r="C332" s="452">
        <v>46414</v>
      </c>
      <c r="D332" s="451">
        <v>317</v>
      </c>
      <c r="E332" s="454" t="s">
        <v>906</v>
      </c>
      <c r="F332" s="539">
        <f t="shared" si="12"/>
        <v>1156.5274725274726</v>
      </c>
      <c r="G332" s="540">
        <f t="shared" si="13"/>
        <v>68.031027795733678</v>
      </c>
      <c r="H332" s="541">
        <f t="shared" si="14"/>
        <v>17156.527472527472</v>
      </c>
      <c r="I332" s="446"/>
    </row>
    <row r="333" spans="2:9" ht="26.1" hidden="1" customHeight="1" thickTop="1" thickBot="1" x14ac:dyDescent="0.4">
      <c r="B333" s="366"/>
      <c r="C333" s="452">
        <v>46415</v>
      </c>
      <c r="D333" s="451">
        <v>318</v>
      </c>
      <c r="E333" s="454" t="s">
        <v>907</v>
      </c>
      <c r="F333" s="539">
        <f t="shared" si="12"/>
        <v>1160.1758241758241</v>
      </c>
      <c r="G333" s="540">
        <f t="shared" si="13"/>
        <v>68.245636716224951</v>
      </c>
      <c r="H333" s="541">
        <f t="shared" si="14"/>
        <v>17160.175824175825</v>
      </c>
      <c r="I333" s="446"/>
    </row>
    <row r="334" spans="2:9" ht="26.1" hidden="1" customHeight="1" thickTop="1" thickBot="1" x14ac:dyDescent="0.4">
      <c r="B334" s="366"/>
      <c r="C334" s="452">
        <v>46416</v>
      </c>
      <c r="D334" s="451">
        <v>319</v>
      </c>
      <c r="E334" s="454" t="s">
        <v>908</v>
      </c>
      <c r="F334" s="539">
        <f t="shared" si="12"/>
        <v>1163.8241758241759</v>
      </c>
      <c r="G334" s="540">
        <f t="shared" si="13"/>
        <v>68.460245636716223</v>
      </c>
      <c r="H334" s="541">
        <f t="shared" si="14"/>
        <v>17163.824175824175</v>
      </c>
      <c r="I334" s="446"/>
    </row>
    <row r="335" spans="2:9" ht="26.1" hidden="1" customHeight="1" thickTop="1" thickBot="1" x14ac:dyDescent="0.4">
      <c r="B335" s="366"/>
      <c r="C335" s="452">
        <v>46417</v>
      </c>
      <c r="D335" s="451">
        <v>320</v>
      </c>
      <c r="E335" s="454" t="s">
        <v>909</v>
      </c>
      <c r="F335" s="539">
        <f t="shared" si="12"/>
        <v>1167.4725274725274</v>
      </c>
      <c r="G335" s="540">
        <f t="shared" si="13"/>
        <v>68.674854557207496</v>
      </c>
      <c r="H335" s="541">
        <f t="shared" si="14"/>
        <v>17167.472527472528</v>
      </c>
      <c r="I335" s="446"/>
    </row>
    <row r="336" spans="2:9" ht="26.1" hidden="1" customHeight="1" thickTop="1" thickBot="1" x14ac:dyDescent="0.4">
      <c r="B336" s="366"/>
      <c r="C336" s="452">
        <v>46418</v>
      </c>
      <c r="D336" s="451">
        <v>321</v>
      </c>
      <c r="E336" s="454" t="s">
        <v>910</v>
      </c>
      <c r="F336" s="539">
        <f t="shared" ref="F336:F379" si="15">$E$8/$F$10*D336</f>
        <v>1171.1208791208792</v>
      </c>
      <c r="G336" s="540">
        <f t="shared" ref="G336:G379" si="16">F336/$C$12</f>
        <v>68.889463477698769</v>
      </c>
      <c r="H336" s="541">
        <f t="shared" si="14"/>
        <v>17171.120879120877</v>
      </c>
      <c r="I336" s="446"/>
    </row>
    <row r="337" spans="2:9" ht="26.1" hidden="1" customHeight="1" thickTop="1" thickBot="1" x14ac:dyDescent="0.4">
      <c r="B337" s="366"/>
      <c r="C337" s="452">
        <v>46419</v>
      </c>
      <c r="D337" s="451">
        <v>322</v>
      </c>
      <c r="E337" s="454" t="s">
        <v>904</v>
      </c>
      <c r="F337" s="539">
        <f t="shared" si="15"/>
        <v>1174.7692307692307</v>
      </c>
      <c r="G337" s="540">
        <f t="shared" si="16"/>
        <v>69.104072398190041</v>
      </c>
      <c r="H337" s="541">
        <f t="shared" ref="H337:H379" si="17">$C$8+F337</f>
        <v>17174.76923076923</v>
      </c>
      <c r="I337" s="446"/>
    </row>
    <row r="338" spans="2:9" ht="26.1" hidden="1" customHeight="1" thickTop="1" thickBot="1" x14ac:dyDescent="0.4">
      <c r="B338" s="366"/>
      <c r="C338" s="452">
        <v>46420</v>
      </c>
      <c r="D338" s="451">
        <v>323</v>
      </c>
      <c r="E338" s="454" t="s">
        <v>905</v>
      </c>
      <c r="F338" s="539">
        <f t="shared" si="15"/>
        <v>1178.4175824175825</v>
      </c>
      <c r="G338" s="540">
        <f t="shared" si="16"/>
        <v>69.318681318681328</v>
      </c>
      <c r="H338" s="541">
        <f t="shared" si="17"/>
        <v>17178.417582417584</v>
      </c>
      <c r="I338" s="446"/>
    </row>
    <row r="339" spans="2:9" ht="26.1" hidden="1" customHeight="1" thickTop="1" thickBot="1" x14ac:dyDescent="0.4">
      <c r="B339" s="366"/>
      <c r="C339" s="452">
        <v>46421</v>
      </c>
      <c r="D339" s="451">
        <v>324</v>
      </c>
      <c r="E339" s="454" t="s">
        <v>906</v>
      </c>
      <c r="F339" s="539">
        <f t="shared" si="15"/>
        <v>1182.065934065934</v>
      </c>
      <c r="G339" s="540">
        <f t="shared" si="16"/>
        <v>69.533290239172587</v>
      </c>
      <c r="H339" s="541">
        <f t="shared" si="17"/>
        <v>17182.065934065933</v>
      </c>
      <c r="I339" s="446"/>
    </row>
    <row r="340" spans="2:9" ht="26.1" hidden="1" customHeight="1" thickTop="1" thickBot="1" x14ac:dyDescent="0.4">
      <c r="B340" s="366"/>
      <c r="C340" s="452">
        <v>46422</v>
      </c>
      <c r="D340" s="451">
        <v>325</v>
      </c>
      <c r="E340" s="454" t="s">
        <v>907</v>
      </c>
      <c r="F340" s="539">
        <f t="shared" si="15"/>
        <v>1185.7142857142858</v>
      </c>
      <c r="G340" s="540">
        <f t="shared" si="16"/>
        <v>69.747899159663874</v>
      </c>
      <c r="H340" s="541">
        <f t="shared" si="17"/>
        <v>17185.714285714286</v>
      </c>
      <c r="I340" s="446"/>
    </row>
    <row r="341" spans="2:9" ht="26.1" hidden="1" customHeight="1" thickTop="1" thickBot="1" x14ac:dyDescent="0.4">
      <c r="B341" s="366"/>
      <c r="C341" s="452">
        <v>46423</v>
      </c>
      <c r="D341" s="451">
        <v>326</v>
      </c>
      <c r="E341" s="454" t="s">
        <v>908</v>
      </c>
      <c r="F341" s="539">
        <f t="shared" si="15"/>
        <v>1189.3626373626373</v>
      </c>
      <c r="G341" s="540">
        <f t="shared" si="16"/>
        <v>69.962508080155132</v>
      </c>
      <c r="H341" s="541">
        <f t="shared" si="17"/>
        <v>17189.362637362636</v>
      </c>
      <c r="I341" s="446"/>
    </row>
    <row r="342" spans="2:9" ht="26.1" hidden="1" customHeight="1" thickTop="1" thickBot="1" x14ac:dyDescent="0.4">
      <c r="B342" s="366"/>
      <c r="C342" s="452">
        <v>46424</v>
      </c>
      <c r="D342" s="451">
        <v>327</v>
      </c>
      <c r="E342" s="454" t="s">
        <v>909</v>
      </c>
      <c r="F342" s="539">
        <f t="shared" si="15"/>
        <v>1193.0109890109891</v>
      </c>
      <c r="G342" s="540">
        <f t="shared" si="16"/>
        <v>70.177117000646419</v>
      </c>
      <c r="H342" s="541">
        <f t="shared" si="17"/>
        <v>17193.010989010989</v>
      </c>
      <c r="I342" s="446"/>
    </row>
    <row r="343" spans="2:9" ht="26.1" hidden="1" customHeight="1" thickTop="1" thickBot="1" x14ac:dyDescent="0.4">
      <c r="B343" s="366"/>
      <c r="C343" s="452">
        <v>46425</v>
      </c>
      <c r="D343" s="451">
        <v>328</v>
      </c>
      <c r="E343" s="454" t="s">
        <v>910</v>
      </c>
      <c r="F343" s="539">
        <f t="shared" si="15"/>
        <v>1196.6593406593406</v>
      </c>
      <c r="G343" s="540">
        <f t="shared" si="16"/>
        <v>70.391725921137677</v>
      </c>
      <c r="H343" s="541">
        <f t="shared" si="17"/>
        <v>17196.659340659342</v>
      </c>
      <c r="I343" s="446"/>
    </row>
    <row r="344" spans="2:9" ht="26.1" hidden="1" customHeight="1" thickTop="1" thickBot="1" x14ac:dyDescent="0.4">
      <c r="B344" s="366"/>
      <c r="C344" s="452">
        <v>46426</v>
      </c>
      <c r="D344" s="451">
        <v>329</v>
      </c>
      <c r="E344" s="454" t="s">
        <v>904</v>
      </c>
      <c r="F344" s="539">
        <f t="shared" si="15"/>
        <v>1200.3076923076924</v>
      </c>
      <c r="G344" s="540">
        <f t="shared" si="16"/>
        <v>70.606334841628964</v>
      </c>
      <c r="H344" s="541">
        <f t="shared" si="17"/>
        <v>17200.307692307691</v>
      </c>
      <c r="I344" s="446"/>
    </row>
    <row r="345" spans="2:9" ht="26.1" hidden="1" customHeight="1" thickTop="1" thickBot="1" x14ac:dyDescent="0.4">
      <c r="B345" s="366"/>
      <c r="C345" s="452">
        <v>46427</v>
      </c>
      <c r="D345" s="451">
        <v>330</v>
      </c>
      <c r="E345" s="454" t="s">
        <v>905</v>
      </c>
      <c r="F345" s="539">
        <f t="shared" si="15"/>
        <v>1203.9560439560439</v>
      </c>
      <c r="G345" s="540">
        <f t="shared" si="16"/>
        <v>70.820943762120237</v>
      </c>
      <c r="H345" s="541">
        <f t="shared" si="17"/>
        <v>17203.956043956045</v>
      </c>
      <c r="I345" s="446"/>
    </row>
    <row r="346" spans="2:9" ht="26.1" hidden="1" customHeight="1" thickTop="1" thickBot="1" x14ac:dyDescent="0.4">
      <c r="B346" s="366"/>
      <c r="C346" s="452">
        <v>46428</v>
      </c>
      <c r="D346" s="451">
        <v>331</v>
      </c>
      <c r="E346" s="454" t="s">
        <v>906</v>
      </c>
      <c r="F346" s="539">
        <f t="shared" si="15"/>
        <v>1207.6043956043957</v>
      </c>
      <c r="G346" s="540">
        <f t="shared" si="16"/>
        <v>71.03555268261151</v>
      </c>
      <c r="H346" s="541">
        <f t="shared" si="17"/>
        <v>17207.604395604394</v>
      </c>
      <c r="I346" s="446"/>
    </row>
    <row r="347" spans="2:9" ht="26.1" hidden="1" customHeight="1" thickTop="1" thickBot="1" x14ac:dyDescent="0.4">
      <c r="B347" s="366"/>
      <c r="C347" s="452">
        <v>46429</v>
      </c>
      <c r="D347" s="451">
        <v>332</v>
      </c>
      <c r="E347" s="454" t="s">
        <v>907</v>
      </c>
      <c r="F347" s="539">
        <f t="shared" si="15"/>
        <v>1211.2527472527472</v>
      </c>
      <c r="G347" s="540">
        <f t="shared" si="16"/>
        <v>71.250161603102782</v>
      </c>
      <c r="H347" s="541">
        <f t="shared" si="17"/>
        <v>17211.252747252747</v>
      </c>
      <c r="I347" s="446"/>
    </row>
    <row r="348" spans="2:9" ht="26.1" hidden="1" customHeight="1" thickTop="1" thickBot="1" x14ac:dyDescent="0.4">
      <c r="B348" s="366"/>
      <c r="C348" s="452">
        <v>46430</v>
      </c>
      <c r="D348" s="451">
        <v>333</v>
      </c>
      <c r="E348" s="454" t="s">
        <v>908</v>
      </c>
      <c r="F348" s="539">
        <f t="shared" si="15"/>
        <v>1214.901098901099</v>
      </c>
      <c r="G348" s="540">
        <f t="shared" si="16"/>
        <v>71.464770523594055</v>
      </c>
      <c r="H348" s="541">
        <f t="shared" si="17"/>
        <v>17214.9010989011</v>
      </c>
      <c r="I348" s="446"/>
    </row>
    <row r="349" spans="2:9" ht="26.1" hidden="1" customHeight="1" thickTop="1" thickBot="1" x14ac:dyDescent="0.4">
      <c r="B349" s="366"/>
      <c r="C349" s="452">
        <v>46431</v>
      </c>
      <c r="D349" s="451">
        <v>334</v>
      </c>
      <c r="E349" s="454" t="s">
        <v>909</v>
      </c>
      <c r="F349" s="539">
        <f t="shared" si="15"/>
        <v>1218.5494505494505</v>
      </c>
      <c r="G349" s="540">
        <f t="shared" si="16"/>
        <v>71.679379444085328</v>
      </c>
      <c r="H349" s="541">
        <f t="shared" si="17"/>
        <v>17218.54945054945</v>
      </c>
      <c r="I349" s="446"/>
    </row>
    <row r="350" spans="2:9" ht="26.1" hidden="1" customHeight="1" thickTop="1" thickBot="1" x14ac:dyDescent="0.4">
      <c r="B350" s="366"/>
      <c r="C350" s="452">
        <v>46432</v>
      </c>
      <c r="D350" s="451">
        <v>335</v>
      </c>
      <c r="E350" s="454" t="s">
        <v>910</v>
      </c>
      <c r="F350" s="539">
        <f t="shared" si="15"/>
        <v>1222.1978021978023</v>
      </c>
      <c r="G350" s="540">
        <f t="shared" si="16"/>
        <v>71.8939883645766</v>
      </c>
      <c r="H350" s="541">
        <f t="shared" si="17"/>
        <v>17222.197802197803</v>
      </c>
      <c r="I350" s="446"/>
    </row>
    <row r="351" spans="2:9" ht="26.1" hidden="1" customHeight="1" thickTop="1" thickBot="1" x14ac:dyDescent="0.4">
      <c r="B351" s="366"/>
      <c r="C351" s="452">
        <v>46433</v>
      </c>
      <c r="D351" s="451">
        <v>336</v>
      </c>
      <c r="E351" s="454" t="s">
        <v>904</v>
      </c>
      <c r="F351" s="539">
        <f t="shared" si="15"/>
        <v>1225.8461538461538</v>
      </c>
      <c r="G351" s="540">
        <f t="shared" si="16"/>
        <v>72.108597285067873</v>
      </c>
      <c r="H351" s="541">
        <f t="shared" si="17"/>
        <v>17225.846153846152</v>
      </c>
      <c r="I351" s="446"/>
    </row>
    <row r="352" spans="2:9" ht="26.1" hidden="1" customHeight="1" thickTop="1" thickBot="1" x14ac:dyDescent="0.4">
      <c r="B352" s="366"/>
      <c r="C352" s="452">
        <v>46434</v>
      </c>
      <c r="D352" s="451">
        <v>337</v>
      </c>
      <c r="E352" s="454" t="s">
        <v>905</v>
      </c>
      <c r="F352" s="539">
        <f t="shared" si="15"/>
        <v>1229.4945054945056</v>
      </c>
      <c r="G352" s="540">
        <f t="shared" si="16"/>
        <v>72.323206205559146</v>
      </c>
      <c r="H352" s="541">
        <f t="shared" si="17"/>
        <v>17229.494505494506</v>
      </c>
      <c r="I352" s="446"/>
    </row>
    <row r="353" spans="2:9" ht="26.1" hidden="1" customHeight="1" thickTop="1" thickBot="1" x14ac:dyDescent="0.4">
      <c r="B353" s="366"/>
      <c r="C353" s="452">
        <v>46435</v>
      </c>
      <c r="D353" s="451">
        <v>338</v>
      </c>
      <c r="E353" s="454" t="s">
        <v>906</v>
      </c>
      <c r="F353" s="539">
        <f t="shared" si="15"/>
        <v>1233.1428571428571</v>
      </c>
      <c r="G353" s="540">
        <f t="shared" si="16"/>
        <v>72.537815126050418</v>
      </c>
      <c r="H353" s="541">
        <f t="shared" si="17"/>
        <v>17233.142857142859</v>
      </c>
      <c r="I353" s="446"/>
    </row>
    <row r="354" spans="2:9" ht="26.1" hidden="1" customHeight="1" thickTop="1" thickBot="1" x14ac:dyDescent="0.4">
      <c r="B354" s="366"/>
      <c r="C354" s="452">
        <v>46436</v>
      </c>
      <c r="D354" s="451">
        <v>339</v>
      </c>
      <c r="E354" s="454" t="s">
        <v>907</v>
      </c>
      <c r="F354" s="539">
        <f t="shared" si="15"/>
        <v>1236.7912087912089</v>
      </c>
      <c r="G354" s="540">
        <f t="shared" si="16"/>
        <v>72.752424046541705</v>
      </c>
      <c r="H354" s="541">
        <f t="shared" si="17"/>
        <v>17236.791208791208</v>
      </c>
      <c r="I354" s="446"/>
    </row>
    <row r="355" spans="2:9" ht="26.1" hidden="1" customHeight="1" thickTop="1" thickBot="1" x14ac:dyDescent="0.4">
      <c r="B355" s="366"/>
      <c r="C355" s="452">
        <v>46437</v>
      </c>
      <c r="D355" s="451">
        <v>340</v>
      </c>
      <c r="E355" s="454" t="s">
        <v>908</v>
      </c>
      <c r="F355" s="539">
        <f t="shared" si="15"/>
        <v>1240.4395604395604</v>
      </c>
      <c r="G355" s="540">
        <f t="shared" si="16"/>
        <v>72.967032967032964</v>
      </c>
      <c r="H355" s="541">
        <f t="shared" si="17"/>
        <v>17240.439560439561</v>
      </c>
      <c r="I355" s="446"/>
    </row>
    <row r="356" spans="2:9" ht="26.1" hidden="1" customHeight="1" thickTop="1" thickBot="1" x14ac:dyDescent="0.4">
      <c r="B356" s="366"/>
      <c r="C356" s="452">
        <v>46438</v>
      </c>
      <c r="D356" s="451">
        <v>341</v>
      </c>
      <c r="E356" s="454" t="s">
        <v>909</v>
      </c>
      <c r="F356" s="539">
        <f t="shared" si="15"/>
        <v>1244.0879120879122</v>
      </c>
      <c r="G356" s="540">
        <f t="shared" si="16"/>
        <v>73.18164188752425</v>
      </c>
      <c r="H356" s="541">
        <f t="shared" si="17"/>
        <v>17244.087912087911</v>
      </c>
      <c r="I356" s="446"/>
    </row>
    <row r="357" spans="2:9" ht="26.1" hidden="1" customHeight="1" thickTop="1" thickBot="1" x14ac:dyDescent="0.4">
      <c r="B357" s="366"/>
      <c r="C357" s="452">
        <v>46439</v>
      </c>
      <c r="D357" s="451">
        <v>342</v>
      </c>
      <c r="E357" s="454" t="s">
        <v>910</v>
      </c>
      <c r="F357" s="539">
        <f t="shared" si="15"/>
        <v>1247.7362637362637</v>
      </c>
      <c r="G357" s="540">
        <f t="shared" si="16"/>
        <v>73.396250808015509</v>
      </c>
      <c r="H357" s="541">
        <f t="shared" si="17"/>
        <v>17247.736263736264</v>
      </c>
      <c r="I357" s="446"/>
    </row>
    <row r="358" spans="2:9" ht="26.1" hidden="1" customHeight="1" thickTop="1" thickBot="1" x14ac:dyDescent="0.4">
      <c r="B358" s="366"/>
      <c r="C358" s="452">
        <v>46440</v>
      </c>
      <c r="D358" s="451">
        <v>343</v>
      </c>
      <c r="E358" s="454" t="s">
        <v>904</v>
      </c>
      <c r="F358" s="539">
        <f t="shared" si="15"/>
        <v>1251.3846153846152</v>
      </c>
      <c r="G358" s="540">
        <f t="shared" si="16"/>
        <v>73.610859728506782</v>
      </c>
      <c r="H358" s="541">
        <f t="shared" si="17"/>
        <v>17251.384615384617</v>
      </c>
      <c r="I358" s="446"/>
    </row>
    <row r="359" spans="2:9" ht="26.1" hidden="1" customHeight="1" thickTop="1" thickBot="1" x14ac:dyDescent="0.4">
      <c r="B359" s="366"/>
      <c r="C359" s="452">
        <v>46441</v>
      </c>
      <c r="D359" s="451">
        <v>344</v>
      </c>
      <c r="E359" s="454" t="s">
        <v>905</v>
      </c>
      <c r="F359" s="539">
        <f t="shared" si="15"/>
        <v>1255.032967032967</v>
      </c>
      <c r="G359" s="540">
        <f t="shared" si="16"/>
        <v>73.825468648998054</v>
      </c>
      <c r="H359" s="541">
        <f t="shared" si="17"/>
        <v>17255.032967032967</v>
      </c>
      <c r="I359" s="446"/>
    </row>
    <row r="360" spans="2:9" ht="26.1" hidden="1" customHeight="1" thickTop="1" thickBot="1" x14ac:dyDescent="0.4">
      <c r="B360" s="366"/>
      <c r="C360" s="452">
        <v>46442</v>
      </c>
      <c r="D360" s="451">
        <v>345</v>
      </c>
      <c r="E360" s="454" t="s">
        <v>906</v>
      </c>
      <c r="F360" s="539">
        <f t="shared" si="15"/>
        <v>1258.6813186813185</v>
      </c>
      <c r="G360" s="540">
        <f t="shared" si="16"/>
        <v>74.040077569489327</v>
      </c>
      <c r="H360" s="541">
        <f t="shared" si="17"/>
        <v>17258.68131868132</v>
      </c>
      <c r="I360" s="446"/>
    </row>
    <row r="361" spans="2:9" ht="26.1" hidden="1" customHeight="1" thickTop="1" thickBot="1" x14ac:dyDescent="0.4">
      <c r="B361" s="366"/>
      <c r="C361" s="452">
        <v>46443</v>
      </c>
      <c r="D361" s="451">
        <v>346</v>
      </c>
      <c r="E361" s="454" t="s">
        <v>907</v>
      </c>
      <c r="F361" s="539">
        <f t="shared" si="15"/>
        <v>1262.3296703296703</v>
      </c>
      <c r="G361" s="540">
        <f t="shared" si="16"/>
        <v>74.2546864899806</v>
      </c>
      <c r="H361" s="541">
        <f t="shared" si="17"/>
        <v>17262.329670329669</v>
      </c>
      <c r="I361" s="446"/>
    </row>
    <row r="362" spans="2:9" ht="26.1" hidden="1" customHeight="1" thickTop="1" thickBot="1" x14ac:dyDescent="0.4">
      <c r="B362" s="366"/>
      <c r="C362" s="452">
        <v>46444</v>
      </c>
      <c r="D362" s="451">
        <v>347</v>
      </c>
      <c r="E362" s="454" t="s">
        <v>908</v>
      </c>
      <c r="F362" s="539">
        <f t="shared" si="15"/>
        <v>1265.9780219780218</v>
      </c>
      <c r="G362" s="540">
        <f t="shared" si="16"/>
        <v>74.469295410471872</v>
      </c>
      <c r="H362" s="541">
        <f t="shared" si="17"/>
        <v>17265.978021978022</v>
      </c>
      <c r="I362" s="446"/>
    </row>
    <row r="363" spans="2:9" ht="26.1" hidden="1" customHeight="1" thickTop="1" thickBot="1" x14ac:dyDescent="0.4">
      <c r="B363" s="366"/>
      <c r="C363" s="452">
        <v>46445</v>
      </c>
      <c r="D363" s="451">
        <v>348</v>
      </c>
      <c r="E363" s="454" t="s">
        <v>909</v>
      </c>
      <c r="F363" s="539">
        <f t="shared" si="15"/>
        <v>1269.6263736263736</v>
      </c>
      <c r="G363" s="540">
        <f t="shared" si="16"/>
        <v>74.683904330963159</v>
      </c>
      <c r="H363" s="541">
        <f t="shared" si="17"/>
        <v>17269.626373626372</v>
      </c>
      <c r="I363" s="446"/>
    </row>
    <row r="364" spans="2:9" ht="26.1" hidden="1" customHeight="1" thickTop="1" thickBot="1" x14ac:dyDescent="0.4">
      <c r="B364" s="366"/>
      <c r="C364" s="452">
        <v>46446</v>
      </c>
      <c r="D364" s="451">
        <v>349</v>
      </c>
      <c r="E364" s="454" t="s">
        <v>910</v>
      </c>
      <c r="F364" s="539">
        <f t="shared" si="15"/>
        <v>1273.2747252747251</v>
      </c>
      <c r="G364" s="540">
        <f t="shared" si="16"/>
        <v>74.898513251454418</v>
      </c>
      <c r="H364" s="541">
        <f t="shared" si="17"/>
        <v>17273.274725274725</v>
      </c>
      <c r="I364" s="446"/>
    </row>
    <row r="365" spans="2:9" ht="26.1" hidden="1" customHeight="1" thickTop="1" thickBot="1" x14ac:dyDescent="0.4">
      <c r="B365" s="366"/>
      <c r="C365" s="452">
        <v>46447</v>
      </c>
      <c r="D365" s="451">
        <v>350</v>
      </c>
      <c r="E365" s="454" t="s">
        <v>904</v>
      </c>
      <c r="F365" s="539">
        <f t="shared" si="15"/>
        <v>1276.9230769230769</v>
      </c>
      <c r="G365" s="540">
        <f t="shared" si="16"/>
        <v>75.113122171945705</v>
      </c>
      <c r="H365" s="541">
        <f t="shared" si="17"/>
        <v>17276.923076923078</v>
      </c>
      <c r="I365" s="446"/>
    </row>
    <row r="366" spans="2:9" ht="26.1" hidden="1" customHeight="1" thickTop="1" thickBot="1" x14ac:dyDescent="0.4">
      <c r="B366" s="366"/>
      <c r="C366" s="452">
        <v>46448</v>
      </c>
      <c r="D366" s="451">
        <v>351</v>
      </c>
      <c r="E366" s="454" t="s">
        <v>905</v>
      </c>
      <c r="F366" s="539">
        <f t="shared" si="15"/>
        <v>1280.5714285714284</v>
      </c>
      <c r="G366" s="540">
        <f t="shared" si="16"/>
        <v>75.327731092436963</v>
      </c>
      <c r="H366" s="541">
        <f t="shared" si="17"/>
        <v>17280.571428571428</v>
      </c>
      <c r="I366" s="446"/>
    </row>
    <row r="367" spans="2:9" ht="26.1" hidden="1" customHeight="1" thickTop="1" thickBot="1" x14ac:dyDescent="0.4">
      <c r="B367" s="366"/>
      <c r="C367" s="452">
        <v>46449</v>
      </c>
      <c r="D367" s="451">
        <v>352</v>
      </c>
      <c r="E367" s="454" t="s">
        <v>906</v>
      </c>
      <c r="F367" s="539">
        <f t="shared" si="15"/>
        <v>1284.2197802197802</v>
      </c>
      <c r="G367" s="540">
        <f t="shared" si="16"/>
        <v>75.54234001292825</v>
      </c>
      <c r="H367" s="541">
        <f t="shared" si="17"/>
        <v>17284.219780219781</v>
      </c>
      <c r="I367" s="446"/>
    </row>
    <row r="368" spans="2:9" ht="26.1" hidden="1" customHeight="1" thickTop="1" thickBot="1" x14ac:dyDescent="0.4">
      <c r="B368" s="366"/>
      <c r="C368" s="452">
        <v>46450</v>
      </c>
      <c r="D368" s="451">
        <v>353</v>
      </c>
      <c r="E368" s="454" t="s">
        <v>907</v>
      </c>
      <c r="F368" s="539">
        <f t="shared" si="15"/>
        <v>1287.8681318681317</v>
      </c>
      <c r="G368" s="540">
        <f t="shared" si="16"/>
        <v>75.756948933419508</v>
      </c>
      <c r="H368" s="541">
        <f t="shared" si="17"/>
        <v>17287.86813186813</v>
      </c>
      <c r="I368" s="446"/>
    </row>
    <row r="369" spans="2:9" ht="26.1" hidden="1" customHeight="1" thickTop="1" thickBot="1" x14ac:dyDescent="0.4">
      <c r="B369" s="366"/>
      <c r="C369" s="452">
        <v>46451</v>
      </c>
      <c r="D369" s="451">
        <v>354</v>
      </c>
      <c r="E369" s="454" t="s">
        <v>908</v>
      </c>
      <c r="F369" s="539">
        <f t="shared" si="15"/>
        <v>1291.5164835164835</v>
      </c>
      <c r="G369" s="540">
        <f t="shared" si="16"/>
        <v>75.971557853910795</v>
      </c>
      <c r="H369" s="541">
        <f t="shared" si="17"/>
        <v>17291.516483516483</v>
      </c>
      <c r="I369" s="446"/>
    </row>
    <row r="370" spans="2:9" ht="26.1" hidden="1" customHeight="1" thickTop="1" thickBot="1" x14ac:dyDescent="0.4">
      <c r="B370" s="366"/>
      <c r="C370" s="452">
        <v>46452</v>
      </c>
      <c r="D370" s="451">
        <v>355</v>
      </c>
      <c r="E370" s="454" t="s">
        <v>909</v>
      </c>
      <c r="F370" s="539">
        <f t="shared" si="15"/>
        <v>1295.164835164835</v>
      </c>
      <c r="G370" s="540">
        <f t="shared" si="16"/>
        <v>76.186166774402068</v>
      </c>
      <c r="H370" s="541">
        <f t="shared" si="17"/>
        <v>17295.164835164836</v>
      </c>
      <c r="I370" s="446"/>
    </row>
    <row r="371" spans="2:9" ht="26.1" hidden="1" customHeight="1" thickTop="1" thickBot="1" x14ac:dyDescent="0.4">
      <c r="B371" s="366"/>
      <c r="C371" s="452">
        <v>46453</v>
      </c>
      <c r="D371" s="451">
        <v>356</v>
      </c>
      <c r="E371" s="454" t="s">
        <v>910</v>
      </c>
      <c r="F371" s="539">
        <f t="shared" si="15"/>
        <v>1298.8131868131868</v>
      </c>
      <c r="G371" s="540">
        <f t="shared" si="16"/>
        <v>76.400775694893341</v>
      </c>
      <c r="H371" s="541">
        <f t="shared" si="17"/>
        <v>17298.813186813186</v>
      </c>
      <c r="I371" s="446"/>
    </row>
    <row r="372" spans="2:9" ht="26.1" hidden="1" customHeight="1" thickTop="1" thickBot="1" x14ac:dyDescent="0.4">
      <c r="B372" s="366"/>
      <c r="C372" s="452">
        <v>46454</v>
      </c>
      <c r="D372" s="451">
        <v>357</v>
      </c>
      <c r="E372" s="454" t="s">
        <v>904</v>
      </c>
      <c r="F372" s="539">
        <f t="shared" si="15"/>
        <v>1302.4615384615383</v>
      </c>
      <c r="G372" s="540">
        <f t="shared" si="16"/>
        <v>76.615384615384613</v>
      </c>
      <c r="H372" s="541">
        <f t="shared" si="17"/>
        <v>17302.461538461539</v>
      </c>
      <c r="I372" s="446"/>
    </row>
    <row r="373" spans="2:9" ht="26.1" hidden="1" customHeight="1" thickTop="1" thickBot="1" x14ac:dyDescent="0.4">
      <c r="B373" s="366"/>
      <c r="C373" s="452">
        <v>46455</v>
      </c>
      <c r="D373" s="451">
        <v>358</v>
      </c>
      <c r="E373" s="454" t="s">
        <v>905</v>
      </c>
      <c r="F373" s="539">
        <f t="shared" si="15"/>
        <v>1306.1098901098901</v>
      </c>
      <c r="G373" s="540">
        <f t="shared" si="16"/>
        <v>76.829993535875886</v>
      </c>
      <c r="H373" s="541">
        <f t="shared" si="17"/>
        <v>17306.109890109889</v>
      </c>
      <c r="I373" s="446"/>
    </row>
    <row r="374" spans="2:9" ht="26.1" hidden="1" customHeight="1" thickTop="1" thickBot="1" x14ac:dyDescent="0.4">
      <c r="B374" s="366"/>
      <c r="C374" s="452">
        <v>46456</v>
      </c>
      <c r="D374" s="451">
        <v>359</v>
      </c>
      <c r="E374" s="454" t="s">
        <v>906</v>
      </c>
      <c r="F374" s="539">
        <f t="shared" si="15"/>
        <v>1309.7582417582416</v>
      </c>
      <c r="G374" s="540">
        <f t="shared" si="16"/>
        <v>77.044602456367159</v>
      </c>
      <c r="H374" s="541">
        <f t="shared" si="17"/>
        <v>17309.758241758242</v>
      </c>
      <c r="I374" s="446"/>
    </row>
    <row r="375" spans="2:9" ht="26.1" hidden="1" customHeight="1" thickTop="1" thickBot="1" x14ac:dyDescent="0.4">
      <c r="B375" s="366"/>
      <c r="C375" s="452">
        <v>46457</v>
      </c>
      <c r="D375" s="451">
        <v>360</v>
      </c>
      <c r="E375" s="454" t="s">
        <v>907</v>
      </c>
      <c r="F375" s="539">
        <f t="shared" si="15"/>
        <v>1313.4065934065934</v>
      </c>
      <c r="G375" s="540">
        <f t="shared" si="16"/>
        <v>77.259211376858431</v>
      </c>
      <c r="H375" s="541">
        <f t="shared" si="17"/>
        <v>17313.406593406595</v>
      </c>
      <c r="I375" s="446"/>
    </row>
    <row r="376" spans="2:9" ht="26.1" hidden="1" customHeight="1" thickTop="1" thickBot="1" x14ac:dyDescent="0.4">
      <c r="B376" s="366"/>
      <c r="C376" s="452">
        <v>46458</v>
      </c>
      <c r="D376" s="451">
        <v>361</v>
      </c>
      <c r="E376" s="454" t="s">
        <v>908</v>
      </c>
      <c r="F376" s="539">
        <f t="shared" si="15"/>
        <v>1317.0549450549449</v>
      </c>
      <c r="G376" s="540">
        <f t="shared" si="16"/>
        <v>77.473820297349704</v>
      </c>
      <c r="H376" s="541">
        <f t="shared" si="17"/>
        <v>17317.054945054944</v>
      </c>
      <c r="I376" s="446"/>
    </row>
    <row r="377" spans="2:9" ht="26.1" hidden="1" customHeight="1" thickTop="1" thickBot="1" x14ac:dyDescent="0.4">
      <c r="B377" s="366"/>
      <c r="C377" s="452">
        <v>46459</v>
      </c>
      <c r="D377" s="451">
        <v>362</v>
      </c>
      <c r="E377" s="454" t="s">
        <v>909</v>
      </c>
      <c r="F377" s="539">
        <f t="shared" si="15"/>
        <v>1320.7032967032967</v>
      </c>
      <c r="G377" s="540">
        <f t="shared" si="16"/>
        <v>77.688429217840977</v>
      </c>
      <c r="H377" s="541">
        <f t="shared" si="17"/>
        <v>17320.703296703297</v>
      </c>
      <c r="I377" s="446"/>
    </row>
    <row r="378" spans="2:9" ht="26.1" hidden="1" customHeight="1" thickTop="1" thickBot="1" x14ac:dyDescent="0.4">
      <c r="B378" s="366"/>
      <c r="C378" s="452">
        <v>46460</v>
      </c>
      <c r="D378" s="451">
        <v>363</v>
      </c>
      <c r="E378" s="454" t="s">
        <v>910</v>
      </c>
      <c r="F378" s="539">
        <f t="shared" si="15"/>
        <v>1324.3516483516482</v>
      </c>
      <c r="G378" s="540">
        <f t="shared" si="16"/>
        <v>77.903038138332249</v>
      </c>
      <c r="H378" s="541">
        <f t="shared" si="17"/>
        <v>17324.351648351647</v>
      </c>
      <c r="I378" s="446"/>
    </row>
    <row r="379" spans="2:9" ht="26.1" hidden="1" customHeight="1" thickTop="1" thickBot="1" x14ac:dyDescent="0.4">
      <c r="B379" s="366"/>
      <c r="C379" s="452">
        <v>46461</v>
      </c>
      <c r="D379" s="451">
        <v>364</v>
      </c>
      <c r="E379" s="454" t="s">
        <v>904</v>
      </c>
      <c r="F379" s="539">
        <f t="shared" si="15"/>
        <v>1328</v>
      </c>
      <c r="G379" s="540">
        <f t="shared" si="16"/>
        <v>78.117647058823536</v>
      </c>
      <c r="H379" s="541">
        <f t="shared" si="17"/>
        <v>17328</v>
      </c>
      <c r="I379" s="447"/>
    </row>
    <row r="380" spans="2:9" ht="5.0999999999999996" hidden="1" customHeight="1" thickTop="1" thickBot="1" x14ac:dyDescent="0.35">
      <c r="B380" s="365"/>
      <c r="C380" s="367"/>
      <c r="D380" s="367"/>
      <c r="E380" s="368"/>
      <c r="F380" s="369"/>
      <c r="G380" s="354"/>
      <c r="H380" s="369"/>
      <c r="I380" s="354"/>
    </row>
    <row r="381" spans="2:9" x14ac:dyDescent="0.3">
      <c r="G381" s="12"/>
    </row>
    <row r="382" spans="2:9" ht="20.25" customHeight="1" x14ac:dyDescent="0.3">
      <c r="G382" s="12"/>
    </row>
    <row r="383" spans="2:9" ht="20.25" customHeight="1" thickBot="1" x14ac:dyDescent="0.35">
      <c r="G383" s="12"/>
    </row>
    <row r="384" spans="2:9" ht="5.0999999999999996" customHeight="1" thickBot="1" x14ac:dyDescent="0.35">
      <c r="B384" s="463"/>
      <c r="C384" s="368"/>
      <c r="D384" s="368"/>
      <c r="E384" s="368"/>
      <c r="F384" s="369"/>
      <c r="G384" s="368"/>
      <c r="H384" s="354"/>
      <c r="I384" s="365"/>
    </row>
    <row r="385" spans="2:9" s="383" customFormat="1" ht="70.5" customHeight="1" thickBot="1" x14ac:dyDescent="0.3">
      <c r="B385" s="384"/>
      <c r="C385" s="1117" t="s">
        <v>763</v>
      </c>
      <c r="D385" s="1115"/>
      <c r="E385" s="1115"/>
      <c r="F385" s="1115"/>
      <c r="G385" s="1115"/>
      <c r="H385" s="1115"/>
      <c r="I385" s="595"/>
    </row>
    <row r="386" spans="2:9" s="70" customFormat="1" ht="48" thickTop="1" thickBot="1" x14ac:dyDescent="0.8">
      <c r="B386" s="592"/>
      <c r="C386" s="1106" t="s">
        <v>990</v>
      </c>
      <c r="D386" s="1106"/>
      <c r="E386" s="1106"/>
      <c r="F386" s="1106"/>
      <c r="G386" s="1106"/>
      <c r="H386" s="1106"/>
      <c r="I386" s="591"/>
    </row>
    <row r="387" spans="2:9" ht="5.0999999999999996" customHeight="1" thickBot="1" x14ac:dyDescent="0.35">
      <c r="B387" s="353"/>
      <c r="C387" s="545"/>
      <c r="D387" s="546"/>
      <c r="E387" s="546"/>
      <c r="F387" s="547"/>
      <c r="G387" s="545"/>
      <c r="H387" s="547"/>
      <c r="I387" s="369"/>
    </row>
    <row r="388" spans="2:9" s="355" customFormat="1" ht="48" customHeight="1" thickTop="1" thickBot="1" x14ac:dyDescent="0.3">
      <c r="B388" s="356"/>
      <c r="C388" s="456" t="s">
        <v>919</v>
      </c>
      <c r="D388" s="457" t="s">
        <v>920</v>
      </c>
      <c r="E388" s="538" t="s">
        <v>969</v>
      </c>
      <c r="F388" s="538" t="s">
        <v>991</v>
      </c>
      <c r="G388" s="1100">
        <v>46112</v>
      </c>
      <c r="H388" s="1100"/>
      <c r="I388" s="440"/>
    </row>
    <row r="389" spans="2:9" s="64" customFormat="1" ht="48" customHeight="1" thickTop="1" thickBot="1" x14ac:dyDescent="0.4">
      <c r="B389" s="357"/>
      <c r="C389" s="443">
        <f>F8</f>
        <v>17328</v>
      </c>
      <c r="D389" s="444"/>
      <c r="E389" s="544"/>
      <c r="F389" s="537"/>
      <c r="G389" s="1101"/>
      <c r="H389" s="1101"/>
      <c r="I389" s="441" t="e">
        <f>B389/#REF!</f>
        <v>#REF!</v>
      </c>
    </row>
    <row r="390" spans="2:9" s="64" customFormat="1" ht="62.25" thickTop="1" thickBot="1" x14ac:dyDescent="0.4">
      <c r="B390" s="357"/>
      <c r="C390" s="459" t="s">
        <v>976</v>
      </c>
      <c r="D390" s="457" t="s">
        <v>973</v>
      </c>
      <c r="E390" s="457" t="s">
        <v>974</v>
      </c>
      <c r="F390" s="538" t="s">
        <v>970</v>
      </c>
      <c r="G390" s="578" t="s">
        <v>943</v>
      </c>
      <c r="H390" s="578" t="s">
        <v>968</v>
      </c>
      <c r="I390" s="441"/>
    </row>
    <row r="391" spans="2:9" s="64" customFormat="1" ht="48" customHeight="1" thickTop="1" thickBot="1" x14ac:dyDescent="0.4">
      <c r="B391" s="357"/>
      <c r="C391" s="567" t="s">
        <v>994</v>
      </c>
      <c r="D391" s="568"/>
      <c r="E391" s="568"/>
      <c r="F391" s="471"/>
      <c r="G391" s="601"/>
      <c r="H391" s="602"/>
      <c r="I391" s="441"/>
    </row>
    <row r="392" spans="2:9" s="462" customFormat="1" ht="78" customHeight="1" thickTop="1" thickBot="1" x14ac:dyDescent="0.35">
      <c r="B392" s="460"/>
      <c r="C392" s="553" t="s">
        <v>975</v>
      </c>
      <c r="D392" s="554" t="s">
        <v>989</v>
      </c>
      <c r="E392" s="555" t="s">
        <v>987</v>
      </c>
      <c r="F392" s="555" t="s">
        <v>988</v>
      </c>
      <c r="G392" s="556" t="s">
        <v>993</v>
      </c>
      <c r="H392" s="557" t="s">
        <v>914</v>
      </c>
      <c r="I392" s="461"/>
    </row>
    <row r="393" spans="2:9" ht="51" customHeight="1" thickTop="1" thickBot="1" x14ac:dyDescent="0.35">
      <c r="B393" s="366"/>
      <c r="C393" s="564"/>
      <c r="D393" s="565"/>
      <c r="E393" s="566"/>
      <c r="F393" s="566"/>
      <c r="G393" s="566"/>
      <c r="H393" s="565"/>
      <c r="I393" s="542"/>
    </row>
    <row r="394" spans="2:9" ht="5.0999999999999996" customHeight="1" thickTop="1" thickBot="1" x14ac:dyDescent="0.35">
      <c r="B394" s="358"/>
      <c r="C394" s="558"/>
      <c r="D394" s="559"/>
      <c r="E394" s="560"/>
      <c r="F394" s="561"/>
      <c r="G394" s="562"/>
      <c r="H394" s="563"/>
      <c r="I394" s="364"/>
    </row>
    <row r="395" spans="2:9" s="383" customFormat="1" ht="70.5" hidden="1" customHeight="1" thickBot="1" x14ac:dyDescent="0.3">
      <c r="B395" s="384"/>
      <c r="C395" s="543" t="s">
        <v>51</v>
      </c>
      <c r="D395" s="543" t="s">
        <v>903</v>
      </c>
      <c r="E395" s="543" t="s">
        <v>921</v>
      </c>
      <c r="F395" s="543" t="s">
        <v>986</v>
      </c>
      <c r="G395" s="543" t="s">
        <v>966</v>
      </c>
      <c r="H395" s="543" t="s">
        <v>1</v>
      </c>
      <c r="I395" s="442"/>
    </row>
    <row r="396" spans="2:9" ht="5.0999999999999996" hidden="1" customHeight="1" thickTop="1" thickBot="1" x14ac:dyDescent="0.35">
      <c r="B396" s="358"/>
      <c r="C396" s="359"/>
      <c r="D396" s="360"/>
      <c r="E396" s="361"/>
      <c r="F396" s="362"/>
      <c r="G396" s="363"/>
      <c r="H396" s="362"/>
      <c r="I396" s="364"/>
    </row>
    <row r="397" spans="2:9" ht="26.1" hidden="1" customHeight="1" thickBot="1" x14ac:dyDescent="0.4">
      <c r="B397" s="366"/>
      <c r="C397" s="452"/>
      <c r="D397" s="453"/>
      <c r="E397" s="454"/>
      <c r="F397" s="539"/>
      <c r="G397" s="540"/>
      <c r="H397" s="582"/>
      <c r="I397" s="446"/>
    </row>
    <row r="398" spans="2:9" ht="26.1" hidden="1" customHeight="1" thickTop="1" thickBot="1" x14ac:dyDescent="0.4">
      <c r="B398" s="366"/>
      <c r="C398" s="452"/>
      <c r="D398" s="451"/>
      <c r="E398" s="454"/>
      <c r="F398" s="539"/>
      <c r="G398" s="540"/>
      <c r="H398" s="582"/>
      <c r="I398" s="446"/>
    </row>
    <row r="399" spans="2:9" ht="26.1" hidden="1" customHeight="1" thickTop="1" thickBot="1" x14ac:dyDescent="0.4">
      <c r="B399" s="366"/>
      <c r="C399" s="452"/>
      <c r="D399" s="451"/>
      <c r="E399" s="454"/>
      <c r="F399" s="539"/>
      <c r="G399" s="540"/>
      <c r="H399" s="582"/>
      <c r="I399" s="446"/>
    </row>
    <row r="400" spans="2:9" ht="26.1" hidden="1" customHeight="1" thickTop="1" thickBot="1" x14ac:dyDescent="0.4">
      <c r="B400" s="366"/>
      <c r="C400" s="452"/>
      <c r="D400" s="451"/>
      <c r="E400" s="454"/>
      <c r="F400" s="539"/>
      <c r="G400" s="540"/>
      <c r="H400" s="582"/>
      <c r="I400" s="446"/>
    </row>
    <row r="401" spans="2:9" ht="26.1" hidden="1" customHeight="1" thickTop="1" thickBot="1" x14ac:dyDescent="0.4">
      <c r="B401" s="366"/>
      <c r="C401" s="452"/>
      <c r="D401" s="451"/>
      <c r="E401" s="454"/>
      <c r="F401" s="539"/>
      <c r="G401" s="540"/>
      <c r="H401" s="582"/>
      <c r="I401" s="446"/>
    </row>
    <row r="402" spans="2:9" ht="26.1" hidden="1" customHeight="1" thickTop="1" thickBot="1" x14ac:dyDescent="0.4">
      <c r="B402" s="366"/>
      <c r="C402" s="452"/>
      <c r="D402" s="451"/>
      <c r="E402" s="454"/>
      <c r="F402" s="539"/>
      <c r="G402" s="540"/>
      <c r="H402" s="582"/>
      <c r="I402" s="446"/>
    </row>
    <row r="403" spans="2:9" ht="26.1" hidden="1" customHeight="1" thickTop="1" thickBot="1" x14ac:dyDescent="0.4">
      <c r="B403" s="366"/>
      <c r="C403" s="452"/>
      <c r="D403" s="451"/>
      <c r="E403" s="454"/>
      <c r="F403" s="539"/>
      <c r="G403" s="540"/>
      <c r="H403" s="582"/>
      <c r="I403" s="446"/>
    </row>
    <row r="404" spans="2:9" ht="26.1" hidden="1" customHeight="1" thickTop="1" thickBot="1" x14ac:dyDescent="0.4">
      <c r="B404" s="366"/>
      <c r="C404" s="452"/>
      <c r="D404" s="451"/>
      <c r="E404" s="454"/>
      <c r="F404" s="539"/>
      <c r="G404" s="540"/>
      <c r="H404" s="582"/>
      <c r="I404" s="446"/>
    </row>
    <row r="405" spans="2:9" ht="26.1" hidden="1" customHeight="1" thickTop="1" thickBot="1" x14ac:dyDescent="0.4">
      <c r="B405" s="366"/>
      <c r="C405" s="452"/>
      <c r="D405" s="451"/>
      <c r="E405" s="454"/>
      <c r="F405" s="539"/>
      <c r="G405" s="540"/>
      <c r="H405" s="582"/>
      <c r="I405" s="446"/>
    </row>
    <row r="406" spans="2:9" ht="26.1" hidden="1" customHeight="1" thickTop="1" thickBot="1" x14ac:dyDescent="0.4">
      <c r="B406" s="366"/>
      <c r="C406" s="452"/>
      <c r="D406" s="451"/>
      <c r="E406" s="454"/>
      <c r="F406" s="539"/>
      <c r="G406" s="540"/>
      <c r="H406" s="582"/>
      <c r="I406" s="446"/>
    </row>
    <row r="407" spans="2:9" ht="26.1" hidden="1" customHeight="1" thickTop="1" thickBot="1" x14ac:dyDescent="0.4">
      <c r="B407" s="366"/>
      <c r="C407" s="452"/>
      <c r="D407" s="451"/>
      <c r="E407" s="454"/>
      <c r="F407" s="539"/>
      <c r="G407" s="540"/>
      <c r="H407" s="582"/>
      <c r="I407" s="446"/>
    </row>
    <row r="408" spans="2:9" ht="26.1" hidden="1" customHeight="1" thickTop="1" thickBot="1" x14ac:dyDescent="0.4">
      <c r="B408" s="366"/>
      <c r="C408" s="452"/>
      <c r="D408" s="451"/>
      <c r="E408" s="454"/>
      <c r="F408" s="539"/>
      <c r="G408" s="540"/>
      <c r="H408" s="582"/>
      <c r="I408" s="446"/>
    </row>
    <row r="409" spans="2:9" ht="26.1" hidden="1" customHeight="1" thickTop="1" thickBot="1" x14ac:dyDescent="0.4">
      <c r="B409" s="366"/>
      <c r="C409" s="452"/>
      <c r="D409" s="451"/>
      <c r="E409" s="454"/>
      <c r="F409" s="539"/>
      <c r="G409" s="540"/>
      <c r="H409" s="582"/>
      <c r="I409" s="446"/>
    </row>
    <row r="410" spans="2:9" ht="26.1" hidden="1" customHeight="1" thickTop="1" thickBot="1" x14ac:dyDescent="0.4">
      <c r="B410" s="366"/>
      <c r="C410" s="452"/>
      <c r="D410" s="451"/>
      <c r="E410" s="454"/>
      <c r="F410" s="539"/>
      <c r="G410" s="540"/>
      <c r="H410" s="582"/>
      <c r="I410" s="446"/>
    </row>
    <row r="411" spans="2:9" ht="26.1" hidden="1" customHeight="1" thickTop="1" thickBot="1" x14ac:dyDescent="0.4">
      <c r="B411" s="366"/>
      <c r="C411" s="452"/>
      <c r="D411" s="451"/>
      <c r="E411" s="454"/>
      <c r="F411" s="539"/>
      <c r="G411" s="540"/>
      <c r="H411" s="582"/>
      <c r="I411" s="446"/>
    </row>
    <row r="412" spans="2:9" ht="26.1" hidden="1" customHeight="1" thickTop="1" thickBot="1" x14ac:dyDescent="0.4">
      <c r="B412" s="366"/>
      <c r="C412" s="452"/>
      <c r="D412" s="451"/>
      <c r="E412" s="454"/>
      <c r="F412" s="539"/>
      <c r="G412" s="540"/>
      <c r="H412" s="582"/>
      <c r="I412" s="446"/>
    </row>
    <row r="413" spans="2:9" ht="26.1" hidden="1" customHeight="1" thickTop="1" thickBot="1" x14ac:dyDescent="0.4">
      <c r="B413" s="366"/>
      <c r="C413" s="452"/>
      <c r="D413" s="451"/>
      <c r="E413" s="454"/>
      <c r="F413" s="539"/>
      <c r="G413" s="540"/>
      <c r="H413" s="582"/>
      <c r="I413" s="446"/>
    </row>
    <row r="414" spans="2:9" ht="26.1" hidden="1" customHeight="1" thickTop="1" thickBot="1" x14ac:dyDescent="0.4">
      <c r="B414" s="366"/>
      <c r="C414" s="452"/>
      <c r="D414" s="451"/>
      <c r="E414" s="454"/>
      <c r="F414" s="539"/>
      <c r="G414" s="540"/>
      <c r="H414" s="582"/>
      <c r="I414" s="446"/>
    </row>
    <row r="415" spans="2:9" ht="26.1" hidden="1" customHeight="1" thickTop="1" thickBot="1" x14ac:dyDescent="0.4">
      <c r="B415" s="366"/>
      <c r="C415" s="452"/>
      <c r="D415" s="451"/>
      <c r="E415" s="454"/>
      <c r="F415" s="539"/>
      <c r="G415" s="540"/>
      <c r="H415" s="582"/>
      <c r="I415" s="446"/>
    </row>
    <row r="416" spans="2:9" ht="26.1" hidden="1" customHeight="1" thickTop="1" thickBot="1" x14ac:dyDescent="0.4">
      <c r="B416" s="366"/>
      <c r="C416" s="452"/>
      <c r="D416" s="451"/>
      <c r="E416" s="454"/>
      <c r="F416" s="539"/>
      <c r="G416" s="540"/>
      <c r="H416" s="582"/>
      <c r="I416" s="446"/>
    </row>
    <row r="417" spans="2:9" ht="26.1" hidden="1" customHeight="1" thickTop="1" thickBot="1" x14ac:dyDescent="0.4">
      <c r="B417" s="366"/>
      <c r="C417" s="452"/>
      <c r="D417" s="451"/>
      <c r="E417" s="454"/>
      <c r="F417" s="539"/>
      <c r="G417" s="540"/>
      <c r="H417" s="582"/>
      <c r="I417" s="446"/>
    </row>
    <row r="418" spans="2:9" ht="26.1" hidden="1" customHeight="1" thickTop="1" thickBot="1" x14ac:dyDescent="0.4">
      <c r="B418" s="366"/>
      <c r="C418" s="452"/>
      <c r="D418" s="451"/>
      <c r="E418" s="454"/>
      <c r="F418" s="539"/>
      <c r="G418" s="540"/>
      <c r="H418" s="582"/>
      <c r="I418" s="446"/>
    </row>
    <row r="419" spans="2:9" ht="26.1" hidden="1" customHeight="1" thickTop="1" thickBot="1" x14ac:dyDescent="0.4">
      <c r="B419" s="366"/>
      <c r="C419" s="452"/>
      <c r="D419" s="451"/>
      <c r="E419" s="454"/>
      <c r="F419" s="539"/>
      <c r="G419" s="540"/>
      <c r="H419" s="582"/>
      <c r="I419" s="446"/>
    </row>
    <row r="420" spans="2:9" ht="26.1" hidden="1" customHeight="1" thickTop="1" thickBot="1" x14ac:dyDescent="0.4">
      <c r="B420" s="366"/>
      <c r="C420" s="452"/>
      <c r="D420" s="451"/>
      <c r="E420" s="454"/>
      <c r="F420" s="539"/>
      <c r="G420" s="540"/>
      <c r="H420" s="582"/>
      <c r="I420" s="446"/>
    </row>
    <row r="421" spans="2:9" ht="26.1" hidden="1" customHeight="1" thickTop="1" thickBot="1" x14ac:dyDescent="0.4">
      <c r="B421" s="366"/>
      <c r="C421" s="452"/>
      <c r="D421" s="451"/>
      <c r="E421" s="454"/>
      <c r="F421" s="539"/>
      <c r="G421" s="540"/>
      <c r="H421" s="582"/>
      <c r="I421" s="446"/>
    </row>
    <row r="422" spans="2:9" ht="26.1" hidden="1" customHeight="1" thickTop="1" thickBot="1" x14ac:dyDescent="0.4">
      <c r="B422" s="366"/>
      <c r="C422" s="452"/>
      <c r="D422" s="451"/>
      <c r="E422" s="454"/>
      <c r="F422" s="539"/>
      <c r="G422" s="540"/>
      <c r="H422" s="582"/>
      <c r="I422" s="446"/>
    </row>
    <row r="423" spans="2:9" ht="26.1" hidden="1" customHeight="1" thickTop="1" thickBot="1" x14ac:dyDescent="0.4">
      <c r="B423" s="366"/>
      <c r="C423" s="452"/>
      <c r="D423" s="451"/>
      <c r="E423" s="454"/>
      <c r="F423" s="539"/>
      <c r="G423" s="540"/>
      <c r="H423" s="582"/>
      <c r="I423" s="446"/>
    </row>
    <row r="424" spans="2:9" ht="26.1" hidden="1" customHeight="1" thickTop="1" thickBot="1" x14ac:dyDescent="0.4">
      <c r="B424" s="366"/>
      <c r="C424" s="452"/>
      <c r="D424" s="451"/>
      <c r="E424" s="454"/>
      <c r="F424" s="539"/>
      <c r="G424" s="540"/>
      <c r="H424" s="582"/>
      <c r="I424" s="446"/>
    </row>
    <row r="425" spans="2:9" ht="26.1" hidden="1" customHeight="1" thickTop="1" thickBot="1" x14ac:dyDescent="0.4">
      <c r="B425" s="366"/>
      <c r="C425" s="452"/>
      <c r="D425" s="451"/>
      <c r="E425" s="454"/>
      <c r="F425" s="539"/>
      <c r="G425" s="540"/>
      <c r="H425" s="582"/>
      <c r="I425" s="446"/>
    </row>
    <row r="426" spans="2:9" ht="26.1" hidden="1" customHeight="1" thickTop="1" thickBot="1" x14ac:dyDescent="0.4">
      <c r="B426" s="366"/>
      <c r="C426" s="452"/>
      <c r="D426" s="451"/>
      <c r="E426" s="454"/>
      <c r="F426" s="539"/>
      <c r="G426" s="540"/>
      <c r="H426" s="582"/>
      <c r="I426" s="446"/>
    </row>
    <row r="427" spans="2:9" ht="26.1" hidden="1" customHeight="1" thickTop="1" thickBot="1" x14ac:dyDescent="0.4">
      <c r="B427" s="366"/>
      <c r="C427" s="452"/>
      <c r="D427" s="451"/>
      <c r="E427" s="454"/>
      <c r="F427" s="539"/>
      <c r="G427" s="540"/>
      <c r="H427" s="582"/>
      <c r="I427" s="446"/>
    </row>
    <row r="428" spans="2:9" ht="26.1" hidden="1" customHeight="1" thickTop="1" thickBot="1" x14ac:dyDescent="0.4">
      <c r="B428" s="366"/>
      <c r="C428" s="452"/>
      <c r="D428" s="451"/>
      <c r="E428" s="454"/>
      <c r="F428" s="539"/>
      <c r="G428" s="540"/>
      <c r="H428" s="582"/>
      <c r="I428" s="446"/>
    </row>
    <row r="429" spans="2:9" ht="26.1" hidden="1" customHeight="1" thickTop="1" thickBot="1" x14ac:dyDescent="0.4">
      <c r="B429" s="366"/>
      <c r="C429" s="452"/>
      <c r="D429" s="451"/>
      <c r="E429" s="454"/>
      <c r="F429" s="539"/>
      <c r="G429" s="540"/>
      <c r="H429" s="582"/>
      <c r="I429" s="446"/>
    </row>
    <row r="430" spans="2:9" ht="26.1" hidden="1" customHeight="1" thickTop="1" thickBot="1" x14ac:dyDescent="0.4">
      <c r="B430" s="366"/>
      <c r="C430" s="452"/>
      <c r="D430" s="451"/>
      <c r="E430" s="454"/>
      <c r="F430" s="539"/>
      <c r="G430" s="540"/>
      <c r="H430" s="582"/>
      <c r="I430" s="446"/>
    </row>
    <row r="431" spans="2:9" ht="26.1" hidden="1" customHeight="1" thickTop="1" thickBot="1" x14ac:dyDescent="0.4">
      <c r="B431" s="366"/>
      <c r="C431" s="452"/>
      <c r="D431" s="451"/>
      <c r="E431" s="454"/>
      <c r="F431" s="539"/>
      <c r="G431" s="540"/>
      <c r="H431" s="582"/>
      <c r="I431" s="446"/>
    </row>
    <row r="432" spans="2:9" ht="26.1" hidden="1" customHeight="1" thickTop="1" thickBot="1" x14ac:dyDescent="0.4">
      <c r="B432" s="366"/>
      <c r="C432" s="452"/>
      <c r="D432" s="451"/>
      <c r="E432" s="454"/>
      <c r="F432" s="539"/>
      <c r="G432" s="540"/>
      <c r="H432" s="582"/>
      <c r="I432" s="446"/>
    </row>
    <row r="433" spans="2:9" ht="26.1" hidden="1" customHeight="1" thickTop="1" thickBot="1" x14ac:dyDescent="0.4">
      <c r="B433" s="366"/>
      <c r="C433" s="452"/>
      <c r="D433" s="451"/>
      <c r="E433" s="454"/>
      <c r="F433" s="539"/>
      <c r="G433" s="540"/>
      <c r="H433" s="582"/>
      <c r="I433" s="446"/>
    </row>
    <row r="434" spans="2:9" ht="26.1" hidden="1" customHeight="1" thickTop="1" thickBot="1" x14ac:dyDescent="0.4">
      <c r="B434" s="366"/>
      <c r="C434" s="452"/>
      <c r="D434" s="451"/>
      <c r="E434" s="454"/>
      <c r="F434" s="539"/>
      <c r="G434" s="540"/>
      <c r="H434" s="582"/>
      <c r="I434" s="446"/>
    </row>
    <row r="435" spans="2:9" ht="26.1" hidden="1" customHeight="1" thickTop="1" thickBot="1" x14ac:dyDescent="0.4">
      <c r="B435" s="366"/>
      <c r="C435" s="452"/>
      <c r="D435" s="451"/>
      <c r="E435" s="454"/>
      <c r="F435" s="539"/>
      <c r="G435" s="540"/>
      <c r="H435" s="582"/>
      <c r="I435" s="446"/>
    </row>
    <row r="436" spans="2:9" ht="26.1" hidden="1" customHeight="1" thickTop="1" thickBot="1" x14ac:dyDescent="0.4">
      <c r="B436" s="366"/>
      <c r="C436" s="452"/>
      <c r="D436" s="451"/>
      <c r="E436" s="454"/>
      <c r="F436" s="539"/>
      <c r="G436" s="540"/>
      <c r="H436" s="582"/>
      <c r="I436" s="446"/>
    </row>
    <row r="437" spans="2:9" ht="26.1" hidden="1" customHeight="1" thickTop="1" thickBot="1" x14ac:dyDescent="0.4">
      <c r="B437" s="366"/>
      <c r="C437" s="452"/>
      <c r="D437" s="451"/>
      <c r="E437" s="454"/>
      <c r="F437" s="539"/>
      <c r="G437" s="540"/>
      <c r="H437" s="582"/>
      <c r="I437" s="446"/>
    </row>
    <row r="438" spans="2:9" ht="26.1" hidden="1" customHeight="1" thickTop="1" thickBot="1" x14ac:dyDescent="0.4">
      <c r="B438" s="366"/>
      <c r="C438" s="452"/>
      <c r="D438" s="451"/>
      <c r="E438" s="454"/>
      <c r="F438" s="539"/>
      <c r="G438" s="540"/>
      <c r="H438" s="582"/>
      <c r="I438" s="446"/>
    </row>
    <row r="439" spans="2:9" ht="26.1" hidden="1" customHeight="1" thickTop="1" thickBot="1" x14ac:dyDescent="0.4">
      <c r="B439" s="366"/>
      <c r="C439" s="452"/>
      <c r="D439" s="451"/>
      <c r="E439" s="454"/>
      <c r="F439" s="539"/>
      <c r="G439" s="540"/>
      <c r="H439" s="582"/>
      <c r="I439" s="446"/>
    </row>
    <row r="440" spans="2:9" ht="26.1" hidden="1" customHeight="1" thickTop="1" thickBot="1" x14ac:dyDescent="0.4">
      <c r="B440" s="366"/>
      <c r="C440" s="452"/>
      <c r="D440" s="451"/>
      <c r="E440" s="454"/>
      <c r="F440" s="539"/>
      <c r="G440" s="540"/>
      <c r="H440" s="582"/>
      <c r="I440" s="446"/>
    </row>
    <row r="441" spans="2:9" ht="26.1" hidden="1" customHeight="1" thickTop="1" thickBot="1" x14ac:dyDescent="0.4">
      <c r="B441" s="366"/>
      <c r="C441" s="452"/>
      <c r="D441" s="451"/>
      <c r="E441" s="454"/>
      <c r="F441" s="539"/>
      <c r="G441" s="540"/>
      <c r="H441" s="582"/>
      <c r="I441" s="446"/>
    </row>
    <row r="442" spans="2:9" ht="26.1" hidden="1" customHeight="1" thickTop="1" thickBot="1" x14ac:dyDescent="0.4">
      <c r="B442" s="366"/>
      <c r="C442" s="452"/>
      <c r="D442" s="451"/>
      <c r="E442" s="454"/>
      <c r="F442" s="539"/>
      <c r="G442" s="540"/>
      <c r="H442" s="582"/>
      <c r="I442" s="446"/>
    </row>
    <row r="443" spans="2:9" ht="26.1" hidden="1" customHeight="1" thickTop="1" thickBot="1" x14ac:dyDescent="0.4">
      <c r="B443" s="366"/>
      <c r="C443" s="452"/>
      <c r="D443" s="451"/>
      <c r="E443" s="454"/>
      <c r="F443" s="539"/>
      <c r="G443" s="540"/>
      <c r="H443" s="582"/>
      <c r="I443" s="446"/>
    </row>
    <row r="444" spans="2:9" ht="26.1" hidden="1" customHeight="1" thickTop="1" thickBot="1" x14ac:dyDescent="0.4">
      <c r="B444" s="366"/>
      <c r="C444" s="452"/>
      <c r="D444" s="451"/>
      <c r="E444" s="454"/>
      <c r="F444" s="539"/>
      <c r="G444" s="540"/>
      <c r="H444" s="582"/>
      <c r="I444" s="446"/>
    </row>
    <row r="445" spans="2:9" ht="26.1" hidden="1" customHeight="1" thickTop="1" thickBot="1" x14ac:dyDescent="0.4">
      <c r="B445" s="366"/>
      <c r="C445" s="452"/>
      <c r="D445" s="451"/>
      <c r="E445" s="454"/>
      <c r="F445" s="539"/>
      <c r="G445" s="540"/>
      <c r="H445" s="582"/>
      <c r="I445" s="446"/>
    </row>
    <row r="446" spans="2:9" ht="26.1" hidden="1" customHeight="1" thickTop="1" thickBot="1" x14ac:dyDescent="0.4">
      <c r="B446" s="366"/>
      <c r="C446" s="452"/>
      <c r="D446" s="451"/>
      <c r="E446" s="454"/>
      <c r="F446" s="539"/>
      <c r="G446" s="540"/>
      <c r="H446" s="582"/>
      <c r="I446" s="446"/>
    </row>
    <row r="447" spans="2:9" ht="26.1" hidden="1" customHeight="1" thickTop="1" thickBot="1" x14ac:dyDescent="0.4">
      <c r="B447" s="366"/>
      <c r="C447" s="452"/>
      <c r="D447" s="451"/>
      <c r="E447" s="454"/>
      <c r="F447" s="539"/>
      <c r="G447" s="540"/>
      <c r="H447" s="582"/>
      <c r="I447" s="446"/>
    </row>
    <row r="448" spans="2:9" ht="26.1" hidden="1" customHeight="1" thickTop="1" thickBot="1" x14ac:dyDescent="0.4">
      <c r="B448" s="366"/>
      <c r="C448" s="452"/>
      <c r="D448" s="451"/>
      <c r="E448" s="454"/>
      <c r="F448" s="539"/>
      <c r="G448" s="540"/>
      <c r="H448" s="582"/>
      <c r="I448" s="446"/>
    </row>
    <row r="449" spans="2:9" ht="26.1" hidden="1" customHeight="1" thickTop="1" thickBot="1" x14ac:dyDescent="0.4">
      <c r="B449" s="366"/>
      <c r="C449" s="452"/>
      <c r="D449" s="451"/>
      <c r="E449" s="454"/>
      <c r="F449" s="539"/>
      <c r="G449" s="540"/>
      <c r="H449" s="582"/>
      <c r="I449" s="446"/>
    </row>
    <row r="450" spans="2:9" ht="26.1" hidden="1" customHeight="1" thickTop="1" thickBot="1" x14ac:dyDescent="0.4">
      <c r="B450" s="366"/>
      <c r="C450" s="452"/>
      <c r="D450" s="451"/>
      <c r="E450" s="454"/>
      <c r="F450" s="539"/>
      <c r="G450" s="540"/>
      <c r="H450" s="582"/>
      <c r="I450" s="446"/>
    </row>
    <row r="451" spans="2:9" ht="26.1" hidden="1" customHeight="1" thickTop="1" thickBot="1" x14ac:dyDescent="0.4">
      <c r="B451" s="366"/>
      <c r="C451" s="452"/>
      <c r="D451" s="451"/>
      <c r="E451" s="454"/>
      <c r="F451" s="539"/>
      <c r="G451" s="540"/>
      <c r="H451" s="582"/>
      <c r="I451" s="446"/>
    </row>
    <row r="452" spans="2:9" ht="26.1" hidden="1" customHeight="1" thickTop="1" thickBot="1" x14ac:dyDescent="0.4">
      <c r="B452" s="366"/>
      <c r="C452" s="452"/>
      <c r="D452" s="451"/>
      <c r="E452" s="454"/>
      <c r="F452" s="539"/>
      <c r="G452" s="540"/>
      <c r="H452" s="582"/>
      <c r="I452" s="446"/>
    </row>
    <row r="453" spans="2:9" ht="26.1" hidden="1" customHeight="1" thickTop="1" thickBot="1" x14ac:dyDescent="0.4">
      <c r="B453" s="366"/>
      <c r="C453" s="452"/>
      <c r="D453" s="451"/>
      <c r="E453" s="454"/>
      <c r="F453" s="539"/>
      <c r="G453" s="540"/>
      <c r="H453" s="582"/>
      <c r="I453" s="446"/>
    </row>
    <row r="454" spans="2:9" ht="26.1" hidden="1" customHeight="1" thickTop="1" thickBot="1" x14ac:dyDescent="0.4">
      <c r="B454" s="366"/>
      <c r="C454" s="452"/>
      <c r="D454" s="451"/>
      <c r="E454" s="454"/>
      <c r="F454" s="539"/>
      <c r="G454" s="540"/>
      <c r="H454" s="582"/>
      <c r="I454" s="446"/>
    </row>
    <row r="455" spans="2:9" ht="26.1" hidden="1" customHeight="1" thickTop="1" thickBot="1" x14ac:dyDescent="0.4">
      <c r="B455" s="366"/>
      <c r="C455" s="452"/>
      <c r="D455" s="451"/>
      <c r="E455" s="454"/>
      <c r="F455" s="539"/>
      <c r="G455" s="540"/>
      <c r="H455" s="582"/>
      <c r="I455" s="446"/>
    </row>
    <row r="456" spans="2:9" ht="26.1" hidden="1" customHeight="1" thickTop="1" thickBot="1" x14ac:dyDescent="0.4">
      <c r="B456" s="366"/>
      <c r="C456" s="452"/>
      <c r="D456" s="451"/>
      <c r="E456" s="454"/>
      <c r="F456" s="539"/>
      <c r="G456" s="540"/>
      <c r="H456" s="582"/>
      <c r="I456" s="446"/>
    </row>
    <row r="457" spans="2:9" ht="26.1" hidden="1" customHeight="1" thickTop="1" thickBot="1" x14ac:dyDescent="0.4">
      <c r="B457" s="366"/>
      <c r="C457" s="452"/>
      <c r="D457" s="451"/>
      <c r="E457" s="454"/>
      <c r="F457" s="539"/>
      <c r="G457" s="540"/>
      <c r="H457" s="582"/>
      <c r="I457" s="446"/>
    </row>
    <row r="458" spans="2:9" ht="26.1" hidden="1" customHeight="1" thickTop="1" thickBot="1" x14ac:dyDescent="0.4">
      <c r="B458" s="366"/>
      <c r="C458" s="452"/>
      <c r="D458" s="451"/>
      <c r="E458" s="454"/>
      <c r="F458" s="539"/>
      <c r="G458" s="540"/>
      <c r="H458" s="582"/>
      <c r="I458" s="446"/>
    </row>
    <row r="459" spans="2:9" ht="26.1" hidden="1" customHeight="1" thickTop="1" thickBot="1" x14ac:dyDescent="0.4">
      <c r="B459" s="366"/>
      <c r="C459" s="452"/>
      <c r="D459" s="451"/>
      <c r="E459" s="454"/>
      <c r="F459" s="539"/>
      <c r="G459" s="540"/>
      <c r="H459" s="582"/>
      <c r="I459" s="446"/>
    </row>
    <row r="460" spans="2:9" ht="26.1" hidden="1" customHeight="1" thickTop="1" thickBot="1" x14ac:dyDescent="0.4">
      <c r="B460" s="366"/>
      <c r="C460" s="452"/>
      <c r="D460" s="451"/>
      <c r="E460" s="454"/>
      <c r="F460" s="539"/>
      <c r="G460" s="540"/>
      <c r="H460" s="582"/>
      <c r="I460" s="446"/>
    </row>
    <row r="461" spans="2:9" ht="26.1" hidden="1" customHeight="1" thickTop="1" thickBot="1" x14ac:dyDescent="0.4">
      <c r="B461" s="366"/>
      <c r="C461" s="452"/>
      <c r="D461" s="451"/>
      <c r="E461" s="454"/>
      <c r="F461" s="539"/>
      <c r="G461" s="540"/>
      <c r="H461" s="582"/>
      <c r="I461" s="446"/>
    </row>
    <row r="462" spans="2:9" ht="26.1" hidden="1" customHeight="1" thickTop="1" thickBot="1" x14ac:dyDescent="0.4">
      <c r="B462" s="366"/>
      <c r="C462" s="452"/>
      <c r="D462" s="451"/>
      <c r="E462" s="454"/>
      <c r="F462" s="539"/>
      <c r="G462" s="540"/>
      <c r="H462" s="582"/>
      <c r="I462" s="446"/>
    </row>
    <row r="463" spans="2:9" ht="26.1" hidden="1" customHeight="1" thickTop="1" thickBot="1" x14ac:dyDescent="0.4">
      <c r="B463" s="366"/>
      <c r="C463" s="452"/>
      <c r="D463" s="451"/>
      <c r="E463" s="454"/>
      <c r="F463" s="539"/>
      <c r="G463" s="540"/>
      <c r="H463" s="582"/>
      <c r="I463" s="446"/>
    </row>
    <row r="464" spans="2:9" ht="26.1" hidden="1" customHeight="1" thickTop="1" thickBot="1" x14ac:dyDescent="0.4">
      <c r="B464" s="366"/>
      <c r="C464" s="452"/>
      <c r="D464" s="451"/>
      <c r="E464" s="454"/>
      <c r="F464" s="539"/>
      <c r="G464" s="540"/>
      <c r="H464" s="582"/>
      <c r="I464" s="446"/>
    </row>
    <row r="465" spans="2:9" ht="26.1" hidden="1" customHeight="1" thickTop="1" thickBot="1" x14ac:dyDescent="0.4">
      <c r="B465" s="366"/>
      <c r="C465" s="452"/>
      <c r="D465" s="451"/>
      <c r="E465" s="454"/>
      <c r="F465" s="539"/>
      <c r="G465" s="540"/>
      <c r="H465" s="582"/>
      <c r="I465" s="446"/>
    </row>
    <row r="466" spans="2:9" ht="26.1" hidden="1" customHeight="1" thickTop="1" thickBot="1" x14ac:dyDescent="0.4">
      <c r="B466" s="366"/>
      <c r="C466" s="452"/>
      <c r="D466" s="451"/>
      <c r="E466" s="454"/>
      <c r="F466" s="539"/>
      <c r="G466" s="540"/>
      <c r="H466" s="582"/>
      <c r="I466" s="446"/>
    </row>
    <row r="467" spans="2:9" ht="26.1" hidden="1" customHeight="1" thickTop="1" thickBot="1" x14ac:dyDescent="0.4">
      <c r="B467" s="366"/>
      <c r="C467" s="452"/>
      <c r="D467" s="451"/>
      <c r="E467" s="454"/>
      <c r="F467" s="539"/>
      <c r="G467" s="540"/>
      <c r="H467" s="582"/>
      <c r="I467" s="446"/>
    </row>
    <row r="468" spans="2:9" ht="26.1" hidden="1" customHeight="1" thickTop="1" thickBot="1" x14ac:dyDescent="0.4">
      <c r="B468" s="366"/>
      <c r="C468" s="452"/>
      <c r="D468" s="451"/>
      <c r="E468" s="454"/>
      <c r="F468" s="539"/>
      <c r="G468" s="540"/>
      <c r="H468" s="582"/>
      <c r="I468" s="446"/>
    </row>
    <row r="469" spans="2:9" ht="26.1" hidden="1" customHeight="1" thickTop="1" thickBot="1" x14ac:dyDescent="0.4">
      <c r="B469" s="366"/>
      <c r="C469" s="452"/>
      <c r="D469" s="451"/>
      <c r="E469" s="454"/>
      <c r="F469" s="539"/>
      <c r="G469" s="540"/>
      <c r="H469" s="582"/>
      <c r="I469" s="446"/>
    </row>
    <row r="470" spans="2:9" ht="26.1" hidden="1" customHeight="1" thickTop="1" thickBot="1" x14ac:dyDescent="0.4">
      <c r="B470" s="366"/>
      <c r="C470" s="452"/>
      <c r="D470" s="451"/>
      <c r="E470" s="454"/>
      <c r="F470" s="539"/>
      <c r="G470" s="540"/>
      <c r="H470" s="582"/>
      <c r="I470" s="446"/>
    </row>
    <row r="471" spans="2:9" ht="26.1" hidden="1" customHeight="1" thickTop="1" thickBot="1" x14ac:dyDescent="0.4">
      <c r="B471" s="366"/>
      <c r="C471" s="452"/>
      <c r="D471" s="451"/>
      <c r="E471" s="454"/>
      <c r="F471" s="539"/>
      <c r="G471" s="540"/>
      <c r="H471" s="582"/>
      <c r="I471" s="446"/>
    </row>
    <row r="472" spans="2:9" ht="26.1" hidden="1" customHeight="1" thickTop="1" thickBot="1" x14ac:dyDescent="0.4">
      <c r="B472" s="366"/>
      <c r="C472" s="452"/>
      <c r="D472" s="451"/>
      <c r="E472" s="454"/>
      <c r="F472" s="539"/>
      <c r="G472" s="540"/>
      <c r="H472" s="582"/>
      <c r="I472" s="446"/>
    </row>
    <row r="473" spans="2:9" ht="26.1" hidden="1" customHeight="1" thickTop="1" thickBot="1" x14ac:dyDescent="0.4">
      <c r="B473" s="366"/>
      <c r="C473" s="452"/>
      <c r="D473" s="451"/>
      <c r="E473" s="454"/>
      <c r="F473" s="539"/>
      <c r="G473" s="540"/>
      <c r="H473" s="582"/>
      <c r="I473" s="446"/>
    </row>
    <row r="474" spans="2:9" ht="26.1" hidden="1" customHeight="1" thickTop="1" thickBot="1" x14ac:dyDescent="0.4">
      <c r="B474" s="366"/>
      <c r="C474" s="452"/>
      <c r="D474" s="451"/>
      <c r="E474" s="454"/>
      <c r="F474" s="539"/>
      <c r="G474" s="540"/>
      <c r="H474" s="582"/>
      <c r="I474" s="446"/>
    </row>
    <row r="475" spans="2:9" ht="26.1" hidden="1" customHeight="1" thickTop="1" thickBot="1" x14ac:dyDescent="0.4">
      <c r="B475" s="366"/>
      <c r="C475" s="452"/>
      <c r="D475" s="451"/>
      <c r="E475" s="454"/>
      <c r="F475" s="539"/>
      <c r="G475" s="540"/>
      <c r="H475" s="582"/>
      <c r="I475" s="446"/>
    </row>
    <row r="476" spans="2:9" ht="26.1" hidden="1" customHeight="1" thickTop="1" thickBot="1" x14ac:dyDescent="0.4">
      <c r="B476" s="366"/>
      <c r="C476" s="452"/>
      <c r="D476" s="451"/>
      <c r="E476" s="454"/>
      <c r="F476" s="539"/>
      <c r="G476" s="540"/>
      <c r="H476" s="582"/>
      <c r="I476" s="446"/>
    </row>
    <row r="477" spans="2:9" ht="26.1" hidden="1" customHeight="1" thickTop="1" thickBot="1" x14ac:dyDescent="0.4">
      <c r="B477" s="366"/>
      <c r="C477" s="452"/>
      <c r="D477" s="451"/>
      <c r="E477" s="454"/>
      <c r="F477" s="539"/>
      <c r="G477" s="540"/>
      <c r="H477" s="582"/>
      <c r="I477" s="446"/>
    </row>
    <row r="478" spans="2:9" ht="26.1" hidden="1" customHeight="1" thickTop="1" thickBot="1" x14ac:dyDescent="0.4">
      <c r="B478" s="366"/>
      <c r="C478" s="452"/>
      <c r="D478" s="451"/>
      <c r="E478" s="454"/>
      <c r="F478" s="539"/>
      <c r="G478" s="540"/>
      <c r="H478" s="582"/>
      <c r="I478" s="446"/>
    </row>
    <row r="479" spans="2:9" ht="26.1" hidden="1" customHeight="1" thickTop="1" thickBot="1" x14ac:dyDescent="0.4">
      <c r="B479" s="366"/>
      <c r="C479" s="452"/>
      <c r="D479" s="451"/>
      <c r="E479" s="454"/>
      <c r="F479" s="539"/>
      <c r="G479" s="540"/>
      <c r="H479" s="582"/>
      <c r="I479" s="446"/>
    </row>
    <row r="480" spans="2:9" ht="26.1" hidden="1" customHeight="1" thickTop="1" thickBot="1" x14ac:dyDescent="0.4">
      <c r="B480" s="366"/>
      <c r="C480" s="452"/>
      <c r="D480" s="451"/>
      <c r="E480" s="454"/>
      <c r="F480" s="539"/>
      <c r="G480" s="540"/>
      <c r="H480" s="582"/>
      <c r="I480" s="446"/>
    </row>
    <row r="481" spans="2:9" ht="26.1" hidden="1" customHeight="1" thickTop="1" thickBot="1" x14ac:dyDescent="0.4">
      <c r="B481" s="366"/>
      <c r="C481" s="452"/>
      <c r="D481" s="451"/>
      <c r="E481" s="454"/>
      <c r="F481" s="539"/>
      <c r="G481" s="540"/>
      <c r="H481" s="582"/>
      <c r="I481" s="446"/>
    </row>
    <row r="482" spans="2:9" ht="26.1" hidden="1" customHeight="1" thickTop="1" thickBot="1" x14ac:dyDescent="0.4">
      <c r="B482" s="366"/>
      <c r="C482" s="452"/>
      <c r="D482" s="451"/>
      <c r="E482" s="454"/>
      <c r="F482" s="539"/>
      <c r="G482" s="540"/>
      <c r="H482" s="582"/>
      <c r="I482" s="446"/>
    </row>
    <row r="483" spans="2:9" ht="26.1" hidden="1" customHeight="1" thickTop="1" thickBot="1" x14ac:dyDescent="0.4">
      <c r="B483" s="366"/>
      <c r="C483" s="452"/>
      <c r="D483" s="451"/>
      <c r="E483" s="454"/>
      <c r="F483" s="539"/>
      <c r="G483" s="540"/>
      <c r="H483" s="582"/>
      <c r="I483" s="446"/>
    </row>
    <row r="484" spans="2:9" ht="26.1" hidden="1" customHeight="1" thickTop="1" thickBot="1" x14ac:dyDescent="0.4">
      <c r="B484" s="366"/>
      <c r="C484" s="452"/>
      <c r="D484" s="451"/>
      <c r="E484" s="454"/>
      <c r="F484" s="539"/>
      <c r="G484" s="540"/>
      <c r="H484" s="582"/>
      <c r="I484" s="446"/>
    </row>
    <row r="485" spans="2:9" ht="26.1" hidden="1" customHeight="1" thickTop="1" thickBot="1" x14ac:dyDescent="0.4">
      <c r="B485" s="366"/>
      <c r="C485" s="452"/>
      <c r="D485" s="451"/>
      <c r="E485" s="454"/>
      <c r="F485" s="539"/>
      <c r="G485" s="540"/>
      <c r="H485" s="582"/>
      <c r="I485" s="446"/>
    </row>
    <row r="486" spans="2:9" ht="26.1" hidden="1" customHeight="1" thickTop="1" thickBot="1" x14ac:dyDescent="0.4">
      <c r="B486" s="366"/>
      <c r="C486" s="452"/>
      <c r="D486" s="451"/>
      <c r="E486" s="454"/>
      <c r="F486" s="539"/>
      <c r="G486" s="540"/>
      <c r="H486" s="582"/>
      <c r="I486" s="446"/>
    </row>
    <row r="487" spans="2:9" ht="26.1" hidden="1" customHeight="1" thickTop="1" thickBot="1" x14ac:dyDescent="0.4">
      <c r="B487" s="366"/>
      <c r="C487" s="452"/>
      <c r="D487" s="451"/>
      <c r="E487" s="454"/>
      <c r="F487" s="539"/>
      <c r="G487" s="540"/>
      <c r="H487" s="582"/>
      <c r="I487" s="446"/>
    </row>
    <row r="488" spans="2:9" ht="26.1" hidden="1" customHeight="1" thickTop="1" thickBot="1" x14ac:dyDescent="0.4">
      <c r="B488" s="366"/>
      <c r="C488" s="452"/>
      <c r="D488" s="451"/>
      <c r="E488" s="454"/>
      <c r="F488" s="539"/>
      <c r="G488" s="540"/>
      <c r="H488" s="582"/>
      <c r="I488" s="446"/>
    </row>
    <row r="489" spans="2:9" ht="26.1" hidden="1" customHeight="1" thickTop="1" thickBot="1" x14ac:dyDescent="0.4">
      <c r="B489" s="366"/>
      <c r="C489" s="452"/>
      <c r="D489" s="451"/>
      <c r="E489" s="454"/>
      <c r="F489" s="539"/>
      <c r="G489" s="540"/>
      <c r="H489" s="582"/>
      <c r="I489" s="446"/>
    </row>
    <row r="490" spans="2:9" ht="26.1" hidden="1" customHeight="1" thickTop="1" thickBot="1" x14ac:dyDescent="0.4">
      <c r="B490" s="366"/>
      <c r="C490" s="452"/>
      <c r="D490" s="451"/>
      <c r="E490" s="454"/>
      <c r="F490" s="539"/>
      <c r="G490" s="540"/>
      <c r="H490" s="582"/>
      <c r="I490" s="446"/>
    </row>
    <row r="491" spans="2:9" ht="26.1" hidden="1" customHeight="1" thickTop="1" thickBot="1" x14ac:dyDescent="0.4">
      <c r="B491" s="366"/>
      <c r="C491" s="452"/>
      <c r="D491" s="451"/>
      <c r="E491" s="454"/>
      <c r="F491" s="539"/>
      <c r="G491" s="540"/>
      <c r="H491" s="582"/>
      <c r="I491" s="446"/>
    </row>
    <row r="492" spans="2:9" ht="26.1" hidden="1" customHeight="1" thickTop="1" thickBot="1" x14ac:dyDescent="0.4">
      <c r="B492" s="366"/>
      <c r="C492" s="452"/>
      <c r="D492" s="451"/>
      <c r="E492" s="454"/>
      <c r="F492" s="539"/>
      <c r="G492" s="540"/>
      <c r="H492" s="582"/>
      <c r="I492" s="446"/>
    </row>
    <row r="493" spans="2:9" ht="26.1" hidden="1" customHeight="1" thickTop="1" thickBot="1" x14ac:dyDescent="0.4">
      <c r="B493" s="366"/>
      <c r="C493" s="452"/>
      <c r="D493" s="451"/>
      <c r="E493" s="454"/>
      <c r="F493" s="539"/>
      <c r="G493" s="540"/>
      <c r="H493" s="582"/>
      <c r="I493" s="446"/>
    </row>
    <row r="494" spans="2:9" ht="26.1" hidden="1" customHeight="1" thickTop="1" thickBot="1" x14ac:dyDescent="0.4">
      <c r="B494" s="366"/>
      <c r="C494" s="452"/>
      <c r="D494" s="451"/>
      <c r="E494" s="454"/>
      <c r="F494" s="539"/>
      <c r="G494" s="540"/>
      <c r="H494" s="582"/>
      <c r="I494" s="446"/>
    </row>
    <row r="495" spans="2:9" ht="26.1" hidden="1" customHeight="1" thickTop="1" thickBot="1" x14ac:dyDescent="0.4">
      <c r="B495" s="366"/>
      <c r="C495" s="452"/>
      <c r="D495" s="451"/>
      <c r="E495" s="454"/>
      <c r="F495" s="539"/>
      <c r="G495" s="540"/>
      <c r="H495" s="582"/>
      <c r="I495" s="446"/>
    </row>
    <row r="496" spans="2:9" ht="26.1" hidden="1" customHeight="1" thickTop="1" thickBot="1" x14ac:dyDescent="0.4">
      <c r="B496" s="366"/>
      <c r="C496" s="452"/>
      <c r="D496" s="451"/>
      <c r="E496" s="454"/>
      <c r="F496" s="539"/>
      <c r="G496" s="540"/>
      <c r="H496" s="582"/>
      <c r="I496" s="446"/>
    </row>
    <row r="497" spans="2:9" ht="26.1" hidden="1" customHeight="1" thickTop="1" thickBot="1" x14ac:dyDescent="0.4">
      <c r="B497" s="366"/>
      <c r="C497" s="452"/>
      <c r="D497" s="451"/>
      <c r="E497" s="454"/>
      <c r="F497" s="539"/>
      <c r="G497" s="540"/>
      <c r="H497" s="582"/>
      <c r="I497" s="446"/>
    </row>
    <row r="498" spans="2:9" ht="26.1" hidden="1" customHeight="1" thickTop="1" thickBot="1" x14ac:dyDescent="0.4">
      <c r="B498" s="366"/>
      <c r="C498" s="452"/>
      <c r="D498" s="451"/>
      <c r="E498" s="454"/>
      <c r="F498" s="539"/>
      <c r="G498" s="540"/>
      <c r="H498" s="582"/>
      <c r="I498" s="446"/>
    </row>
    <row r="499" spans="2:9" ht="26.1" hidden="1" customHeight="1" thickTop="1" thickBot="1" x14ac:dyDescent="0.4">
      <c r="B499" s="366"/>
      <c r="C499" s="452"/>
      <c r="D499" s="451"/>
      <c r="E499" s="454"/>
      <c r="F499" s="539"/>
      <c r="G499" s="540"/>
      <c r="H499" s="582"/>
      <c r="I499" s="446"/>
    </row>
    <row r="500" spans="2:9" ht="26.1" hidden="1" customHeight="1" thickTop="1" thickBot="1" x14ac:dyDescent="0.4">
      <c r="B500" s="366"/>
      <c r="C500" s="452"/>
      <c r="D500" s="451"/>
      <c r="E500" s="454"/>
      <c r="F500" s="539"/>
      <c r="G500" s="540"/>
      <c r="H500" s="582"/>
      <c r="I500" s="446"/>
    </row>
    <row r="501" spans="2:9" ht="26.1" hidden="1" customHeight="1" thickTop="1" thickBot="1" x14ac:dyDescent="0.4">
      <c r="B501" s="366"/>
      <c r="C501" s="452"/>
      <c r="D501" s="451"/>
      <c r="E501" s="454"/>
      <c r="F501" s="539"/>
      <c r="G501" s="540"/>
      <c r="H501" s="582"/>
      <c r="I501" s="446"/>
    </row>
    <row r="502" spans="2:9" ht="26.1" hidden="1" customHeight="1" thickTop="1" thickBot="1" x14ac:dyDescent="0.4">
      <c r="B502" s="366"/>
      <c r="C502" s="452"/>
      <c r="D502" s="451"/>
      <c r="E502" s="454"/>
      <c r="F502" s="539"/>
      <c r="G502" s="540"/>
      <c r="H502" s="582"/>
      <c r="I502" s="446"/>
    </row>
    <row r="503" spans="2:9" ht="26.1" hidden="1" customHeight="1" thickTop="1" thickBot="1" x14ac:dyDescent="0.4">
      <c r="B503" s="366"/>
      <c r="C503" s="452"/>
      <c r="D503" s="451"/>
      <c r="E503" s="454"/>
      <c r="F503" s="539"/>
      <c r="G503" s="540"/>
      <c r="H503" s="582"/>
      <c r="I503" s="446"/>
    </row>
    <row r="504" spans="2:9" ht="26.1" hidden="1" customHeight="1" thickTop="1" thickBot="1" x14ac:dyDescent="0.4">
      <c r="B504" s="366"/>
      <c r="C504" s="452"/>
      <c r="D504" s="451"/>
      <c r="E504" s="454"/>
      <c r="F504" s="539"/>
      <c r="G504" s="540"/>
      <c r="H504" s="582"/>
      <c r="I504" s="446"/>
    </row>
    <row r="505" spans="2:9" ht="26.1" hidden="1" customHeight="1" thickTop="1" thickBot="1" x14ac:dyDescent="0.4">
      <c r="B505" s="366"/>
      <c r="C505" s="452"/>
      <c r="D505" s="451"/>
      <c r="E505" s="454"/>
      <c r="F505" s="539"/>
      <c r="G505" s="540"/>
      <c r="H505" s="582"/>
      <c r="I505" s="446"/>
    </row>
    <row r="506" spans="2:9" ht="26.1" hidden="1" customHeight="1" thickTop="1" thickBot="1" x14ac:dyDescent="0.4">
      <c r="B506" s="366"/>
      <c r="C506" s="452"/>
      <c r="D506" s="451"/>
      <c r="E506" s="454"/>
      <c r="F506" s="539"/>
      <c r="G506" s="540"/>
      <c r="H506" s="582"/>
      <c r="I506" s="446"/>
    </row>
    <row r="507" spans="2:9" ht="26.1" hidden="1" customHeight="1" thickTop="1" thickBot="1" x14ac:dyDescent="0.4">
      <c r="B507" s="366"/>
      <c r="C507" s="452"/>
      <c r="D507" s="451"/>
      <c r="E507" s="454"/>
      <c r="F507" s="539"/>
      <c r="G507" s="540"/>
      <c r="H507" s="582"/>
      <c r="I507" s="446"/>
    </row>
    <row r="508" spans="2:9" ht="26.1" hidden="1" customHeight="1" thickTop="1" thickBot="1" x14ac:dyDescent="0.4">
      <c r="B508" s="366"/>
      <c r="C508" s="452"/>
      <c r="D508" s="451"/>
      <c r="E508" s="454"/>
      <c r="F508" s="539"/>
      <c r="G508" s="540"/>
      <c r="H508" s="582"/>
      <c r="I508" s="446"/>
    </row>
    <row r="509" spans="2:9" ht="26.1" hidden="1" customHeight="1" thickTop="1" thickBot="1" x14ac:dyDescent="0.4">
      <c r="B509" s="366"/>
      <c r="C509" s="452"/>
      <c r="D509" s="451"/>
      <c r="E509" s="454"/>
      <c r="F509" s="539"/>
      <c r="G509" s="540"/>
      <c r="H509" s="582"/>
      <c r="I509" s="446"/>
    </row>
    <row r="510" spans="2:9" ht="26.1" hidden="1" customHeight="1" thickTop="1" thickBot="1" x14ac:dyDescent="0.4">
      <c r="B510" s="366"/>
      <c r="C510" s="452"/>
      <c r="D510" s="451"/>
      <c r="E510" s="454"/>
      <c r="F510" s="539"/>
      <c r="G510" s="540"/>
      <c r="H510" s="582"/>
      <c r="I510" s="446"/>
    </row>
    <row r="511" spans="2:9" ht="26.1" hidden="1" customHeight="1" thickTop="1" thickBot="1" x14ac:dyDescent="0.4">
      <c r="B511" s="366"/>
      <c r="C511" s="452"/>
      <c r="D511" s="451"/>
      <c r="E511" s="454"/>
      <c r="F511" s="539"/>
      <c r="G511" s="540"/>
      <c r="H511" s="582"/>
      <c r="I511" s="446"/>
    </row>
    <row r="512" spans="2:9" ht="26.1" hidden="1" customHeight="1" thickTop="1" thickBot="1" x14ac:dyDescent="0.4">
      <c r="B512" s="366"/>
      <c r="C512" s="452"/>
      <c r="D512" s="451"/>
      <c r="E512" s="454"/>
      <c r="F512" s="539"/>
      <c r="G512" s="540"/>
      <c r="H512" s="582"/>
      <c r="I512" s="446"/>
    </row>
    <row r="513" spans="2:9" ht="26.1" hidden="1" customHeight="1" thickTop="1" thickBot="1" x14ac:dyDescent="0.4">
      <c r="B513" s="366"/>
      <c r="C513" s="452"/>
      <c r="D513" s="451"/>
      <c r="E513" s="454"/>
      <c r="F513" s="539"/>
      <c r="G513" s="540"/>
      <c r="H513" s="582"/>
      <c r="I513" s="446"/>
    </row>
    <row r="514" spans="2:9" ht="26.1" hidden="1" customHeight="1" thickTop="1" thickBot="1" x14ac:dyDescent="0.4">
      <c r="B514" s="366"/>
      <c r="C514" s="452"/>
      <c r="D514" s="451"/>
      <c r="E514" s="454"/>
      <c r="F514" s="539"/>
      <c r="G514" s="540"/>
      <c r="H514" s="582"/>
      <c r="I514" s="446"/>
    </row>
    <row r="515" spans="2:9" ht="26.1" hidden="1" customHeight="1" thickTop="1" thickBot="1" x14ac:dyDescent="0.4">
      <c r="B515" s="366"/>
      <c r="C515" s="452"/>
      <c r="D515" s="451"/>
      <c r="E515" s="454"/>
      <c r="F515" s="539"/>
      <c r="G515" s="540"/>
      <c r="H515" s="582"/>
      <c r="I515" s="446"/>
    </row>
    <row r="516" spans="2:9" ht="26.1" hidden="1" customHeight="1" thickTop="1" thickBot="1" x14ac:dyDescent="0.4">
      <c r="B516" s="366"/>
      <c r="C516" s="452"/>
      <c r="D516" s="451"/>
      <c r="E516" s="454"/>
      <c r="F516" s="539"/>
      <c r="G516" s="540"/>
      <c r="H516" s="582"/>
      <c r="I516" s="446"/>
    </row>
    <row r="517" spans="2:9" ht="26.1" hidden="1" customHeight="1" thickTop="1" thickBot="1" x14ac:dyDescent="0.4">
      <c r="B517" s="366"/>
      <c r="C517" s="452"/>
      <c r="D517" s="451"/>
      <c r="E517" s="454"/>
      <c r="F517" s="539"/>
      <c r="G517" s="540"/>
      <c r="H517" s="582"/>
      <c r="I517" s="446"/>
    </row>
    <row r="518" spans="2:9" ht="26.1" hidden="1" customHeight="1" thickTop="1" thickBot="1" x14ac:dyDescent="0.4">
      <c r="B518" s="366"/>
      <c r="C518" s="452"/>
      <c r="D518" s="451"/>
      <c r="E518" s="454"/>
      <c r="F518" s="539"/>
      <c r="G518" s="540"/>
      <c r="H518" s="582"/>
      <c r="I518" s="446"/>
    </row>
    <row r="519" spans="2:9" ht="26.1" hidden="1" customHeight="1" thickTop="1" thickBot="1" x14ac:dyDescent="0.4">
      <c r="B519" s="366"/>
      <c r="C519" s="452"/>
      <c r="D519" s="451"/>
      <c r="E519" s="454"/>
      <c r="F519" s="539"/>
      <c r="G519" s="540"/>
      <c r="H519" s="582"/>
      <c r="I519" s="446"/>
    </row>
    <row r="520" spans="2:9" ht="26.1" hidden="1" customHeight="1" thickTop="1" thickBot="1" x14ac:dyDescent="0.4">
      <c r="B520" s="366"/>
      <c r="C520" s="452"/>
      <c r="D520" s="451"/>
      <c r="E520" s="454"/>
      <c r="F520" s="539"/>
      <c r="G520" s="540"/>
      <c r="H520" s="582"/>
      <c r="I520" s="446"/>
    </row>
    <row r="521" spans="2:9" ht="26.1" hidden="1" customHeight="1" thickTop="1" thickBot="1" x14ac:dyDescent="0.4">
      <c r="B521" s="366"/>
      <c r="C521" s="452"/>
      <c r="D521" s="451"/>
      <c r="E521" s="454"/>
      <c r="F521" s="539"/>
      <c r="G521" s="540"/>
      <c r="H521" s="582"/>
      <c r="I521" s="446"/>
    </row>
    <row r="522" spans="2:9" ht="26.1" hidden="1" customHeight="1" thickTop="1" thickBot="1" x14ac:dyDescent="0.4">
      <c r="B522" s="366"/>
      <c r="C522" s="452"/>
      <c r="D522" s="451"/>
      <c r="E522" s="454"/>
      <c r="F522" s="539"/>
      <c r="G522" s="540"/>
      <c r="H522" s="582"/>
      <c r="I522" s="446"/>
    </row>
    <row r="523" spans="2:9" ht="26.1" hidden="1" customHeight="1" thickTop="1" thickBot="1" x14ac:dyDescent="0.4">
      <c r="B523" s="366"/>
      <c r="C523" s="452"/>
      <c r="D523" s="451"/>
      <c r="E523" s="454"/>
      <c r="F523" s="539"/>
      <c r="G523" s="540"/>
      <c r="H523" s="582"/>
      <c r="I523" s="446"/>
    </row>
    <row r="524" spans="2:9" ht="26.1" hidden="1" customHeight="1" thickTop="1" thickBot="1" x14ac:dyDescent="0.4">
      <c r="B524" s="366"/>
      <c r="C524" s="452"/>
      <c r="D524" s="451"/>
      <c r="E524" s="454"/>
      <c r="F524" s="539"/>
      <c r="G524" s="540"/>
      <c r="H524" s="582"/>
      <c r="I524" s="446"/>
    </row>
    <row r="525" spans="2:9" ht="26.1" hidden="1" customHeight="1" thickTop="1" thickBot="1" x14ac:dyDescent="0.4">
      <c r="B525" s="366"/>
      <c r="C525" s="452"/>
      <c r="D525" s="451"/>
      <c r="E525" s="454"/>
      <c r="F525" s="539"/>
      <c r="G525" s="540"/>
      <c r="H525" s="582"/>
      <c r="I525" s="446"/>
    </row>
    <row r="526" spans="2:9" ht="26.1" hidden="1" customHeight="1" thickTop="1" thickBot="1" x14ac:dyDescent="0.4">
      <c r="B526" s="366"/>
      <c r="C526" s="452"/>
      <c r="D526" s="451"/>
      <c r="E526" s="454"/>
      <c r="F526" s="539"/>
      <c r="G526" s="540"/>
      <c r="H526" s="582"/>
      <c r="I526" s="446"/>
    </row>
    <row r="527" spans="2:9" ht="26.1" hidden="1" customHeight="1" thickTop="1" thickBot="1" x14ac:dyDescent="0.4">
      <c r="B527" s="366"/>
      <c r="C527" s="452"/>
      <c r="D527" s="451"/>
      <c r="E527" s="454"/>
      <c r="F527" s="539"/>
      <c r="G527" s="540"/>
      <c r="H527" s="582"/>
      <c r="I527" s="446"/>
    </row>
    <row r="528" spans="2:9" ht="26.1" hidden="1" customHeight="1" thickTop="1" thickBot="1" x14ac:dyDescent="0.4">
      <c r="B528" s="366"/>
      <c r="C528" s="452"/>
      <c r="D528" s="451"/>
      <c r="E528" s="454"/>
      <c r="F528" s="539"/>
      <c r="G528" s="540"/>
      <c r="H528" s="582"/>
      <c r="I528" s="446"/>
    </row>
    <row r="529" spans="2:9" ht="26.1" hidden="1" customHeight="1" thickTop="1" thickBot="1" x14ac:dyDescent="0.4">
      <c r="B529" s="366"/>
      <c r="C529" s="452"/>
      <c r="D529" s="451"/>
      <c r="E529" s="454"/>
      <c r="F529" s="539"/>
      <c r="G529" s="540"/>
      <c r="H529" s="582"/>
      <c r="I529" s="446"/>
    </row>
    <row r="530" spans="2:9" ht="26.1" hidden="1" customHeight="1" thickTop="1" thickBot="1" x14ac:dyDescent="0.4">
      <c r="B530" s="366"/>
      <c r="C530" s="452"/>
      <c r="D530" s="451"/>
      <c r="E530" s="454"/>
      <c r="F530" s="539"/>
      <c r="G530" s="540"/>
      <c r="H530" s="582"/>
      <c r="I530" s="446"/>
    </row>
    <row r="531" spans="2:9" ht="26.1" hidden="1" customHeight="1" thickTop="1" thickBot="1" x14ac:dyDescent="0.4">
      <c r="B531" s="366"/>
      <c r="C531" s="452"/>
      <c r="D531" s="451"/>
      <c r="E531" s="454"/>
      <c r="F531" s="539"/>
      <c r="G531" s="540"/>
      <c r="H531" s="582"/>
      <c r="I531" s="446"/>
    </row>
    <row r="532" spans="2:9" ht="26.1" hidden="1" customHeight="1" thickTop="1" thickBot="1" x14ac:dyDescent="0.4">
      <c r="B532" s="366"/>
      <c r="C532" s="452"/>
      <c r="D532" s="451"/>
      <c r="E532" s="454"/>
      <c r="F532" s="539"/>
      <c r="G532" s="540"/>
      <c r="H532" s="582"/>
      <c r="I532" s="446"/>
    </row>
    <row r="533" spans="2:9" ht="26.1" hidden="1" customHeight="1" thickTop="1" thickBot="1" x14ac:dyDescent="0.4">
      <c r="B533" s="366"/>
      <c r="C533" s="452"/>
      <c r="D533" s="451"/>
      <c r="E533" s="454"/>
      <c r="F533" s="539"/>
      <c r="G533" s="540"/>
      <c r="H533" s="582"/>
      <c r="I533" s="446"/>
    </row>
    <row r="534" spans="2:9" ht="26.1" hidden="1" customHeight="1" thickTop="1" thickBot="1" x14ac:dyDescent="0.4">
      <c r="B534" s="366"/>
      <c r="C534" s="452"/>
      <c r="D534" s="451"/>
      <c r="E534" s="454"/>
      <c r="F534" s="539"/>
      <c r="G534" s="540"/>
      <c r="H534" s="582"/>
      <c r="I534" s="446"/>
    </row>
    <row r="535" spans="2:9" ht="26.1" hidden="1" customHeight="1" thickTop="1" thickBot="1" x14ac:dyDescent="0.4">
      <c r="B535" s="366"/>
      <c r="C535" s="452"/>
      <c r="D535" s="451"/>
      <c r="E535" s="454"/>
      <c r="F535" s="539"/>
      <c r="G535" s="540"/>
      <c r="H535" s="582"/>
      <c r="I535" s="446"/>
    </row>
    <row r="536" spans="2:9" ht="26.1" hidden="1" customHeight="1" thickTop="1" thickBot="1" x14ac:dyDescent="0.4">
      <c r="B536" s="366"/>
      <c r="C536" s="452"/>
      <c r="D536" s="451"/>
      <c r="E536" s="454"/>
      <c r="F536" s="539"/>
      <c r="G536" s="540"/>
      <c r="H536" s="582"/>
      <c r="I536" s="446"/>
    </row>
    <row r="537" spans="2:9" ht="26.1" hidden="1" customHeight="1" thickTop="1" thickBot="1" x14ac:dyDescent="0.4">
      <c r="B537" s="366"/>
      <c r="C537" s="452"/>
      <c r="D537" s="451"/>
      <c r="E537" s="454"/>
      <c r="F537" s="539"/>
      <c r="G537" s="540"/>
      <c r="H537" s="582"/>
      <c r="I537" s="446"/>
    </row>
    <row r="538" spans="2:9" ht="26.1" hidden="1" customHeight="1" thickTop="1" thickBot="1" x14ac:dyDescent="0.4">
      <c r="B538" s="366"/>
      <c r="C538" s="452"/>
      <c r="D538" s="451"/>
      <c r="E538" s="454"/>
      <c r="F538" s="539"/>
      <c r="G538" s="540"/>
      <c r="H538" s="582"/>
      <c r="I538" s="446"/>
    </row>
    <row r="539" spans="2:9" ht="26.1" hidden="1" customHeight="1" thickTop="1" thickBot="1" x14ac:dyDescent="0.4">
      <c r="B539" s="366"/>
      <c r="C539" s="452"/>
      <c r="D539" s="451"/>
      <c r="E539" s="454"/>
      <c r="F539" s="539"/>
      <c r="G539" s="540"/>
      <c r="H539" s="582"/>
      <c r="I539" s="446"/>
    </row>
    <row r="540" spans="2:9" ht="26.1" hidden="1" customHeight="1" thickTop="1" thickBot="1" x14ac:dyDescent="0.4">
      <c r="B540" s="366"/>
      <c r="C540" s="452"/>
      <c r="D540" s="451"/>
      <c r="E540" s="454"/>
      <c r="F540" s="539"/>
      <c r="G540" s="540"/>
      <c r="H540" s="582"/>
      <c r="I540" s="446"/>
    </row>
    <row r="541" spans="2:9" ht="26.1" hidden="1" customHeight="1" thickTop="1" thickBot="1" x14ac:dyDescent="0.4">
      <c r="B541" s="366"/>
      <c r="C541" s="452"/>
      <c r="D541" s="451"/>
      <c r="E541" s="454"/>
      <c r="F541" s="539"/>
      <c r="G541" s="540"/>
      <c r="H541" s="582"/>
      <c r="I541" s="446"/>
    </row>
    <row r="542" spans="2:9" ht="26.1" hidden="1" customHeight="1" thickTop="1" thickBot="1" x14ac:dyDescent="0.4">
      <c r="B542" s="366"/>
      <c r="C542" s="452"/>
      <c r="D542" s="451"/>
      <c r="E542" s="454"/>
      <c r="F542" s="539"/>
      <c r="G542" s="540"/>
      <c r="H542" s="582"/>
      <c r="I542" s="446"/>
    </row>
    <row r="543" spans="2:9" ht="26.1" hidden="1" customHeight="1" thickTop="1" thickBot="1" x14ac:dyDescent="0.4">
      <c r="B543" s="366"/>
      <c r="C543" s="452"/>
      <c r="D543" s="451"/>
      <c r="E543" s="454"/>
      <c r="F543" s="539"/>
      <c r="G543" s="540"/>
      <c r="H543" s="582"/>
      <c r="I543" s="446"/>
    </row>
    <row r="544" spans="2:9" ht="26.1" hidden="1" customHeight="1" thickTop="1" thickBot="1" x14ac:dyDescent="0.4">
      <c r="B544" s="366"/>
      <c r="C544" s="452"/>
      <c r="D544" s="451"/>
      <c r="E544" s="454"/>
      <c r="F544" s="539"/>
      <c r="G544" s="540"/>
      <c r="H544" s="582"/>
      <c r="I544" s="446"/>
    </row>
    <row r="545" spans="2:9" ht="26.1" hidden="1" customHeight="1" thickTop="1" thickBot="1" x14ac:dyDescent="0.4">
      <c r="B545" s="366"/>
      <c r="C545" s="452"/>
      <c r="D545" s="451"/>
      <c r="E545" s="454"/>
      <c r="F545" s="539"/>
      <c r="G545" s="540"/>
      <c r="H545" s="582"/>
      <c r="I545" s="446"/>
    </row>
    <row r="546" spans="2:9" ht="26.1" hidden="1" customHeight="1" thickTop="1" thickBot="1" x14ac:dyDescent="0.4">
      <c r="B546" s="366"/>
      <c r="C546" s="452"/>
      <c r="D546" s="451"/>
      <c r="E546" s="454"/>
      <c r="F546" s="539"/>
      <c r="G546" s="540"/>
      <c r="H546" s="582"/>
      <c r="I546" s="446"/>
    </row>
    <row r="547" spans="2:9" ht="26.1" hidden="1" customHeight="1" thickTop="1" thickBot="1" x14ac:dyDescent="0.4">
      <c r="B547" s="366"/>
      <c r="C547" s="452"/>
      <c r="D547" s="451"/>
      <c r="E547" s="454"/>
      <c r="F547" s="539"/>
      <c r="G547" s="540"/>
      <c r="H547" s="582"/>
      <c r="I547" s="446"/>
    </row>
    <row r="548" spans="2:9" ht="26.1" hidden="1" customHeight="1" thickTop="1" thickBot="1" x14ac:dyDescent="0.4">
      <c r="B548" s="366"/>
      <c r="C548" s="452"/>
      <c r="D548" s="451"/>
      <c r="E548" s="454"/>
      <c r="F548" s="539"/>
      <c r="G548" s="540"/>
      <c r="H548" s="582"/>
      <c r="I548" s="446"/>
    </row>
    <row r="549" spans="2:9" ht="26.1" hidden="1" customHeight="1" thickTop="1" thickBot="1" x14ac:dyDescent="0.4">
      <c r="B549" s="366"/>
      <c r="C549" s="452"/>
      <c r="D549" s="451"/>
      <c r="E549" s="454"/>
      <c r="F549" s="539"/>
      <c r="G549" s="540"/>
      <c r="H549" s="582"/>
      <c r="I549" s="446"/>
    </row>
    <row r="550" spans="2:9" ht="26.1" hidden="1" customHeight="1" thickTop="1" thickBot="1" x14ac:dyDescent="0.4">
      <c r="B550" s="366"/>
      <c r="C550" s="452"/>
      <c r="D550" s="451"/>
      <c r="E550" s="454"/>
      <c r="F550" s="539"/>
      <c r="G550" s="540"/>
      <c r="H550" s="582"/>
      <c r="I550" s="446"/>
    </row>
    <row r="551" spans="2:9" ht="26.1" hidden="1" customHeight="1" thickTop="1" thickBot="1" x14ac:dyDescent="0.4">
      <c r="B551" s="366"/>
      <c r="C551" s="452"/>
      <c r="D551" s="451"/>
      <c r="E551" s="454"/>
      <c r="F551" s="539"/>
      <c r="G551" s="540"/>
      <c r="H551" s="582"/>
      <c r="I551" s="446"/>
    </row>
    <row r="552" spans="2:9" ht="26.1" hidden="1" customHeight="1" thickTop="1" thickBot="1" x14ac:dyDescent="0.4">
      <c r="B552" s="366"/>
      <c r="C552" s="452"/>
      <c r="D552" s="451"/>
      <c r="E552" s="454"/>
      <c r="F552" s="539"/>
      <c r="G552" s="540"/>
      <c r="H552" s="582"/>
      <c r="I552" s="446"/>
    </row>
    <row r="553" spans="2:9" ht="26.1" hidden="1" customHeight="1" thickTop="1" thickBot="1" x14ac:dyDescent="0.4">
      <c r="B553" s="366"/>
      <c r="C553" s="452"/>
      <c r="D553" s="451"/>
      <c r="E553" s="454"/>
      <c r="F553" s="539"/>
      <c r="G553" s="540"/>
      <c r="H553" s="582"/>
      <c r="I553" s="446"/>
    </row>
    <row r="554" spans="2:9" ht="26.1" hidden="1" customHeight="1" thickTop="1" thickBot="1" x14ac:dyDescent="0.4">
      <c r="B554" s="366"/>
      <c r="C554" s="452"/>
      <c r="D554" s="451"/>
      <c r="E554" s="454"/>
      <c r="F554" s="539"/>
      <c r="G554" s="540"/>
      <c r="H554" s="582"/>
      <c r="I554" s="446"/>
    </row>
    <row r="555" spans="2:9" ht="26.1" hidden="1" customHeight="1" thickTop="1" thickBot="1" x14ac:dyDescent="0.4">
      <c r="B555" s="366"/>
      <c r="C555" s="452"/>
      <c r="D555" s="451"/>
      <c r="E555" s="454"/>
      <c r="F555" s="539"/>
      <c r="G555" s="540"/>
      <c r="H555" s="582"/>
      <c r="I555" s="446"/>
    </row>
    <row r="556" spans="2:9" ht="26.1" hidden="1" customHeight="1" thickTop="1" thickBot="1" x14ac:dyDescent="0.4">
      <c r="B556" s="366"/>
      <c r="C556" s="452"/>
      <c r="D556" s="451"/>
      <c r="E556" s="454"/>
      <c r="F556" s="539"/>
      <c r="G556" s="540"/>
      <c r="H556" s="582"/>
      <c r="I556" s="446"/>
    </row>
    <row r="557" spans="2:9" ht="26.1" hidden="1" customHeight="1" thickTop="1" thickBot="1" x14ac:dyDescent="0.4">
      <c r="B557" s="366"/>
      <c r="C557" s="452"/>
      <c r="D557" s="451"/>
      <c r="E557" s="454"/>
      <c r="F557" s="539"/>
      <c r="G557" s="540"/>
      <c r="H557" s="582"/>
      <c r="I557" s="446"/>
    </row>
    <row r="558" spans="2:9" ht="26.1" hidden="1" customHeight="1" thickTop="1" thickBot="1" x14ac:dyDescent="0.4">
      <c r="B558" s="366"/>
      <c r="C558" s="452"/>
      <c r="D558" s="451"/>
      <c r="E558" s="454"/>
      <c r="F558" s="539"/>
      <c r="G558" s="540"/>
      <c r="H558" s="582"/>
      <c r="I558" s="446"/>
    </row>
    <row r="559" spans="2:9" ht="26.1" hidden="1" customHeight="1" thickTop="1" thickBot="1" x14ac:dyDescent="0.4">
      <c r="B559" s="366"/>
      <c r="C559" s="452"/>
      <c r="D559" s="451"/>
      <c r="E559" s="454"/>
      <c r="F559" s="539"/>
      <c r="G559" s="540"/>
      <c r="H559" s="582"/>
      <c r="I559" s="446"/>
    </row>
    <row r="560" spans="2:9" ht="26.1" hidden="1" customHeight="1" thickTop="1" thickBot="1" x14ac:dyDescent="0.4">
      <c r="B560" s="366"/>
      <c r="C560" s="452"/>
      <c r="D560" s="451"/>
      <c r="E560" s="454"/>
      <c r="F560" s="539"/>
      <c r="G560" s="540"/>
      <c r="H560" s="582"/>
      <c r="I560" s="446"/>
    </row>
    <row r="561" spans="2:9" ht="26.1" hidden="1" customHeight="1" thickTop="1" thickBot="1" x14ac:dyDescent="0.4">
      <c r="B561" s="366"/>
      <c r="C561" s="452"/>
      <c r="D561" s="451"/>
      <c r="E561" s="454"/>
      <c r="F561" s="539"/>
      <c r="G561" s="540"/>
      <c r="H561" s="582"/>
      <c r="I561" s="446"/>
    </row>
    <row r="562" spans="2:9" ht="26.1" hidden="1" customHeight="1" thickTop="1" thickBot="1" x14ac:dyDescent="0.4">
      <c r="B562" s="366"/>
      <c r="C562" s="452"/>
      <c r="D562" s="451"/>
      <c r="E562" s="454"/>
      <c r="F562" s="539"/>
      <c r="G562" s="540"/>
      <c r="H562" s="582"/>
      <c r="I562" s="446"/>
    </row>
    <row r="563" spans="2:9" ht="26.1" hidden="1" customHeight="1" thickTop="1" thickBot="1" x14ac:dyDescent="0.4">
      <c r="B563" s="366"/>
      <c r="C563" s="452"/>
      <c r="D563" s="451"/>
      <c r="E563" s="454"/>
      <c r="F563" s="539"/>
      <c r="G563" s="540"/>
      <c r="H563" s="582"/>
      <c r="I563" s="446"/>
    </row>
    <row r="564" spans="2:9" ht="26.1" hidden="1" customHeight="1" thickTop="1" thickBot="1" x14ac:dyDescent="0.4">
      <c r="B564" s="366"/>
      <c r="C564" s="452"/>
      <c r="D564" s="451"/>
      <c r="E564" s="454"/>
      <c r="F564" s="539"/>
      <c r="G564" s="540"/>
      <c r="H564" s="582"/>
      <c r="I564" s="446"/>
    </row>
    <row r="565" spans="2:9" ht="26.1" hidden="1" customHeight="1" thickTop="1" thickBot="1" x14ac:dyDescent="0.4">
      <c r="B565" s="366"/>
      <c r="C565" s="452"/>
      <c r="D565" s="451"/>
      <c r="E565" s="454"/>
      <c r="F565" s="539"/>
      <c r="G565" s="540"/>
      <c r="H565" s="582"/>
      <c r="I565" s="446"/>
    </row>
    <row r="566" spans="2:9" ht="26.1" hidden="1" customHeight="1" thickTop="1" thickBot="1" x14ac:dyDescent="0.4">
      <c r="B566" s="366"/>
      <c r="C566" s="452"/>
      <c r="D566" s="451"/>
      <c r="E566" s="454"/>
      <c r="F566" s="539"/>
      <c r="G566" s="540"/>
      <c r="H566" s="582"/>
      <c r="I566" s="446"/>
    </row>
    <row r="567" spans="2:9" ht="26.1" hidden="1" customHeight="1" thickTop="1" thickBot="1" x14ac:dyDescent="0.4">
      <c r="B567" s="366"/>
      <c r="C567" s="452"/>
      <c r="D567" s="451"/>
      <c r="E567" s="454"/>
      <c r="F567" s="539"/>
      <c r="G567" s="540"/>
      <c r="H567" s="582"/>
      <c r="I567" s="446"/>
    </row>
    <row r="568" spans="2:9" ht="26.1" hidden="1" customHeight="1" thickTop="1" thickBot="1" x14ac:dyDescent="0.4">
      <c r="B568" s="366"/>
      <c r="C568" s="452"/>
      <c r="D568" s="451"/>
      <c r="E568" s="454"/>
      <c r="F568" s="539"/>
      <c r="G568" s="540"/>
      <c r="H568" s="582"/>
      <c r="I568" s="446"/>
    </row>
    <row r="569" spans="2:9" ht="26.1" hidden="1" customHeight="1" thickTop="1" thickBot="1" x14ac:dyDescent="0.4">
      <c r="B569" s="366"/>
      <c r="C569" s="452"/>
      <c r="D569" s="451"/>
      <c r="E569" s="454"/>
      <c r="F569" s="539"/>
      <c r="G569" s="540"/>
      <c r="H569" s="582"/>
      <c r="I569" s="446"/>
    </row>
    <row r="570" spans="2:9" ht="26.1" hidden="1" customHeight="1" thickTop="1" thickBot="1" x14ac:dyDescent="0.4">
      <c r="B570" s="366"/>
      <c r="C570" s="452"/>
      <c r="D570" s="451"/>
      <c r="E570" s="454"/>
      <c r="F570" s="539"/>
      <c r="G570" s="540"/>
      <c r="H570" s="582"/>
      <c r="I570" s="446"/>
    </row>
    <row r="571" spans="2:9" ht="26.1" hidden="1" customHeight="1" thickTop="1" thickBot="1" x14ac:dyDescent="0.4">
      <c r="B571" s="366"/>
      <c r="C571" s="452"/>
      <c r="D571" s="451"/>
      <c r="E571" s="454"/>
      <c r="F571" s="539"/>
      <c r="G571" s="540"/>
      <c r="H571" s="582"/>
      <c r="I571" s="446"/>
    </row>
    <row r="572" spans="2:9" ht="26.1" hidden="1" customHeight="1" thickTop="1" thickBot="1" x14ac:dyDescent="0.4">
      <c r="B572" s="366"/>
      <c r="C572" s="452"/>
      <c r="D572" s="451"/>
      <c r="E572" s="454"/>
      <c r="F572" s="539"/>
      <c r="G572" s="540"/>
      <c r="H572" s="582"/>
      <c r="I572" s="446"/>
    </row>
    <row r="573" spans="2:9" ht="26.1" hidden="1" customHeight="1" thickTop="1" thickBot="1" x14ac:dyDescent="0.4">
      <c r="B573" s="366"/>
      <c r="C573" s="452"/>
      <c r="D573" s="451"/>
      <c r="E573" s="454"/>
      <c r="F573" s="539"/>
      <c r="G573" s="540"/>
      <c r="H573" s="582"/>
      <c r="I573" s="446"/>
    </row>
    <row r="574" spans="2:9" ht="26.1" hidden="1" customHeight="1" thickTop="1" thickBot="1" x14ac:dyDescent="0.4">
      <c r="B574" s="366"/>
      <c r="C574" s="452"/>
      <c r="D574" s="451"/>
      <c r="E574" s="454"/>
      <c r="F574" s="539"/>
      <c r="G574" s="540"/>
      <c r="H574" s="582"/>
      <c r="I574" s="446"/>
    </row>
    <row r="575" spans="2:9" ht="26.1" hidden="1" customHeight="1" thickTop="1" thickBot="1" x14ac:dyDescent="0.4">
      <c r="B575" s="366"/>
      <c r="C575" s="452"/>
      <c r="D575" s="451"/>
      <c r="E575" s="454"/>
      <c r="F575" s="539"/>
      <c r="G575" s="540"/>
      <c r="H575" s="582"/>
      <c r="I575" s="446"/>
    </row>
    <row r="576" spans="2:9" ht="26.1" hidden="1" customHeight="1" thickTop="1" thickBot="1" x14ac:dyDescent="0.4">
      <c r="B576" s="366"/>
      <c r="C576" s="452"/>
      <c r="D576" s="451"/>
      <c r="E576" s="454"/>
      <c r="F576" s="539"/>
      <c r="G576" s="540"/>
      <c r="H576" s="582"/>
      <c r="I576" s="446"/>
    </row>
    <row r="577" spans="2:9" ht="26.1" hidden="1" customHeight="1" thickTop="1" thickBot="1" x14ac:dyDescent="0.4">
      <c r="B577" s="366"/>
      <c r="C577" s="452"/>
      <c r="D577" s="451"/>
      <c r="E577" s="454"/>
      <c r="F577" s="539"/>
      <c r="G577" s="540"/>
      <c r="H577" s="582"/>
      <c r="I577" s="446"/>
    </row>
    <row r="578" spans="2:9" ht="26.1" hidden="1" customHeight="1" thickTop="1" thickBot="1" x14ac:dyDescent="0.4">
      <c r="B578" s="366"/>
      <c r="C578" s="452"/>
      <c r="D578" s="451"/>
      <c r="E578" s="454"/>
      <c r="F578" s="539"/>
      <c r="G578" s="540"/>
      <c r="H578" s="582"/>
      <c r="I578" s="446"/>
    </row>
    <row r="579" spans="2:9" ht="26.1" hidden="1" customHeight="1" thickTop="1" thickBot="1" x14ac:dyDescent="0.4">
      <c r="B579" s="366"/>
      <c r="C579" s="452"/>
      <c r="D579" s="451"/>
      <c r="E579" s="454"/>
      <c r="F579" s="539"/>
      <c r="G579" s="540"/>
      <c r="H579" s="582"/>
      <c r="I579" s="446"/>
    </row>
    <row r="580" spans="2:9" ht="26.1" hidden="1" customHeight="1" thickTop="1" thickBot="1" x14ac:dyDescent="0.4">
      <c r="B580" s="366"/>
      <c r="C580" s="452"/>
      <c r="D580" s="451"/>
      <c r="E580" s="454"/>
      <c r="F580" s="539"/>
      <c r="G580" s="540"/>
      <c r="H580" s="582"/>
      <c r="I580" s="446"/>
    </row>
    <row r="581" spans="2:9" ht="26.1" hidden="1" customHeight="1" thickTop="1" thickBot="1" x14ac:dyDescent="0.4">
      <c r="B581" s="366"/>
      <c r="C581" s="452"/>
      <c r="D581" s="451"/>
      <c r="E581" s="454"/>
      <c r="F581" s="539"/>
      <c r="G581" s="540"/>
      <c r="H581" s="582"/>
      <c r="I581" s="446"/>
    </row>
    <row r="582" spans="2:9" ht="26.1" hidden="1" customHeight="1" thickTop="1" thickBot="1" x14ac:dyDescent="0.4">
      <c r="B582" s="366"/>
      <c r="C582" s="452"/>
      <c r="D582" s="451"/>
      <c r="E582" s="454"/>
      <c r="F582" s="539"/>
      <c r="G582" s="540"/>
      <c r="H582" s="582"/>
      <c r="I582" s="446"/>
    </row>
    <row r="583" spans="2:9" ht="26.1" hidden="1" customHeight="1" thickTop="1" thickBot="1" x14ac:dyDescent="0.4">
      <c r="B583" s="366"/>
      <c r="C583" s="452"/>
      <c r="D583" s="451"/>
      <c r="E583" s="454"/>
      <c r="F583" s="539"/>
      <c r="G583" s="540"/>
      <c r="H583" s="582"/>
      <c r="I583" s="446"/>
    </row>
    <row r="584" spans="2:9" ht="26.1" hidden="1" customHeight="1" thickTop="1" thickBot="1" x14ac:dyDescent="0.4">
      <c r="B584" s="366"/>
      <c r="C584" s="452"/>
      <c r="D584" s="451"/>
      <c r="E584" s="454"/>
      <c r="F584" s="539"/>
      <c r="G584" s="540"/>
      <c r="H584" s="582"/>
      <c r="I584" s="446"/>
    </row>
    <row r="585" spans="2:9" ht="26.1" hidden="1" customHeight="1" thickTop="1" thickBot="1" x14ac:dyDescent="0.4">
      <c r="B585" s="366"/>
      <c r="C585" s="452"/>
      <c r="D585" s="451"/>
      <c r="E585" s="454"/>
      <c r="F585" s="539"/>
      <c r="G585" s="540"/>
      <c r="H585" s="582"/>
      <c r="I585" s="446"/>
    </row>
    <row r="586" spans="2:9" ht="26.1" hidden="1" customHeight="1" thickTop="1" thickBot="1" x14ac:dyDescent="0.4">
      <c r="B586" s="366"/>
      <c r="C586" s="452"/>
      <c r="D586" s="451"/>
      <c r="E586" s="454"/>
      <c r="F586" s="539"/>
      <c r="G586" s="540"/>
      <c r="H586" s="582"/>
      <c r="I586" s="446"/>
    </row>
    <row r="587" spans="2:9" ht="26.1" hidden="1" customHeight="1" thickTop="1" thickBot="1" x14ac:dyDescent="0.4">
      <c r="B587" s="366"/>
      <c r="C587" s="452"/>
      <c r="D587" s="451"/>
      <c r="E587" s="454"/>
      <c r="F587" s="539"/>
      <c r="G587" s="540"/>
      <c r="H587" s="582"/>
      <c r="I587" s="446"/>
    </row>
    <row r="588" spans="2:9" ht="26.1" hidden="1" customHeight="1" thickTop="1" thickBot="1" x14ac:dyDescent="0.4">
      <c r="B588" s="366"/>
      <c r="C588" s="452"/>
      <c r="D588" s="451"/>
      <c r="E588" s="454"/>
      <c r="F588" s="539"/>
      <c r="G588" s="540"/>
      <c r="H588" s="582"/>
      <c r="I588" s="446"/>
    </row>
    <row r="589" spans="2:9" ht="26.1" hidden="1" customHeight="1" thickTop="1" thickBot="1" x14ac:dyDescent="0.4">
      <c r="B589" s="366"/>
      <c r="C589" s="452"/>
      <c r="D589" s="451"/>
      <c r="E589" s="454"/>
      <c r="F589" s="539"/>
      <c r="G589" s="540"/>
      <c r="H589" s="582"/>
      <c r="I589" s="446"/>
    </row>
    <row r="590" spans="2:9" ht="26.1" hidden="1" customHeight="1" thickTop="1" thickBot="1" x14ac:dyDescent="0.4">
      <c r="B590" s="366"/>
      <c r="C590" s="452"/>
      <c r="D590" s="451"/>
      <c r="E590" s="454"/>
      <c r="F590" s="539"/>
      <c r="G590" s="540"/>
      <c r="H590" s="582"/>
      <c r="I590" s="446"/>
    </row>
    <row r="591" spans="2:9" ht="26.1" hidden="1" customHeight="1" thickTop="1" thickBot="1" x14ac:dyDescent="0.4">
      <c r="B591" s="366"/>
      <c r="C591" s="452"/>
      <c r="D591" s="451"/>
      <c r="E591" s="454"/>
      <c r="F591" s="539"/>
      <c r="G591" s="540"/>
      <c r="H591" s="582"/>
      <c r="I591" s="446"/>
    </row>
    <row r="592" spans="2:9" ht="26.1" hidden="1" customHeight="1" thickTop="1" thickBot="1" x14ac:dyDescent="0.4">
      <c r="B592" s="366"/>
      <c r="C592" s="452"/>
      <c r="D592" s="451"/>
      <c r="E592" s="454"/>
      <c r="F592" s="539"/>
      <c r="G592" s="540"/>
      <c r="H592" s="582"/>
      <c r="I592" s="446"/>
    </row>
    <row r="593" spans="2:9" ht="26.1" hidden="1" customHeight="1" thickTop="1" thickBot="1" x14ac:dyDescent="0.4">
      <c r="B593" s="366"/>
      <c r="C593" s="452"/>
      <c r="D593" s="451"/>
      <c r="E593" s="454"/>
      <c r="F593" s="539"/>
      <c r="G593" s="540"/>
      <c r="H593" s="582"/>
      <c r="I593" s="446"/>
    </row>
    <row r="594" spans="2:9" ht="26.1" hidden="1" customHeight="1" thickTop="1" thickBot="1" x14ac:dyDescent="0.4">
      <c r="B594" s="366"/>
      <c r="C594" s="452"/>
      <c r="D594" s="451"/>
      <c r="E594" s="454"/>
      <c r="F594" s="539"/>
      <c r="G594" s="540"/>
      <c r="H594" s="582"/>
      <c r="I594" s="446"/>
    </row>
    <row r="595" spans="2:9" ht="26.1" hidden="1" customHeight="1" thickTop="1" thickBot="1" x14ac:dyDescent="0.4">
      <c r="B595" s="366"/>
      <c r="C595" s="452"/>
      <c r="D595" s="451"/>
      <c r="E595" s="454"/>
      <c r="F595" s="539"/>
      <c r="G595" s="540"/>
      <c r="H595" s="582"/>
      <c r="I595" s="446"/>
    </row>
    <row r="596" spans="2:9" ht="26.1" hidden="1" customHeight="1" thickTop="1" thickBot="1" x14ac:dyDescent="0.4">
      <c r="B596" s="366"/>
      <c r="C596" s="452"/>
      <c r="D596" s="451"/>
      <c r="E596" s="454"/>
      <c r="F596" s="539"/>
      <c r="G596" s="540"/>
      <c r="H596" s="582"/>
      <c r="I596" s="446"/>
    </row>
    <row r="597" spans="2:9" ht="26.1" hidden="1" customHeight="1" thickTop="1" thickBot="1" x14ac:dyDescent="0.4">
      <c r="B597" s="366"/>
      <c r="C597" s="452"/>
      <c r="D597" s="451"/>
      <c r="E597" s="454"/>
      <c r="F597" s="539"/>
      <c r="G597" s="540"/>
      <c r="H597" s="582"/>
      <c r="I597" s="446"/>
    </row>
    <row r="598" spans="2:9" ht="26.1" hidden="1" customHeight="1" thickTop="1" thickBot="1" x14ac:dyDescent="0.4">
      <c r="B598" s="366"/>
      <c r="C598" s="452"/>
      <c r="D598" s="451"/>
      <c r="E598" s="454"/>
      <c r="F598" s="539"/>
      <c r="G598" s="540"/>
      <c r="H598" s="582"/>
      <c r="I598" s="446"/>
    </row>
    <row r="599" spans="2:9" ht="26.1" hidden="1" customHeight="1" thickTop="1" thickBot="1" x14ac:dyDescent="0.4">
      <c r="B599" s="366"/>
      <c r="C599" s="452"/>
      <c r="D599" s="451"/>
      <c r="E599" s="454"/>
      <c r="F599" s="539"/>
      <c r="G599" s="540"/>
      <c r="H599" s="582"/>
      <c r="I599" s="446"/>
    </row>
    <row r="600" spans="2:9" ht="26.1" hidden="1" customHeight="1" thickTop="1" thickBot="1" x14ac:dyDescent="0.4">
      <c r="B600" s="366"/>
      <c r="C600" s="452"/>
      <c r="D600" s="451"/>
      <c r="E600" s="454"/>
      <c r="F600" s="539"/>
      <c r="G600" s="540"/>
      <c r="H600" s="582"/>
      <c r="I600" s="446"/>
    </row>
    <row r="601" spans="2:9" ht="26.1" hidden="1" customHeight="1" thickTop="1" thickBot="1" x14ac:dyDescent="0.4">
      <c r="B601" s="366"/>
      <c r="C601" s="452"/>
      <c r="D601" s="451"/>
      <c r="E601" s="454"/>
      <c r="F601" s="539"/>
      <c r="G601" s="540"/>
      <c r="H601" s="582"/>
      <c r="I601" s="446"/>
    </row>
    <row r="602" spans="2:9" ht="26.1" hidden="1" customHeight="1" thickTop="1" thickBot="1" x14ac:dyDescent="0.4">
      <c r="B602" s="366"/>
      <c r="C602" s="452"/>
      <c r="D602" s="451"/>
      <c r="E602" s="454"/>
      <c r="F602" s="539"/>
      <c r="G602" s="540"/>
      <c r="H602" s="582"/>
      <c r="I602" s="446"/>
    </row>
    <row r="603" spans="2:9" ht="26.1" hidden="1" customHeight="1" thickTop="1" thickBot="1" x14ac:dyDescent="0.4">
      <c r="B603" s="366"/>
      <c r="C603" s="452"/>
      <c r="D603" s="451"/>
      <c r="E603" s="454"/>
      <c r="F603" s="539"/>
      <c r="G603" s="540"/>
      <c r="H603" s="582"/>
      <c r="I603" s="446"/>
    </row>
    <row r="604" spans="2:9" ht="26.1" hidden="1" customHeight="1" thickTop="1" thickBot="1" x14ac:dyDescent="0.4">
      <c r="B604" s="366"/>
      <c r="C604" s="452"/>
      <c r="D604" s="451"/>
      <c r="E604" s="454"/>
      <c r="F604" s="539"/>
      <c r="G604" s="540"/>
      <c r="H604" s="582"/>
      <c r="I604" s="446"/>
    </row>
    <row r="605" spans="2:9" ht="26.1" hidden="1" customHeight="1" thickTop="1" thickBot="1" x14ac:dyDescent="0.4">
      <c r="B605" s="366"/>
      <c r="C605" s="452"/>
      <c r="D605" s="451"/>
      <c r="E605" s="454"/>
      <c r="F605" s="539"/>
      <c r="G605" s="540"/>
      <c r="H605" s="582"/>
      <c r="I605" s="446"/>
    </row>
    <row r="606" spans="2:9" ht="26.1" hidden="1" customHeight="1" thickTop="1" thickBot="1" x14ac:dyDescent="0.4">
      <c r="B606" s="366"/>
      <c r="C606" s="452"/>
      <c r="D606" s="451"/>
      <c r="E606" s="454"/>
      <c r="F606" s="539"/>
      <c r="G606" s="540"/>
      <c r="H606" s="582"/>
      <c r="I606" s="446"/>
    </row>
    <row r="607" spans="2:9" ht="26.1" hidden="1" customHeight="1" thickTop="1" thickBot="1" x14ac:dyDescent="0.4">
      <c r="B607" s="366"/>
      <c r="C607" s="452"/>
      <c r="D607" s="451"/>
      <c r="E607" s="454"/>
      <c r="F607" s="539"/>
      <c r="G607" s="540"/>
      <c r="H607" s="582"/>
      <c r="I607" s="446"/>
    </row>
    <row r="608" spans="2:9" ht="26.1" hidden="1" customHeight="1" thickTop="1" thickBot="1" x14ac:dyDescent="0.4">
      <c r="B608" s="366"/>
      <c r="C608" s="452"/>
      <c r="D608" s="451"/>
      <c r="E608" s="454"/>
      <c r="F608" s="539"/>
      <c r="G608" s="540"/>
      <c r="H608" s="582"/>
      <c r="I608" s="446"/>
    </row>
    <row r="609" spans="2:9" ht="26.1" hidden="1" customHeight="1" thickTop="1" thickBot="1" x14ac:dyDescent="0.4">
      <c r="B609" s="366"/>
      <c r="C609" s="452"/>
      <c r="D609" s="451"/>
      <c r="E609" s="454"/>
      <c r="F609" s="539"/>
      <c r="G609" s="540"/>
      <c r="H609" s="582"/>
      <c r="I609" s="446"/>
    </row>
    <row r="610" spans="2:9" ht="26.1" hidden="1" customHeight="1" thickTop="1" thickBot="1" x14ac:dyDescent="0.4">
      <c r="B610" s="366"/>
      <c r="C610" s="452"/>
      <c r="D610" s="451"/>
      <c r="E610" s="454"/>
      <c r="F610" s="539"/>
      <c r="G610" s="540"/>
      <c r="H610" s="582"/>
      <c r="I610" s="446"/>
    </row>
    <row r="611" spans="2:9" ht="26.1" hidden="1" customHeight="1" thickTop="1" thickBot="1" x14ac:dyDescent="0.4">
      <c r="B611" s="366"/>
      <c r="C611" s="452"/>
      <c r="D611" s="451"/>
      <c r="E611" s="454"/>
      <c r="F611" s="539"/>
      <c r="G611" s="540"/>
      <c r="H611" s="582"/>
      <c r="I611" s="446"/>
    </row>
    <row r="612" spans="2:9" ht="26.1" hidden="1" customHeight="1" thickTop="1" thickBot="1" x14ac:dyDescent="0.4">
      <c r="B612" s="366"/>
      <c r="C612" s="452"/>
      <c r="D612" s="451"/>
      <c r="E612" s="454"/>
      <c r="F612" s="539"/>
      <c r="G612" s="540"/>
      <c r="H612" s="582"/>
      <c r="I612" s="446"/>
    </row>
    <row r="613" spans="2:9" ht="26.1" hidden="1" customHeight="1" thickTop="1" thickBot="1" x14ac:dyDescent="0.4">
      <c r="B613" s="366"/>
      <c r="C613" s="452"/>
      <c r="D613" s="451"/>
      <c r="E613" s="454"/>
      <c r="F613" s="539"/>
      <c r="G613" s="540"/>
      <c r="H613" s="582"/>
      <c r="I613" s="446"/>
    </row>
    <row r="614" spans="2:9" ht="26.1" hidden="1" customHeight="1" thickTop="1" thickBot="1" x14ac:dyDescent="0.4">
      <c r="B614" s="366"/>
      <c r="C614" s="452"/>
      <c r="D614" s="451"/>
      <c r="E614" s="454"/>
      <c r="F614" s="539"/>
      <c r="G614" s="540"/>
      <c r="H614" s="582"/>
      <c r="I614" s="446"/>
    </row>
    <row r="615" spans="2:9" ht="26.1" hidden="1" customHeight="1" thickTop="1" thickBot="1" x14ac:dyDescent="0.4">
      <c r="B615" s="366"/>
      <c r="C615" s="452"/>
      <c r="D615" s="451"/>
      <c r="E615" s="454"/>
      <c r="F615" s="539"/>
      <c r="G615" s="540"/>
      <c r="H615" s="582"/>
      <c r="I615" s="446"/>
    </row>
    <row r="616" spans="2:9" ht="26.1" hidden="1" customHeight="1" thickTop="1" thickBot="1" x14ac:dyDescent="0.4">
      <c r="B616" s="366"/>
      <c r="C616" s="452"/>
      <c r="D616" s="451"/>
      <c r="E616" s="454"/>
      <c r="F616" s="539"/>
      <c r="G616" s="540"/>
      <c r="H616" s="582"/>
      <c r="I616" s="446"/>
    </row>
    <row r="617" spans="2:9" ht="26.1" hidden="1" customHeight="1" thickTop="1" thickBot="1" x14ac:dyDescent="0.4">
      <c r="B617" s="366"/>
      <c r="C617" s="452"/>
      <c r="D617" s="451"/>
      <c r="E617" s="454"/>
      <c r="F617" s="539"/>
      <c r="G617" s="540"/>
      <c r="H617" s="582"/>
      <c r="I617" s="446"/>
    </row>
    <row r="618" spans="2:9" ht="26.1" hidden="1" customHeight="1" thickTop="1" thickBot="1" x14ac:dyDescent="0.4">
      <c r="B618" s="366"/>
      <c r="C618" s="452"/>
      <c r="D618" s="451"/>
      <c r="E618" s="454"/>
      <c r="F618" s="539"/>
      <c r="G618" s="540"/>
      <c r="H618" s="582"/>
      <c r="I618" s="446"/>
    </row>
    <row r="619" spans="2:9" ht="26.1" hidden="1" customHeight="1" thickTop="1" thickBot="1" x14ac:dyDescent="0.4">
      <c r="B619" s="366"/>
      <c r="C619" s="452"/>
      <c r="D619" s="451"/>
      <c r="E619" s="454"/>
      <c r="F619" s="539"/>
      <c r="G619" s="540"/>
      <c r="H619" s="582"/>
      <c r="I619" s="446"/>
    </row>
    <row r="620" spans="2:9" ht="26.1" hidden="1" customHeight="1" thickTop="1" thickBot="1" x14ac:dyDescent="0.4">
      <c r="B620" s="366"/>
      <c r="C620" s="452"/>
      <c r="D620" s="451"/>
      <c r="E620" s="454"/>
      <c r="F620" s="539"/>
      <c r="G620" s="540"/>
      <c r="H620" s="582"/>
      <c r="I620" s="446"/>
    </row>
    <row r="621" spans="2:9" ht="26.1" hidden="1" customHeight="1" thickTop="1" thickBot="1" x14ac:dyDescent="0.4">
      <c r="B621" s="366"/>
      <c r="C621" s="452"/>
      <c r="D621" s="451"/>
      <c r="E621" s="454"/>
      <c r="F621" s="539"/>
      <c r="G621" s="540"/>
      <c r="H621" s="582"/>
      <c r="I621" s="446"/>
    </row>
    <row r="622" spans="2:9" ht="26.1" hidden="1" customHeight="1" thickTop="1" thickBot="1" x14ac:dyDescent="0.4">
      <c r="B622" s="366"/>
      <c r="C622" s="452"/>
      <c r="D622" s="451"/>
      <c r="E622" s="454"/>
      <c r="F622" s="539"/>
      <c r="G622" s="540"/>
      <c r="H622" s="582"/>
      <c r="I622" s="446"/>
    </row>
    <row r="623" spans="2:9" ht="26.1" hidden="1" customHeight="1" thickTop="1" thickBot="1" x14ac:dyDescent="0.4">
      <c r="B623" s="366"/>
      <c r="C623" s="452"/>
      <c r="D623" s="451"/>
      <c r="E623" s="454"/>
      <c r="F623" s="539"/>
      <c r="G623" s="540"/>
      <c r="H623" s="582"/>
      <c r="I623" s="446"/>
    </row>
    <row r="624" spans="2:9" ht="26.1" hidden="1" customHeight="1" thickTop="1" thickBot="1" x14ac:dyDescent="0.4">
      <c r="B624" s="366"/>
      <c r="C624" s="452"/>
      <c r="D624" s="451"/>
      <c r="E624" s="454"/>
      <c r="F624" s="539"/>
      <c r="G624" s="540"/>
      <c r="H624" s="582"/>
      <c r="I624" s="446"/>
    </row>
    <row r="625" spans="2:9" ht="26.1" hidden="1" customHeight="1" thickTop="1" thickBot="1" x14ac:dyDescent="0.4">
      <c r="B625" s="366"/>
      <c r="C625" s="452"/>
      <c r="D625" s="451"/>
      <c r="E625" s="454"/>
      <c r="F625" s="539"/>
      <c r="G625" s="540"/>
      <c r="H625" s="582"/>
      <c r="I625" s="446"/>
    </row>
    <row r="626" spans="2:9" ht="26.1" hidden="1" customHeight="1" thickTop="1" thickBot="1" x14ac:dyDescent="0.4">
      <c r="B626" s="366"/>
      <c r="C626" s="452"/>
      <c r="D626" s="451"/>
      <c r="E626" s="454"/>
      <c r="F626" s="539"/>
      <c r="G626" s="540"/>
      <c r="H626" s="582"/>
      <c r="I626" s="446"/>
    </row>
    <row r="627" spans="2:9" ht="26.1" hidden="1" customHeight="1" thickTop="1" thickBot="1" x14ac:dyDescent="0.4">
      <c r="B627" s="366"/>
      <c r="C627" s="452"/>
      <c r="D627" s="451"/>
      <c r="E627" s="454"/>
      <c r="F627" s="539"/>
      <c r="G627" s="540"/>
      <c r="H627" s="582"/>
      <c r="I627" s="446"/>
    </row>
    <row r="628" spans="2:9" ht="26.1" hidden="1" customHeight="1" thickTop="1" thickBot="1" x14ac:dyDescent="0.4">
      <c r="B628" s="366"/>
      <c r="C628" s="452"/>
      <c r="D628" s="451"/>
      <c r="E628" s="454"/>
      <c r="F628" s="539"/>
      <c r="G628" s="540"/>
      <c r="H628" s="582"/>
      <c r="I628" s="446"/>
    </row>
    <row r="629" spans="2:9" ht="26.1" hidden="1" customHeight="1" thickTop="1" thickBot="1" x14ac:dyDescent="0.4">
      <c r="B629" s="366"/>
      <c r="C629" s="452"/>
      <c r="D629" s="451"/>
      <c r="E629" s="454"/>
      <c r="F629" s="539"/>
      <c r="G629" s="540"/>
      <c r="H629" s="582"/>
      <c r="I629" s="446"/>
    </row>
    <row r="630" spans="2:9" ht="26.1" hidden="1" customHeight="1" thickTop="1" thickBot="1" x14ac:dyDescent="0.4">
      <c r="B630" s="366"/>
      <c r="C630" s="452"/>
      <c r="D630" s="451"/>
      <c r="E630" s="454"/>
      <c r="F630" s="539"/>
      <c r="G630" s="540"/>
      <c r="H630" s="582"/>
      <c r="I630" s="446"/>
    </row>
    <row r="631" spans="2:9" ht="26.1" hidden="1" customHeight="1" thickTop="1" thickBot="1" x14ac:dyDescent="0.4">
      <c r="B631" s="366"/>
      <c r="C631" s="452"/>
      <c r="D631" s="451"/>
      <c r="E631" s="454"/>
      <c r="F631" s="539"/>
      <c r="G631" s="540"/>
      <c r="H631" s="582"/>
      <c r="I631" s="446"/>
    </row>
    <row r="632" spans="2:9" ht="26.1" hidden="1" customHeight="1" thickTop="1" thickBot="1" x14ac:dyDescent="0.4">
      <c r="B632" s="366"/>
      <c r="C632" s="452"/>
      <c r="D632" s="451"/>
      <c r="E632" s="454"/>
      <c r="F632" s="539"/>
      <c r="G632" s="540"/>
      <c r="H632" s="582"/>
      <c r="I632" s="446"/>
    </row>
    <row r="633" spans="2:9" ht="26.1" hidden="1" customHeight="1" thickTop="1" thickBot="1" x14ac:dyDescent="0.4">
      <c r="B633" s="366"/>
      <c r="C633" s="452"/>
      <c r="D633" s="451"/>
      <c r="E633" s="454"/>
      <c r="F633" s="539"/>
      <c r="G633" s="540"/>
      <c r="H633" s="582"/>
      <c r="I633" s="446"/>
    </row>
    <row r="634" spans="2:9" ht="26.1" hidden="1" customHeight="1" thickTop="1" thickBot="1" x14ac:dyDescent="0.4">
      <c r="B634" s="366"/>
      <c r="C634" s="452"/>
      <c r="D634" s="451"/>
      <c r="E634" s="454"/>
      <c r="F634" s="539"/>
      <c r="G634" s="540"/>
      <c r="H634" s="582"/>
      <c r="I634" s="446"/>
    </row>
    <row r="635" spans="2:9" ht="26.1" hidden="1" customHeight="1" thickTop="1" thickBot="1" x14ac:dyDescent="0.4">
      <c r="B635" s="366"/>
      <c r="C635" s="452"/>
      <c r="D635" s="451"/>
      <c r="E635" s="454"/>
      <c r="F635" s="539"/>
      <c r="G635" s="540"/>
      <c r="H635" s="582"/>
      <c r="I635" s="446"/>
    </row>
    <row r="636" spans="2:9" ht="26.1" hidden="1" customHeight="1" thickTop="1" thickBot="1" x14ac:dyDescent="0.4">
      <c r="B636" s="366"/>
      <c r="C636" s="452"/>
      <c r="D636" s="451"/>
      <c r="E636" s="454"/>
      <c r="F636" s="539"/>
      <c r="G636" s="540"/>
      <c r="H636" s="582"/>
      <c r="I636" s="446"/>
    </row>
    <row r="637" spans="2:9" ht="26.1" hidden="1" customHeight="1" thickTop="1" thickBot="1" x14ac:dyDescent="0.4">
      <c r="B637" s="366"/>
      <c r="C637" s="452"/>
      <c r="D637" s="451"/>
      <c r="E637" s="454"/>
      <c r="F637" s="539"/>
      <c r="G637" s="540"/>
      <c r="H637" s="582"/>
      <c r="I637" s="446"/>
    </row>
    <row r="638" spans="2:9" ht="26.1" hidden="1" customHeight="1" thickTop="1" thickBot="1" x14ac:dyDescent="0.4">
      <c r="B638" s="366"/>
      <c r="C638" s="452"/>
      <c r="D638" s="451"/>
      <c r="E638" s="454"/>
      <c r="F638" s="539"/>
      <c r="G638" s="540"/>
      <c r="H638" s="582"/>
      <c r="I638" s="446"/>
    </row>
    <row r="639" spans="2:9" ht="26.1" hidden="1" customHeight="1" thickTop="1" thickBot="1" x14ac:dyDescent="0.4">
      <c r="B639" s="366"/>
      <c r="C639" s="452"/>
      <c r="D639" s="451"/>
      <c r="E639" s="454"/>
      <c r="F639" s="539"/>
      <c r="G639" s="540"/>
      <c r="H639" s="582"/>
      <c r="I639" s="446"/>
    </row>
    <row r="640" spans="2:9" ht="26.1" hidden="1" customHeight="1" thickTop="1" thickBot="1" x14ac:dyDescent="0.4">
      <c r="B640" s="366"/>
      <c r="C640" s="452"/>
      <c r="D640" s="451"/>
      <c r="E640" s="454"/>
      <c r="F640" s="539"/>
      <c r="G640" s="540"/>
      <c r="H640" s="582"/>
      <c r="I640" s="446"/>
    </row>
    <row r="641" spans="2:9" ht="26.1" hidden="1" customHeight="1" thickTop="1" thickBot="1" x14ac:dyDescent="0.4">
      <c r="B641" s="366"/>
      <c r="C641" s="452"/>
      <c r="D641" s="451"/>
      <c r="E641" s="454"/>
      <c r="F641" s="539"/>
      <c r="G641" s="540"/>
      <c r="H641" s="582"/>
      <c r="I641" s="446"/>
    </row>
    <row r="642" spans="2:9" ht="26.1" hidden="1" customHeight="1" thickTop="1" thickBot="1" x14ac:dyDescent="0.4">
      <c r="B642" s="366"/>
      <c r="C642" s="452"/>
      <c r="D642" s="451"/>
      <c r="E642" s="454"/>
      <c r="F642" s="539"/>
      <c r="G642" s="540"/>
      <c r="H642" s="582"/>
      <c r="I642" s="446"/>
    </row>
    <row r="643" spans="2:9" ht="26.1" hidden="1" customHeight="1" thickTop="1" thickBot="1" x14ac:dyDescent="0.4">
      <c r="B643" s="366"/>
      <c r="C643" s="452"/>
      <c r="D643" s="451"/>
      <c r="E643" s="454"/>
      <c r="F643" s="539"/>
      <c r="G643" s="540"/>
      <c r="H643" s="582"/>
      <c r="I643" s="446"/>
    </row>
    <row r="644" spans="2:9" ht="26.1" hidden="1" customHeight="1" thickTop="1" thickBot="1" x14ac:dyDescent="0.4">
      <c r="B644" s="366"/>
      <c r="C644" s="452"/>
      <c r="D644" s="451"/>
      <c r="E644" s="454"/>
      <c r="F644" s="539"/>
      <c r="G644" s="540"/>
      <c r="H644" s="582"/>
      <c r="I644" s="446"/>
    </row>
    <row r="645" spans="2:9" ht="26.1" hidden="1" customHeight="1" thickTop="1" thickBot="1" x14ac:dyDescent="0.4">
      <c r="B645" s="366"/>
      <c r="C645" s="452"/>
      <c r="D645" s="451"/>
      <c r="E645" s="454"/>
      <c r="F645" s="539"/>
      <c r="G645" s="540"/>
      <c r="H645" s="582"/>
      <c r="I645" s="446"/>
    </row>
    <row r="646" spans="2:9" ht="26.1" hidden="1" customHeight="1" thickTop="1" thickBot="1" x14ac:dyDescent="0.4">
      <c r="B646" s="366"/>
      <c r="C646" s="452"/>
      <c r="D646" s="451"/>
      <c r="E646" s="454"/>
      <c r="F646" s="539"/>
      <c r="G646" s="540"/>
      <c r="H646" s="582"/>
      <c r="I646" s="446"/>
    </row>
    <row r="647" spans="2:9" ht="26.1" hidden="1" customHeight="1" thickTop="1" thickBot="1" x14ac:dyDescent="0.4">
      <c r="B647" s="366"/>
      <c r="C647" s="452"/>
      <c r="D647" s="451"/>
      <c r="E647" s="454"/>
      <c r="F647" s="539"/>
      <c r="G647" s="540"/>
      <c r="H647" s="582"/>
      <c r="I647" s="446"/>
    </row>
    <row r="648" spans="2:9" ht="26.1" hidden="1" customHeight="1" thickTop="1" thickBot="1" x14ac:dyDescent="0.4">
      <c r="B648" s="366"/>
      <c r="C648" s="452"/>
      <c r="D648" s="451"/>
      <c r="E648" s="454"/>
      <c r="F648" s="539"/>
      <c r="G648" s="540"/>
      <c r="H648" s="582"/>
      <c r="I648" s="446"/>
    </row>
    <row r="649" spans="2:9" ht="26.1" hidden="1" customHeight="1" thickTop="1" thickBot="1" x14ac:dyDescent="0.4">
      <c r="B649" s="366"/>
      <c r="C649" s="452"/>
      <c r="D649" s="451"/>
      <c r="E649" s="454"/>
      <c r="F649" s="539"/>
      <c r="G649" s="540"/>
      <c r="H649" s="582"/>
      <c r="I649" s="446"/>
    </row>
    <row r="650" spans="2:9" ht="26.1" hidden="1" customHeight="1" thickTop="1" thickBot="1" x14ac:dyDescent="0.4">
      <c r="B650" s="366"/>
      <c r="C650" s="452"/>
      <c r="D650" s="451"/>
      <c r="E650" s="454"/>
      <c r="F650" s="539"/>
      <c r="G650" s="540"/>
      <c r="H650" s="582"/>
      <c r="I650" s="446"/>
    </row>
    <row r="651" spans="2:9" ht="26.1" hidden="1" customHeight="1" thickTop="1" thickBot="1" x14ac:dyDescent="0.4">
      <c r="B651" s="366"/>
      <c r="C651" s="452"/>
      <c r="D651" s="451"/>
      <c r="E651" s="454"/>
      <c r="F651" s="539"/>
      <c r="G651" s="540"/>
      <c r="H651" s="582"/>
      <c r="I651" s="446"/>
    </row>
    <row r="652" spans="2:9" ht="26.1" hidden="1" customHeight="1" thickTop="1" thickBot="1" x14ac:dyDescent="0.4">
      <c r="B652" s="366"/>
      <c r="C652" s="452"/>
      <c r="D652" s="451"/>
      <c r="E652" s="454"/>
      <c r="F652" s="539"/>
      <c r="G652" s="540"/>
      <c r="H652" s="582"/>
      <c r="I652" s="446"/>
    </row>
    <row r="653" spans="2:9" ht="26.1" hidden="1" customHeight="1" thickTop="1" thickBot="1" x14ac:dyDescent="0.4">
      <c r="B653" s="366"/>
      <c r="C653" s="452"/>
      <c r="D653" s="451"/>
      <c r="E653" s="454"/>
      <c r="F653" s="539"/>
      <c r="G653" s="540"/>
      <c r="H653" s="582"/>
      <c r="I653" s="446"/>
    </row>
    <row r="654" spans="2:9" ht="26.1" hidden="1" customHeight="1" thickTop="1" thickBot="1" x14ac:dyDescent="0.4">
      <c r="B654" s="366"/>
      <c r="C654" s="452"/>
      <c r="D654" s="451"/>
      <c r="E654" s="454"/>
      <c r="F654" s="539"/>
      <c r="G654" s="540"/>
      <c r="H654" s="582"/>
      <c r="I654" s="446"/>
    </row>
    <row r="655" spans="2:9" ht="26.1" hidden="1" customHeight="1" thickTop="1" thickBot="1" x14ac:dyDescent="0.4">
      <c r="B655" s="366"/>
      <c r="C655" s="452"/>
      <c r="D655" s="451"/>
      <c r="E655" s="454"/>
      <c r="F655" s="539"/>
      <c r="G655" s="540"/>
      <c r="H655" s="582"/>
      <c r="I655" s="446"/>
    </row>
    <row r="656" spans="2:9" ht="26.1" hidden="1" customHeight="1" thickTop="1" thickBot="1" x14ac:dyDescent="0.4">
      <c r="B656" s="366"/>
      <c r="C656" s="452"/>
      <c r="D656" s="451"/>
      <c r="E656" s="454"/>
      <c r="F656" s="539"/>
      <c r="G656" s="540"/>
      <c r="H656" s="582"/>
      <c r="I656" s="446"/>
    </row>
    <row r="657" spans="2:9" ht="26.1" hidden="1" customHeight="1" thickTop="1" thickBot="1" x14ac:dyDescent="0.4">
      <c r="B657" s="366"/>
      <c r="C657" s="452"/>
      <c r="D657" s="451"/>
      <c r="E657" s="454"/>
      <c r="F657" s="539"/>
      <c r="G657" s="540"/>
      <c r="H657" s="582"/>
      <c r="I657" s="446"/>
    </row>
    <row r="658" spans="2:9" ht="26.1" hidden="1" customHeight="1" thickTop="1" thickBot="1" x14ac:dyDescent="0.4">
      <c r="B658" s="366"/>
      <c r="C658" s="452"/>
      <c r="D658" s="451"/>
      <c r="E658" s="454"/>
      <c r="F658" s="539"/>
      <c r="G658" s="540"/>
      <c r="H658" s="582"/>
      <c r="I658" s="446"/>
    </row>
    <row r="659" spans="2:9" ht="26.1" hidden="1" customHeight="1" thickTop="1" thickBot="1" x14ac:dyDescent="0.4">
      <c r="B659" s="366"/>
      <c r="C659" s="452"/>
      <c r="D659" s="451"/>
      <c r="E659" s="454"/>
      <c r="F659" s="539"/>
      <c r="G659" s="540"/>
      <c r="H659" s="582"/>
      <c r="I659" s="446"/>
    </row>
    <row r="660" spans="2:9" ht="26.1" hidden="1" customHeight="1" thickTop="1" thickBot="1" x14ac:dyDescent="0.4">
      <c r="B660" s="366"/>
      <c r="C660" s="452"/>
      <c r="D660" s="451"/>
      <c r="E660" s="454"/>
      <c r="F660" s="539"/>
      <c r="G660" s="540"/>
      <c r="H660" s="582"/>
      <c r="I660" s="446"/>
    </row>
    <row r="661" spans="2:9" ht="26.1" hidden="1" customHeight="1" thickTop="1" thickBot="1" x14ac:dyDescent="0.4">
      <c r="B661" s="366"/>
      <c r="C661" s="452"/>
      <c r="D661" s="451"/>
      <c r="E661" s="454"/>
      <c r="F661" s="539"/>
      <c r="G661" s="540"/>
      <c r="H661" s="582"/>
      <c r="I661" s="446"/>
    </row>
    <row r="662" spans="2:9" ht="26.1" hidden="1" customHeight="1" thickTop="1" thickBot="1" x14ac:dyDescent="0.4">
      <c r="B662" s="366"/>
      <c r="C662" s="452"/>
      <c r="D662" s="451"/>
      <c r="E662" s="454"/>
      <c r="F662" s="539"/>
      <c r="G662" s="540"/>
      <c r="H662" s="582"/>
      <c r="I662" s="446"/>
    </row>
    <row r="663" spans="2:9" ht="26.1" hidden="1" customHeight="1" thickTop="1" thickBot="1" x14ac:dyDescent="0.4">
      <c r="B663" s="366"/>
      <c r="C663" s="452"/>
      <c r="D663" s="451"/>
      <c r="E663" s="454"/>
      <c r="F663" s="539"/>
      <c r="G663" s="540"/>
      <c r="H663" s="582"/>
      <c r="I663" s="446"/>
    </row>
    <row r="664" spans="2:9" ht="26.1" hidden="1" customHeight="1" thickTop="1" thickBot="1" x14ac:dyDescent="0.4">
      <c r="B664" s="366"/>
      <c r="C664" s="452"/>
      <c r="D664" s="451"/>
      <c r="E664" s="454"/>
      <c r="F664" s="539"/>
      <c r="G664" s="540"/>
      <c r="H664" s="582"/>
      <c r="I664" s="446"/>
    </row>
    <row r="665" spans="2:9" ht="26.1" hidden="1" customHeight="1" thickTop="1" thickBot="1" x14ac:dyDescent="0.4">
      <c r="B665" s="366"/>
      <c r="C665" s="452"/>
      <c r="D665" s="451"/>
      <c r="E665" s="454"/>
      <c r="F665" s="539"/>
      <c r="G665" s="540"/>
      <c r="H665" s="582"/>
      <c r="I665" s="446"/>
    </row>
    <row r="666" spans="2:9" ht="26.1" hidden="1" customHeight="1" thickTop="1" thickBot="1" x14ac:dyDescent="0.4">
      <c r="B666" s="366"/>
      <c r="C666" s="452"/>
      <c r="D666" s="451"/>
      <c r="E666" s="454"/>
      <c r="F666" s="539"/>
      <c r="G666" s="540"/>
      <c r="H666" s="582"/>
      <c r="I666" s="446"/>
    </row>
    <row r="667" spans="2:9" ht="26.1" hidden="1" customHeight="1" thickTop="1" thickBot="1" x14ac:dyDescent="0.4">
      <c r="B667" s="366"/>
      <c r="C667" s="452"/>
      <c r="D667" s="451"/>
      <c r="E667" s="454"/>
      <c r="F667" s="539"/>
      <c r="G667" s="540"/>
      <c r="H667" s="582"/>
      <c r="I667" s="446"/>
    </row>
    <row r="668" spans="2:9" ht="26.1" hidden="1" customHeight="1" thickTop="1" thickBot="1" x14ac:dyDescent="0.4">
      <c r="B668" s="366"/>
      <c r="C668" s="452"/>
      <c r="D668" s="451"/>
      <c r="E668" s="454"/>
      <c r="F668" s="539"/>
      <c r="G668" s="540"/>
      <c r="H668" s="582"/>
      <c r="I668" s="446"/>
    </row>
    <row r="669" spans="2:9" ht="26.1" hidden="1" customHeight="1" thickTop="1" thickBot="1" x14ac:dyDescent="0.4">
      <c r="B669" s="366"/>
      <c r="C669" s="452"/>
      <c r="D669" s="451"/>
      <c r="E669" s="454"/>
      <c r="F669" s="539"/>
      <c r="G669" s="540"/>
      <c r="H669" s="582"/>
      <c r="I669" s="446"/>
    </row>
    <row r="670" spans="2:9" ht="26.1" hidden="1" customHeight="1" thickTop="1" thickBot="1" x14ac:dyDescent="0.4">
      <c r="B670" s="366"/>
      <c r="C670" s="452"/>
      <c r="D670" s="451"/>
      <c r="E670" s="454"/>
      <c r="F670" s="539"/>
      <c r="G670" s="540"/>
      <c r="H670" s="582"/>
      <c r="I670" s="446"/>
    </row>
    <row r="671" spans="2:9" ht="26.1" hidden="1" customHeight="1" thickTop="1" thickBot="1" x14ac:dyDescent="0.4">
      <c r="B671" s="366"/>
      <c r="C671" s="452"/>
      <c r="D671" s="451"/>
      <c r="E671" s="454"/>
      <c r="F671" s="539"/>
      <c r="G671" s="540"/>
      <c r="H671" s="582"/>
      <c r="I671" s="446"/>
    </row>
    <row r="672" spans="2:9" ht="26.1" hidden="1" customHeight="1" thickTop="1" thickBot="1" x14ac:dyDescent="0.4">
      <c r="B672" s="366"/>
      <c r="C672" s="452"/>
      <c r="D672" s="451"/>
      <c r="E672" s="454"/>
      <c r="F672" s="539"/>
      <c r="G672" s="540"/>
      <c r="H672" s="582"/>
      <c r="I672" s="446"/>
    </row>
    <row r="673" spans="2:9" ht="26.1" hidden="1" customHeight="1" thickTop="1" thickBot="1" x14ac:dyDescent="0.4">
      <c r="B673" s="366"/>
      <c r="C673" s="452"/>
      <c r="D673" s="451"/>
      <c r="E673" s="454"/>
      <c r="F673" s="539"/>
      <c r="G673" s="540"/>
      <c r="H673" s="582"/>
      <c r="I673" s="446"/>
    </row>
    <row r="674" spans="2:9" ht="26.1" hidden="1" customHeight="1" thickTop="1" thickBot="1" x14ac:dyDescent="0.4">
      <c r="B674" s="366"/>
      <c r="C674" s="452"/>
      <c r="D674" s="451"/>
      <c r="E674" s="454"/>
      <c r="F674" s="539"/>
      <c r="G674" s="540"/>
      <c r="H674" s="582"/>
      <c r="I674" s="446"/>
    </row>
    <row r="675" spans="2:9" ht="26.1" hidden="1" customHeight="1" thickTop="1" thickBot="1" x14ac:dyDescent="0.4">
      <c r="B675" s="366"/>
      <c r="C675" s="452"/>
      <c r="D675" s="451"/>
      <c r="E675" s="454"/>
      <c r="F675" s="539"/>
      <c r="G675" s="540"/>
      <c r="H675" s="582"/>
      <c r="I675" s="446"/>
    </row>
    <row r="676" spans="2:9" ht="26.1" hidden="1" customHeight="1" thickTop="1" thickBot="1" x14ac:dyDescent="0.4">
      <c r="B676" s="366"/>
      <c r="C676" s="452"/>
      <c r="D676" s="451"/>
      <c r="E676" s="454"/>
      <c r="F676" s="539"/>
      <c r="G676" s="540"/>
      <c r="H676" s="582"/>
      <c r="I676" s="446"/>
    </row>
    <row r="677" spans="2:9" ht="26.1" hidden="1" customHeight="1" thickTop="1" thickBot="1" x14ac:dyDescent="0.4">
      <c r="B677" s="366"/>
      <c r="C677" s="452"/>
      <c r="D677" s="451"/>
      <c r="E677" s="454"/>
      <c r="F677" s="539"/>
      <c r="G677" s="540"/>
      <c r="H677" s="582"/>
      <c r="I677" s="446"/>
    </row>
    <row r="678" spans="2:9" ht="26.1" hidden="1" customHeight="1" thickTop="1" thickBot="1" x14ac:dyDescent="0.4">
      <c r="B678" s="366"/>
      <c r="C678" s="452"/>
      <c r="D678" s="451"/>
      <c r="E678" s="454"/>
      <c r="F678" s="539"/>
      <c r="G678" s="540"/>
      <c r="H678" s="582"/>
      <c r="I678" s="446"/>
    </row>
    <row r="679" spans="2:9" ht="26.1" hidden="1" customHeight="1" thickTop="1" thickBot="1" x14ac:dyDescent="0.4">
      <c r="B679" s="366"/>
      <c r="C679" s="452"/>
      <c r="D679" s="451"/>
      <c r="E679" s="454"/>
      <c r="F679" s="539"/>
      <c r="G679" s="540"/>
      <c r="H679" s="582"/>
      <c r="I679" s="446"/>
    </row>
    <row r="680" spans="2:9" ht="26.1" hidden="1" customHeight="1" thickTop="1" thickBot="1" x14ac:dyDescent="0.4">
      <c r="B680" s="366"/>
      <c r="C680" s="452"/>
      <c r="D680" s="451"/>
      <c r="E680" s="454"/>
      <c r="F680" s="539"/>
      <c r="G680" s="540"/>
      <c r="H680" s="582"/>
      <c r="I680" s="446"/>
    </row>
    <row r="681" spans="2:9" ht="26.1" hidden="1" customHeight="1" thickTop="1" thickBot="1" x14ac:dyDescent="0.4">
      <c r="B681" s="366"/>
      <c r="C681" s="452"/>
      <c r="D681" s="451"/>
      <c r="E681" s="454"/>
      <c r="F681" s="539"/>
      <c r="G681" s="540"/>
      <c r="H681" s="582"/>
      <c r="I681" s="446"/>
    </row>
    <row r="682" spans="2:9" ht="26.1" hidden="1" customHeight="1" thickTop="1" thickBot="1" x14ac:dyDescent="0.4">
      <c r="B682" s="366"/>
      <c r="C682" s="452"/>
      <c r="D682" s="451"/>
      <c r="E682" s="454"/>
      <c r="F682" s="539"/>
      <c r="G682" s="540"/>
      <c r="H682" s="582"/>
      <c r="I682" s="446"/>
    </row>
    <row r="683" spans="2:9" ht="26.1" hidden="1" customHeight="1" thickTop="1" thickBot="1" x14ac:dyDescent="0.4">
      <c r="B683" s="366"/>
      <c r="C683" s="452"/>
      <c r="D683" s="451"/>
      <c r="E683" s="454"/>
      <c r="F683" s="539"/>
      <c r="G683" s="540"/>
      <c r="H683" s="582"/>
      <c r="I683" s="446"/>
    </row>
    <row r="684" spans="2:9" ht="26.1" hidden="1" customHeight="1" thickTop="1" thickBot="1" x14ac:dyDescent="0.4">
      <c r="B684" s="366"/>
      <c r="C684" s="452"/>
      <c r="D684" s="451"/>
      <c r="E684" s="454"/>
      <c r="F684" s="539"/>
      <c r="G684" s="540"/>
      <c r="H684" s="582"/>
      <c r="I684" s="446"/>
    </row>
    <row r="685" spans="2:9" ht="26.1" hidden="1" customHeight="1" thickTop="1" thickBot="1" x14ac:dyDescent="0.4">
      <c r="B685" s="366"/>
      <c r="C685" s="452"/>
      <c r="D685" s="451"/>
      <c r="E685" s="454"/>
      <c r="F685" s="539"/>
      <c r="G685" s="540"/>
      <c r="H685" s="582"/>
      <c r="I685" s="446"/>
    </row>
    <row r="686" spans="2:9" ht="26.1" hidden="1" customHeight="1" thickTop="1" thickBot="1" x14ac:dyDescent="0.4">
      <c r="B686" s="366"/>
      <c r="C686" s="452"/>
      <c r="D686" s="451"/>
      <c r="E686" s="454"/>
      <c r="F686" s="539"/>
      <c r="G686" s="540"/>
      <c r="H686" s="582"/>
      <c r="I686" s="446"/>
    </row>
    <row r="687" spans="2:9" ht="26.1" hidden="1" customHeight="1" thickTop="1" thickBot="1" x14ac:dyDescent="0.4">
      <c r="B687" s="366"/>
      <c r="C687" s="452"/>
      <c r="D687" s="451"/>
      <c r="E687" s="454"/>
      <c r="F687" s="539"/>
      <c r="G687" s="540"/>
      <c r="H687" s="582"/>
      <c r="I687" s="446"/>
    </row>
    <row r="688" spans="2:9" ht="26.1" hidden="1" customHeight="1" thickTop="1" thickBot="1" x14ac:dyDescent="0.4">
      <c r="B688" s="366"/>
      <c r="C688" s="452"/>
      <c r="D688" s="451"/>
      <c r="E688" s="454"/>
      <c r="F688" s="539"/>
      <c r="G688" s="540"/>
      <c r="H688" s="582"/>
      <c r="I688" s="446"/>
    </row>
    <row r="689" spans="2:9" ht="26.1" hidden="1" customHeight="1" thickTop="1" thickBot="1" x14ac:dyDescent="0.4">
      <c r="B689" s="366"/>
      <c r="C689" s="452"/>
      <c r="D689" s="451"/>
      <c r="E689" s="454"/>
      <c r="F689" s="539"/>
      <c r="G689" s="540"/>
      <c r="H689" s="582"/>
      <c r="I689" s="446"/>
    </row>
    <row r="690" spans="2:9" ht="26.1" hidden="1" customHeight="1" thickTop="1" thickBot="1" x14ac:dyDescent="0.4">
      <c r="B690" s="366"/>
      <c r="C690" s="452"/>
      <c r="D690" s="451"/>
      <c r="E690" s="454"/>
      <c r="F690" s="539"/>
      <c r="G690" s="540"/>
      <c r="H690" s="582"/>
      <c r="I690" s="446"/>
    </row>
    <row r="691" spans="2:9" ht="26.1" hidden="1" customHeight="1" thickTop="1" thickBot="1" x14ac:dyDescent="0.4">
      <c r="B691" s="366"/>
      <c r="C691" s="452"/>
      <c r="D691" s="451"/>
      <c r="E691" s="454"/>
      <c r="F691" s="539"/>
      <c r="G691" s="540"/>
      <c r="H691" s="582"/>
      <c r="I691" s="446"/>
    </row>
    <row r="692" spans="2:9" ht="26.1" hidden="1" customHeight="1" thickTop="1" thickBot="1" x14ac:dyDescent="0.4">
      <c r="B692" s="366"/>
      <c r="C692" s="452"/>
      <c r="D692" s="451"/>
      <c r="E692" s="454"/>
      <c r="F692" s="539"/>
      <c r="G692" s="540"/>
      <c r="H692" s="582"/>
      <c r="I692" s="446"/>
    </row>
    <row r="693" spans="2:9" ht="26.1" hidden="1" customHeight="1" thickTop="1" thickBot="1" x14ac:dyDescent="0.4">
      <c r="B693" s="366"/>
      <c r="C693" s="452"/>
      <c r="D693" s="451"/>
      <c r="E693" s="454"/>
      <c r="F693" s="539"/>
      <c r="G693" s="540"/>
      <c r="H693" s="582"/>
      <c r="I693" s="446"/>
    </row>
    <row r="694" spans="2:9" ht="26.1" hidden="1" customHeight="1" thickTop="1" thickBot="1" x14ac:dyDescent="0.4">
      <c r="B694" s="366"/>
      <c r="C694" s="452"/>
      <c r="D694" s="451"/>
      <c r="E694" s="454"/>
      <c r="F694" s="539"/>
      <c r="G694" s="540"/>
      <c r="H694" s="582"/>
      <c r="I694" s="446"/>
    </row>
    <row r="695" spans="2:9" ht="26.1" hidden="1" customHeight="1" thickTop="1" thickBot="1" x14ac:dyDescent="0.4">
      <c r="B695" s="366"/>
      <c r="C695" s="452"/>
      <c r="D695" s="451"/>
      <c r="E695" s="454"/>
      <c r="F695" s="539"/>
      <c r="G695" s="540"/>
      <c r="H695" s="582"/>
      <c r="I695" s="446"/>
    </row>
    <row r="696" spans="2:9" ht="26.1" hidden="1" customHeight="1" thickTop="1" thickBot="1" x14ac:dyDescent="0.4">
      <c r="B696" s="366"/>
      <c r="C696" s="452"/>
      <c r="D696" s="451"/>
      <c r="E696" s="454"/>
      <c r="F696" s="539"/>
      <c r="G696" s="540"/>
      <c r="H696" s="582"/>
      <c r="I696" s="446"/>
    </row>
    <row r="697" spans="2:9" ht="26.1" hidden="1" customHeight="1" thickTop="1" thickBot="1" x14ac:dyDescent="0.4">
      <c r="B697" s="366"/>
      <c r="C697" s="452"/>
      <c r="D697" s="451"/>
      <c r="E697" s="454"/>
      <c r="F697" s="539"/>
      <c r="G697" s="540"/>
      <c r="H697" s="582"/>
      <c r="I697" s="446"/>
    </row>
    <row r="698" spans="2:9" ht="26.1" hidden="1" customHeight="1" thickTop="1" thickBot="1" x14ac:dyDescent="0.4">
      <c r="B698" s="366"/>
      <c r="C698" s="452"/>
      <c r="D698" s="451"/>
      <c r="E698" s="454"/>
      <c r="F698" s="539"/>
      <c r="G698" s="540"/>
      <c r="H698" s="582"/>
      <c r="I698" s="446"/>
    </row>
    <row r="699" spans="2:9" ht="26.1" hidden="1" customHeight="1" thickTop="1" thickBot="1" x14ac:dyDescent="0.4">
      <c r="B699" s="366"/>
      <c r="C699" s="452"/>
      <c r="D699" s="451"/>
      <c r="E699" s="454"/>
      <c r="F699" s="539"/>
      <c r="G699" s="540"/>
      <c r="H699" s="582"/>
      <c r="I699" s="446"/>
    </row>
    <row r="700" spans="2:9" ht="26.1" hidden="1" customHeight="1" thickTop="1" thickBot="1" x14ac:dyDescent="0.4">
      <c r="B700" s="366"/>
      <c r="C700" s="452"/>
      <c r="D700" s="451"/>
      <c r="E700" s="454"/>
      <c r="F700" s="539"/>
      <c r="G700" s="540"/>
      <c r="H700" s="582"/>
      <c r="I700" s="446"/>
    </row>
    <row r="701" spans="2:9" ht="26.1" hidden="1" customHeight="1" thickTop="1" thickBot="1" x14ac:dyDescent="0.4">
      <c r="B701" s="366"/>
      <c r="C701" s="452"/>
      <c r="D701" s="451"/>
      <c r="E701" s="454"/>
      <c r="F701" s="539"/>
      <c r="G701" s="540"/>
      <c r="H701" s="582"/>
      <c r="I701" s="446"/>
    </row>
    <row r="702" spans="2:9" ht="26.1" hidden="1" customHeight="1" thickTop="1" thickBot="1" x14ac:dyDescent="0.4">
      <c r="B702" s="366"/>
      <c r="C702" s="452"/>
      <c r="D702" s="451"/>
      <c r="E702" s="454"/>
      <c r="F702" s="539"/>
      <c r="G702" s="540"/>
      <c r="H702" s="582"/>
      <c r="I702" s="446"/>
    </row>
    <row r="703" spans="2:9" ht="26.1" hidden="1" customHeight="1" thickTop="1" thickBot="1" x14ac:dyDescent="0.4">
      <c r="B703" s="366"/>
      <c r="C703" s="452"/>
      <c r="D703" s="451"/>
      <c r="E703" s="454"/>
      <c r="F703" s="539"/>
      <c r="G703" s="540"/>
      <c r="H703" s="582"/>
      <c r="I703" s="446"/>
    </row>
    <row r="704" spans="2:9" ht="26.1" hidden="1" customHeight="1" thickTop="1" thickBot="1" x14ac:dyDescent="0.4">
      <c r="B704" s="366"/>
      <c r="C704" s="452"/>
      <c r="D704" s="451"/>
      <c r="E704" s="454"/>
      <c r="F704" s="539"/>
      <c r="G704" s="540"/>
      <c r="H704" s="582"/>
      <c r="I704" s="446"/>
    </row>
    <row r="705" spans="2:9" ht="26.1" hidden="1" customHeight="1" thickTop="1" thickBot="1" x14ac:dyDescent="0.4">
      <c r="B705" s="366"/>
      <c r="C705" s="452"/>
      <c r="D705" s="451"/>
      <c r="E705" s="454"/>
      <c r="F705" s="539"/>
      <c r="G705" s="540"/>
      <c r="H705" s="582"/>
      <c r="I705" s="446"/>
    </row>
    <row r="706" spans="2:9" ht="26.1" hidden="1" customHeight="1" thickTop="1" thickBot="1" x14ac:dyDescent="0.4">
      <c r="B706" s="366"/>
      <c r="C706" s="452"/>
      <c r="D706" s="451"/>
      <c r="E706" s="454"/>
      <c r="F706" s="539"/>
      <c r="G706" s="540"/>
      <c r="H706" s="582"/>
      <c r="I706" s="446"/>
    </row>
    <row r="707" spans="2:9" ht="26.1" hidden="1" customHeight="1" thickTop="1" thickBot="1" x14ac:dyDescent="0.4">
      <c r="B707" s="366"/>
      <c r="C707" s="452"/>
      <c r="D707" s="451"/>
      <c r="E707" s="454"/>
      <c r="F707" s="539"/>
      <c r="G707" s="540"/>
      <c r="H707" s="582"/>
      <c r="I707" s="446"/>
    </row>
    <row r="708" spans="2:9" ht="26.1" hidden="1" customHeight="1" thickTop="1" thickBot="1" x14ac:dyDescent="0.4">
      <c r="B708" s="366"/>
      <c r="C708" s="452"/>
      <c r="D708" s="451"/>
      <c r="E708" s="454"/>
      <c r="F708" s="539"/>
      <c r="G708" s="540"/>
      <c r="H708" s="582"/>
      <c r="I708" s="446"/>
    </row>
    <row r="709" spans="2:9" ht="26.1" hidden="1" customHeight="1" thickTop="1" thickBot="1" x14ac:dyDescent="0.4">
      <c r="B709" s="366"/>
      <c r="C709" s="452"/>
      <c r="D709" s="451"/>
      <c r="E709" s="454"/>
      <c r="F709" s="539"/>
      <c r="G709" s="540"/>
      <c r="H709" s="582"/>
      <c r="I709" s="446"/>
    </row>
    <row r="710" spans="2:9" ht="26.1" hidden="1" customHeight="1" thickTop="1" thickBot="1" x14ac:dyDescent="0.4">
      <c r="B710" s="366"/>
      <c r="C710" s="452"/>
      <c r="D710" s="451"/>
      <c r="E710" s="454"/>
      <c r="F710" s="539"/>
      <c r="G710" s="540"/>
      <c r="H710" s="582"/>
      <c r="I710" s="446"/>
    </row>
    <row r="711" spans="2:9" ht="26.1" hidden="1" customHeight="1" thickTop="1" thickBot="1" x14ac:dyDescent="0.4">
      <c r="B711" s="366"/>
      <c r="C711" s="452"/>
      <c r="D711" s="451"/>
      <c r="E711" s="454"/>
      <c r="F711" s="539"/>
      <c r="G711" s="540"/>
      <c r="H711" s="582"/>
      <c r="I711" s="446"/>
    </row>
    <row r="712" spans="2:9" ht="26.1" hidden="1" customHeight="1" thickTop="1" thickBot="1" x14ac:dyDescent="0.4">
      <c r="B712" s="366"/>
      <c r="C712" s="452"/>
      <c r="D712" s="451"/>
      <c r="E712" s="454"/>
      <c r="F712" s="539"/>
      <c r="G712" s="540"/>
      <c r="H712" s="582"/>
      <c r="I712" s="446"/>
    </row>
    <row r="713" spans="2:9" ht="26.1" hidden="1" customHeight="1" thickTop="1" thickBot="1" x14ac:dyDescent="0.4">
      <c r="B713" s="366"/>
      <c r="C713" s="452"/>
      <c r="D713" s="451"/>
      <c r="E713" s="454"/>
      <c r="F713" s="539"/>
      <c r="G713" s="540"/>
      <c r="H713" s="582"/>
      <c r="I713" s="446"/>
    </row>
    <row r="714" spans="2:9" ht="26.1" hidden="1" customHeight="1" thickTop="1" thickBot="1" x14ac:dyDescent="0.4">
      <c r="B714" s="366"/>
      <c r="C714" s="452"/>
      <c r="D714" s="451"/>
      <c r="E714" s="454"/>
      <c r="F714" s="539"/>
      <c r="G714" s="540"/>
      <c r="H714" s="582"/>
      <c r="I714" s="446"/>
    </row>
    <row r="715" spans="2:9" ht="26.1" hidden="1" customHeight="1" thickTop="1" thickBot="1" x14ac:dyDescent="0.4">
      <c r="B715" s="366"/>
      <c r="C715" s="452"/>
      <c r="D715" s="451"/>
      <c r="E715" s="454"/>
      <c r="F715" s="539"/>
      <c r="G715" s="540"/>
      <c r="H715" s="582"/>
      <c r="I715" s="446"/>
    </row>
    <row r="716" spans="2:9" ht="26.1" hidden="1" customHeight="1" thickTop="1" thickBot="1" x14ac:dyDescent="0.4">
      <c r="B716" s="366"/>
      <c r="C716" s="452"/>
      <c r="D716" s="451"/>
      <c r="E716" s="454"/>
      <c r="F716" s="539"/>
      <c r="G716" s="540"/>
      <c r="H716" s="582"/>
      <c r="I716" s="446"/>
    </row>
    <row r="717" spans="2:9" ht="26.1" hidden="1" customHeight="1" thickTop="1" thickBot="1" x14ac:dyDescent="0.4">
      <c r="B717" s="366"/>
      <c r="C717" s="452"/>
      <c r="D717" s="451"/>
      <c r="E717" s="454"/>
      <c r="F717" s="539"/>
      <c r="G717" s="540"/>
      <c r="H717" s="582"/>
      <c r="I717" s="446"/>
    </row>
    <row r="718" spans="2:9" ht="26.1" hidden="1" customHeight="1" thickTop="1" thickBot="1" x14ac:dyDescent="0.4">
      <c r="B718" s="366"/>
      <c r="C718" s="452"/>
      <c r="D718" s="451"/>
      <c r="E718" s="454"/>
      <c r="F718" s="539"/>
      <c r="G718" s="540"/>
      <c r="H718" s="582"/>
      <c r="I718" s="446"/>
    </row>
    <row r="719" spans="2:9" ht="26.1" hidden="1" customHeight="1" thickTop="1" thickBot="1" x14ac:dyDescent="0.4">
      <c r="B719" s="366"/>
      <c r="C719" s="452"/>
      <c r="D719" s="451"/>
      <c r="E719" s="454"/>
      <c r="F719" s="539"/>
      <c r="G719" s="540"/>
      <c r="H719" s="582"/>
      <c r="I719" s="446"/>
    </row>
    <row r="720" spans="2:9" ht="26.1" hidden="1" customHeight="1" thickTop="1" thickBot="1" x14ac:dyDescent="0.4">
      <c r="B720" s="366"/>
      <c r="C720" s="452"/>
      <c r="D720" s="451"/>
      <c r="E720" s="454"/>
      <c r="F720" s="539"/>
      <c r="G720" s="540"/>
      <c r="H720" s="582"/>
      <c r="I720" s="446"/>
    </row>
    <row r="721" spans="2:9" ht="26.1" hidden="1" customHeight="1" thickTop="1" thickBot="1" x14ac:dyDescent="0.4">
      <c r="B721" s="366"/>
      <c r="C721" s="452"/>
      <c r="D721" s="451"/>
      <c r="E721" s="454"/>
      <c r="F721" s="539"/>
      <c r="G721" s="540"/>
      <c r="H721" s="582"/>
      <c r="I721" s="446"/>
    </row>
    <row r="722" spans="2:9" ht="26.1" hidden="1" customHeight="1" thickTop="1" thickBot="1" x14ac:dyDescent="0.4">
      <c r="B722" s="366"/>
      <c r="C722" s="452"/>
      <c r="D722" s="451"/>
      <c r="E722" s="454"/>
      <c r="F722" s="539"/>
      <c r="G722" s="540"/>
      <c r="H722" s="582"/>
      <c r="I722" s="446"/>
    </row>
    <row r="723" spans="2:9" ht="26.1" hidden="1" customHeight="1" thickTop="1" thickBot="1" x14ac:dyDescent="0.4">
      <c r="B723" s="366"/>
      <c r="C723" s="452"/>
      <c r="D723" s="451"/>
      <c r="E723" s="454"/>
      <c r="F723" s="539"/>
      <c r="G723" s="540"/>
      <c r="H723" s="582"/>
      <c r="I723" s="446"/>
    </row>
    <row r="724" spans="2:9" ht="26.1" hidden="1" customHeight="1" thickTop="1" thickBot="1" x14ac:dyDescent="0.4">
      <c r="B724" s="366"/>
      <c r="C724" s="452"/>
      <c r="D724" s="451"/>
      <c r="E724" s="454"/>
      <c r="F724" s="539"/>
      <c r="G724" s="540"/>
      <c r="H724" s="582"/>
      <c r="I724" s="446"/>
    </row>
    <row r="725" spans="2:9" ht="26.1" hidden="1" customHeight="1" thickTop="1" thickBot="1" x14ac:dyDescent="0.4">
      <c r="B725" s="366"/>
      <c r="C725" s="452"/>
      <c r="D725" s="451"/>
      <c r="E725" s="454"/>
      <c r="F725" s="539"/>
      <c r="G725" s="540"/>
      <c r="H725" s="582"/>
      <c r="I725" s="446"/>
    </row>
    <row r="726" spans="2:9" ht="26.1" hidden="1" customHeight="1" thickTop="1" thickBot="1" x14ac:dyDescent="0.4">
      <c r="B726" s="366"/>
      <c r="C726" s="452"/>
      <c r="D726" s="451"/>
      <c r="E726" s="454"/>
      <c r="F726" s="539"/>
      <c r="G726" s="540"/>
      <c r="H726" s="582"/>
      <c r="I726" s="446"/>
    </row>
    <row r="727" spans="2:9" ht="26.1" hidden="1" customHeight="1" thickTop="1" thickBot="1" x14ac:dyDescent="0.4">
      <c r="B727" s="366"/>
      <c r="C727" s="452"/>
      <c r="D727" s="451"/>
      <c r="E727" s="454"/>
      <c r="F727" s="539"/>
      <c r="G727" s="540"/>
      <c r="H727" s="582"/>
      <c r="I727" s="446"/>
    </row>
    <row r="728" spans="2:9" ht="26.1" hidden="1" customHeight="1" thickTop="1" thickBot="1" x14ac:dyDescent="0.4">
      <c r="B728" s="366"/>
      <c r="C728" s="452"/>
      <c r="D728" s="451"/>
      <c r="E728" s="454"/>
      <c r="F728" s="539"/>
      <c r="G728" s="540"/>
      <c r="H728" s="582"/>
      <c r="I728" s="446"/>
    </row>
    <row r="729" spans="2:9" ht="26.1" hidden="1" customHeight="1" thickTop="1" thickBot="1" x14ac:dyDescent="0.4">
      <c r="B729" s="366"/>
      <c r="C729" s="452"/>
      <c r="D729" s="451"/>
      <c r="E729" s="454"/>
      <c r="F729" s="539"/>
      <c r="G729" s="540"/>
      <c r="H729" s="582"/>
      <c r="I729" s="446"/>
    </row>
    <row r="730" spans="2:9" ht="26.1" hidden="1" customHeight="1" thickTop="1" thickBot="1" x14ac:dyDescent="0.4">
      <c r="B730" s="366"/>
      <c r="C730" s="452"/>
      <c r="D730" s="451"/>
      <c r="E730" s="454"/>
      <c r="F730" s="539"/>
      <c r="G730" s="540"/>
      <c r="H730" s="582"/>
      <c r="I730" s="446"/>
    </row>
    <row r="731" spans="2:9" ht="26.1" hidden="1" customHeight="1" thickTop="1" thickBot="1" x14ac:dyDescent="0.4">
      <c r="B731" s="366"/>
      <c r="C731" s="452"/>
      <c r="D731" s="451"/>
      <c r="E731" s="454"/>
      <c r="F731" s="539"/>
      <c r="G731" s="540"/>
      <c r="H731" s="582"/>
      <c r="I731" s="446"/>
    </row>
    <row r="732" spans="2:9" ht="26.1" hidden="1" customHeight="1" thickTop="1" thickBot="1" x14ac:dyDescent="0.4">
      <c r="B732" s="366"/>
      <c r="C732" s="452"/>
      <c r="D732" s="451"/>
      <c r="E732" s="454"/>
      <c r="F732" s="539"/>
      <c r="G732" s="540"/>
      <c r="H732" s="582"/>
      <c r="I732" s="446"/>
    </row>
    <row r="733" spans="2:9" ht="26.1" hidden="1" customHeight="1" thickTop="1" thickBot="1" x14ac:dyDescent="0.4">
      <c r="B733" s="366"/>
      <c r="C733" s="452"/>
      <c r="D733" s="451"/>
      <c r="E733" s="454"/>
      <c r="F733" s="539"/>
      <c r="G733" s="540"/>
      <c r="H733" s="582"/>
      <c r="I733" s="446"/>
    </row>
    <row r="734" spans="2:9" ht="26.1" hidden="1" customHeight="1" thickTop="1" thickBot="1" x14ac:dyDescent="0.4">
      <c r="B734" s="366"/>
      <c r="C734" s="452"/>
      <c r="D734" s="451"/>
      <c r="E734" s="454"/>
      <c r="F734" s="539"/>
      <c r="G734" s="540"/>
      <c r="H734" s="582"/>
      <c r="I734" s="446"/>
    </row>
    <row r="735" spans="2:9" ht="26.1" hidden="1" customHeight="1" thickTop="1" thickBot="1" x14ac:dyDescent="0.4">
      <c r="B735" s="366"/>
      <c r="C735" s="452"/>
      <c r="D735" s="451"/>
      <c r="E735" s="454"/>
      <c r="F735" s="539"/>
      <c r="G735" s="540"/>
      <c r="H735" s="582"/>
      <c r="I735" s="446"/>
    </row>
    <row r="736" spans="2:9" ht="26.1" hidden="1" customHeight="1" thickTop="1" thickBot="1" x14ac:dyDescent="0.4">
      <c r="B736" s="366"/>
      <c r="C736" s="452"/>
      <c r="D736" s="451"/>
      <c r="E736" s="454"/>
      <c r="F736" s="539"/>
      <c r="G736" s="540"/>
      <c r="H736" s="582"/>
      <c r="I736" s="446"/>
    </row>
    <row r="737" spans="2:9" ht="26.1" hidden="1" customHeight="1" thickTop="1" thickBot="1" x14ac:dyDescent="0.4">
      <c r="B737" s="366"/>
      <c r="C737" s="452"/>
      <c r="D737" s="451"/>
      <c r="E737" s="454"/>
      <c r="F737" s="539"/>
      <c r="G737" s="540"/>
      <c r="H737" s="582"/>
      <c r="I737" s="446"/>
    </row>
    <row r="738" spans="2:9" ht="26.1" hidden="1" customHeight="1" thickTop="1" thickBot="1" x14ac:dyDescent="0.4">
      <c r="B738" s="366"/>
      <c r="C738" s="452"/>
      <c r="D738" s="451"/>
      <c r="E738" s="454"/>
      <c r="F738" s="539"/>
      <c r="G738" s="540"/>
      <c r="H738" s="582"/>
      <c r="I738" s="446"/>
    </row>
    <row r="739" spans="2:9" ht="26.1" hidden="1" customHeight="1" thickTop="1" thickBot="1" x14ac:dyDescent="0.4">
      <c r="B739" s="366"/>
      <c r="C739" s="452"/>
      <c r="D739" s="451"/>
      <c r="E739" s="454"/>
      <c r="F739" s="539"/>
      <c r="G739" s="540"/>
      <c r="H739" s="582"/>
      <c r="I739" s="446"/>
    </row>
    <row r="740" spans="2:9" ht="26.1" hidden="1" customHeight="1" thickTop="1" thickBot="1" x14ac:dyDescent="0.4">
      <c r="B740" s="366"/>
      <c r="C740" s="452"/>
      <c r="D740" s="451"/>
      <c r="E740" s="454"/>
      <c r="F740" s="539"/>
      <c r="G740" s="540"/>
      <c r="H740" s="582"/>
      <c r="I740" s="446"/>
    </row>
    <row r="741" spans="2:9" ht="26.1" hidden="1" customHeight="1" thickTop="1" thickBot="1" x14ac:dyDescent="0.4">
      <c r="B741" s="366"/>
      <c r="C741" s="452"/>
      <c r="D741" s="451"/>
      <c r="E741" s="454"/>
      <c r="F741" s="539"/>
      <c r="G741" s="540"/>
      <c r="H741" s="582"/>
      <c r="I741" s="446"/>
    </row>
    <row r="742" spans="2:9" ht="26.1" hidden="1" customHeight="1" thickTop="1" thickBot="1" x14ac:dyDescent="0.4">
      <c r="B742" s="366"/>
      <c r="C742" s="452"/>
      <c r="D742" s="451"/>
      <c r="E742" s="454"/>
      <c r="F742" s="539"/>
      <c r="G742" s="540"/>
      <c r="H742" s="582"/>
      <c r="I742" s="446"/>
    </row>
    <row r="743" spans="2:9" ht="26.1" hidden="1" customHeight="1" thickTop="1" thickBot="1" x14ac:dyDescent="0.4">
      <c r="B743" s="366"/>
      <c r="C743" s="452"/>
      <c r="D743" s="451"/>
      <c r="E743" s="454"/>
      <c r="F743" s="539"/>
      <c r="G743" s="540"/>
      <c r="H743" s="582"/>
      <c r="I743" s="446"/>
    </row>
    <row r="744" spans="2:9" ht="26.1" hidden="1" customHeight="1" thickTop="1" thickBot="1" x14ac:dyDescent="0.4">
      <c r="B744" s="366"/>
      <c r="C744" s="452"/>
      <c r="D744" s="451"/>
      <c r="E744" s="454"/>
      <c r="F744" s="539"/>
      <c r="G744" s="540"/>
      <c r="H744" s="582"/>
      <c r="I744" s="446"/>
    </row>
    <row r="745" spans="2:9" ht="26.1" hidden="1" customHeight="1" thickTop="1" thickBot="1" x14ac:dyDescent="0.4">
      <c r="B745" s="366"/>
      <c r="C745" s="452"/>
      <c r="D745" s="451"/>
      <c r="E745" s="454"/>
      <c r="F745" s="539"/>
      <c r="G745" s="540"/>
      <c r="H745" s="582"/>
      <c r="I745" s="446"/>
    </row>
    <row r="746" spans="2:9" ht="26.1" hidden="1" customHeight="1" thickTop="1" thickBot="1" x14ac:dyDescent="0.4">
      <c r="B746" s="366"/>
      <c r="C746" s="452"/>
      <c r="D746" s="451"/>
      <c r="E746" s="454"/>
      <c r="F746" s="539"/>
      <c r="G746" s="540"/>
      <c r="H746" s="582"/>
      <c r="I746" s="446"/>
    </row>
    <row r="747" spans="2:9" ht="26.1" hidden="1" customHeight="1" thickTop="1" thickBot="1" x14ac:dyDescent="0.4">
      <c r="B747" s="366"/>
      <c r="C747" s="452"/>
      <c r="D747" s="451"/>
      <c r="E747" s="454"/>
      <c r="F747" s="539"/>
      <c r="G747" s="540"/>
      <c r="H747" s="582"/>
      <c r="I747" s="446"/>
    </row>
    <row r="748" spans="2:9" ht="26.1" hidden="1" customHeight="1" thickTop="1" thickBot="1" x14ac:dyDescent="0.4">
      <c r="B748" s="366"/>
      <c r="C748" s="452"/>
      <c r="D748" s="451"/>
      <c r="E748" s="454"/>
      <c r="F748" s="539"/>
      <c r="G748" s="540"/>
      <c r="H748" s="582"/>
      <c r="I748" s="446"/>
    </row>
    <row r="749" spans="2:9" ht="26.1" hidden="1" customHeight="1" thickTop="1" thickBot="1" x14ac:dyDescent="0.4">
      <c r="B749" s="366"/>
      <c r="C749" s="452"/>
      <c r="D749" s="451"/>
      <c r="E749" s="454"/>
      <c r="F749" s="539"/>
      <c r="G749" s="540"/>
      <c r="H749" s="582"/>
      <c r="I749" s="446"/>
    </row>
    <row r="750" spans="2:9" ht="26.1" hidden="1" customHeight="1" thickTop="1" thickBot="1" x14ac:dyDescent="0.4">
      <c r="B750" s="366"/>
      <c r="C750" s="452"/>
      <c r="D750" s="451"/>
      <c r="E750" s="454"/>
      <c r="F750" s="539"/>
      <c r="G750" s="540"/>
      <c r="H750" s="582"/>
      <c r="I750" s="446"/>
    </row>
    <row r="751" spans="2:9" ht="26.1" hidden="1" customHeight="1" thickTop="1" thickBot="1" x14ac:dyDescent="0.4">
      <c r="B751" s="366"/>
      <c r="C751" s="452"/>
      <c r="D751" s="451"/>
      <c r="E751" s="454"/>
      <c r="F751" s="539"/>
      <c r="G751" s="540"/>
      <c r="H751" s="582"/>
      <c r="I751" s="446"/>
    </row>
    <row r="752" spans="2:9" ht="26.1" hidden="1" customHeight="1" thickTop="1" thickBot="1" x14ac:dyDescent="0.4">
      <c r="B752" s="366"/>
      <c r="C752" s="452"/>
      <c r="D752" s="451"/>
      <c r="E752" s="454"/>
      <c r="F752" s="539"/>
      <c r="G752" s="540"/>
      <c r="H752" s="582"/>
      <c r="I752" s="446"/>
    </row>
    <row r="753" spans="2:9" ht="26.1" hidden="1" customHeight="1" thickTop="1" thickBot="1" x14ac:dyDescent="0.4">
      <c r="B753" s="366"/>
      <c r="C753" s="452"/>
      <c r="D753" s="451"/>
      <c r="E753" s="454"/>
      <c r="F753" s="539"/>
      <c r="G753" s="540"/>
      <c r="H753" s="582"/>
      <c r="I753" s="446"/>
    </row>
    <row r="754" spans="2:9" ht="26.1" hidden="1" customHeight="1" thickTop="1" thickBot="1" x14ac:dyDescent="0.4">
      <c r="B754" s="366"/>
      <c r="C754" s="452"/>
      <c r="D754" s="451"/>
      <c r="E754" s="454"/>
      <c r="F754" s="539"/>
      <c r="G754" s="540"/>
      <c r="H754" s="582"/>
      <c r="I754" s="446"/>
    </row>
    <row r="755" spans="2:9" ht="26.1" hidden="1" customHeight="1" thickTop="1" thickBot="1" x14ac:dyDescent="0.4">
      <c r="B755" s="366"/>
      <c r="C755" s="452"/>
      <c r="D755" s="451"/>
      <c r="E755" s="454"/>
      <c r="F755" s="539"/>
      <c r="G755" s="540"/>
      <c r="H755" s="582"/>
      <c r="I755" s="446"/>
    </row>
    <row r="756" spans="2:9" ht="26.1" hidden="1" customHeight="1" thickTop="1" thickBot="1" x14ac:dyDescent="0.4">
      <c r="B756" s="366"/>
      <c r="C756" s="452"/>
      <c r="D756" s="451"/>
      <c r="E756" s="454"/>
      <c r="F756" s="539"/>
      <c r="G756" s="540"/>
      <c r="H756" s="582"/>
      <c r="I756" s="446"/>
    </row>
    <row r="757" spans="2:9" ht="26.1" hidden="1" customHeight="1" thickTop="1" thickBot="1" x14ac:dyDescent="0.4">
      <c r="B757" s="366"/>
      <c r="C757" s="452"/>
      <c r="D757" s="451"/>
      <c r="E757" s="454"/>
      <c r="F757" s="539"/>
      <c r="G757" s="540"/>
      <c r="H757" s="582"/>
      <c r="I757" s="446"/>
    </row>
    <row r="758" spans="2:9" ht="26.1" hidden="1" customHeight="1" thickTop="1" thickBot="1" x14ac:dyDescent="0.4">
      <c r="B758" s="366"/>
      <c r="C758" s="452"/>
      <c r="D758" s="451"/>
      <c r="E758" s="454"/>
      <c r="F758" s="539"/>
      <c r="G758" s="540"/>
      <c r="H758" s="582"/>
      <c r="I758" s="446"/>
    </row>
    <row r="759" spans="2:9" ht="26.1" hidden="1" customHeight="1" thickTop="1" thickBot="1" x14ac:dyDescent="0.4">
      <c r="B759" s="366"/>
      <c r="C759" s="452"/>
      <c r="D759" s="451"/>
      <c r="E759" s="454"/>
      <c r="F759" s="539"/>
      <c r="G759" s="540"/>
      <c r="H759" s="582"/>
      <c r="I759" s="446"/>
    </row>
    <row r="760" spans="2:9" ht="26.1" hidden="1" customHeight="1" thickTop="1" thickBot="1" x14ac:dyDescent="0.4">
      <c r="B760" s="366"/>
      <c r="C760" s="452"/>
      <c r="D760" s="455"/>
      <c r="E760" s="454"/>
      <c r="F760" s="539"/>
      <c r="G760" s="540"/>
      <c r="H760" s="582"/>
      <c r="I760" s="447"/>
    </row>
    <row r="761" spans="2:9" ht="5.0999999999999996" hidden="1" customHeight="1" thickTop="1" thickBot="1" x14ac:dyDescent="0.35">
      <c r="B761" s="365"/>
      <c r="C761" s="419"/>
      <c r="D761" s="420"/>
      <c r="E761" s="419"/>
      <c r="F761" s="450"/>
      <c r="G761" s="450"/>
      <c r="H761" s="450"/>
      <c r="I761" s="354"/>
    </row>
    <row r="762" spans="2:9" hidden="1" x14ac:dyDescent="0.3">
      <c r="G762" s="12"/>
    </row>
  </sheetData>
  <mergeCells count="8">
    <mergeCell ref="C4:H4"/>
    <mergeCell ref="C385:H385"/>
    <mergeCell ref="C386:H386"/>
    <mergeCell ref="G388:H388"/>
    <mergeCell ref="G389:H389"/>
    <mergeCell ref="C5:H5"/>
    <mergeCell ref="G7:H7"/>
    <mergeCell ref="G8:H8"/>
  </mergeCells>
  <phoneticPr fontId="27" type="noConversion"/>
  <dataValidations count="1">
    <dataValidation type="list" allowBlank="1" showInputMessage="1" showErrorMessage="1" sqref="G7 G388" xr:uid="{CB930B66-D7CF-4747-B824-40BEA3A60D09}">
      <formula1>$C$16:$C$379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B10098-8E1A-4C86-A05D-9053A7BA46F3}">
          <x14:formula1>
            <xm:f>'B O G SHARES DEVIDENT '!$C$71:$C$87</xm:f>
          </x14:formula1>
          <xm:sqref>C4 C385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4753D-4577-4B98-ADC7-CD2C620AAB50}">
  <sheetPr>
    <tabColor theme="0" tint="-0.499984740745262"/>
  </sheetPr>
  <dimension ref="A1:L35"/>
  <sheetViews>
    <sheetView workbookViewId="0">
      <pane xSplit="4" ySplit="7" topLeftCell="E8" activePane="bottomRight" state="frozen"/>
      <selection pane="topRight"/>
      <selection pane="bottomLeft"/>
      <selection pane="bottomRight" activeCell="K32" sqref="K32"/>
    </sheetView>
  </sheetViews>
  <sheetFormatPr defaultColWidth="9.140625" defaultRowHeight="18" x14ac:dyDescent="0.25"/>
  <cols>
    <col min="1" max="1" width="2.85546875" style="2" customWidth="1"/>
    <col min="2" max="2" width="7.7109375" style="1" customWidth="1"/>
    <col min="3" max="3" width="48.28515625" style="2" bestFit="1" customWidth="1"/>
    <col min="4" max="4" width="21.7109375" style="2" bestFit="1" customWidth="1"/>
    <col min="5" max="5" width="16.140625" style="2" bestFit="1" customWidth="1"/>
    <col min="6" max="9" width="19.5703125" style="2" bestFit="1" customWidth="1"/>
    <col min="10" max="10" width="18.7109375" style="2" customWidth="1"/>
    <col min="11" max="12" width="17.28515625" style="2" customWidth="1"/>
    <col min="13" max="16384" width="9.140625" style="2"/>
  </cols>
  <sheetData>
    <row r="1" spans="1:10" s="216" customFormat="1" ht="19.5" customHeight="1" x14ac:dyDescent="0.25">
      <c r="B1" s="371"/>
    </row>
    <row r="2" spans="1:10" s="77" customFormat="1" x14ac:dyDescent="0.25">
      <c r="B2" s="76"/>
    </row>
    <row r="3" spans="1:10" s="77" customFormat="1" ht="9.6" customHeight="1" x14ac:dyDescent="0.25">
      <c r="B3" s="76"/>
    </row>
    <row r="4" spans="1:10" s="70" customFormat="1" ht="46.5" x14ac:dyDescent="0.75">
      <c r="B4" s="1050" t="s">
        <v>1280</v>
      </c>
      <c r="C4" s="1050"/>
      <c r="D4" s="1050"/>
      <c r="G4" s="93"/>
      <c r="I4" s="93"/>
    </row>
    <row r="5" spans="1:10" ht="9" customHeight="1" thickBot="1" x14ac:dyDescent="0.3"/>
    <row r="6" spans="1:10" s="130" customFormat="1" ht="42" thickTop="1" thickBot="1" x14ac:dyDescent="0.3">
      <c r="A6" s="130" t="s">
        <v>653</v>
      </c>
      <c r="B6" s="131" t="s">
        <v>125</v>
      </c>
      <c r="C6" s="131" t="s">
        <v>57</v>
      </c>
      <c r="D6" s="131" t="s">
        <v>1</v>
      </c>
      <c r="E6" s="131" t="s">
        <v>1051</v>
      </c>
      <c r="F6" s="131" t="s">
        <v>1050</v>
      </c>
      <c r="G6" s="131" t="s">
        <v>1047</v>
      </c>
      <c r="H6" s="131" t="s">
        <v>1048</v>
      </c>
      <c r="I6" s="131" t="s">
        <v>1049</v>
      </c>
      <c r="J6" s="131"/>
    </row>
    <row r="7" spans="1:10" s="165" customFormat="1" ht="29.25" customHeight="1" thickTop="1" thickBot="1" x14ac:dyDescent="0.45">
      <c r="B7" s="157"/>
      <c r="C7" s="157"/>
      <c r="D7" s="157" t="s">
        <v>56</v>
      </c>
      <c r="E7" s="157">
        <v>50</v>
      </c>
      <c r="F7" s="157" t="s">
        <v>56</v>
      </c>
      <c r="G7" s="157" t="s">
        <v>56</v>
      </c>
      <c r="H7" s="157" t="s">
        <v>56</v>
      </c>
      <c r="I7" s="157" t="s">
        <v>56</v>
      </c>
      <c r="J7" s="157" t="s">
        <v>56</v>
      </c>
    </row>
    <row r="8" spans="1:10" ht="26.1" customHeight="1" thickBot="1" x14ac:dyDescent="0.4">
      <c r="B8" s="251">
        <v>1</v>
      </c>
      <c r="C8" s="252" t="s">
        <v>620</v>
      </c>
      <c r="D8" s="169">
        <f t="shared" ref="D8:D30" si="0">SUM(F8:J8)</f>
        <v>0</v>
      </c>
      <c r="E8" s="1031">
        <f>D8/$E$7</f>
        <v>0</v>
      </c>
      <c r="F8" s="255"/>
      <c r="G8" s="255"/>
      <c r="H8" s="255"/>
      <c r="I8" s="255"/>
      <c r="J8" s="326"/>
    </row>
    <row r="9" spans="1:10" ht="26.1" customHeight="1" thickTop="1" thickBot="1" x14ac:dyDescent="0.4">
      <c r="B9" s="287">
        <v>2</v>
      </c>
      <c r="C9" s="288" t="s">
        <v>687</v>
      </c>
      <c r="D9" s="169">
        <f t="shared" si="0"/>
        <v>0</v>
      </c>
      <c r="E9" s="1031">
        <f t="shared" ref="E9:E30" si="1">D9/$E$7</f>
        <v>0</v>
      </c>
      <c r="F9" s="245"/>
      <c r="G9" s="245"/>
      <c r="H9" s="245"/>
      <c r="I9" s="245"/>
      <c r="J9" s="327"/>
    </row>
    <row r="10" spans="1:10" ht="26.1" customHeight="1" thickTop="1" thickBot="1" x14ac:dyDescent="0.4">
      <c r="B10" s="287">
        <v>3</v>
      </c>
      <c r="C10" s="253" t="s">
        <v>458</v>
      </c>
      <c r="D10" s="169">
        <f t="shared" si="0"/>
        <v>0</v>
      </c>
      <c r="E10" s="1031">
        <f t="shared" si="1"/>
        <v>0</v>
      </c>
      <c r="F10" s="246"/>
      <c r="G10" s="246"/>
      <c r="H10" s="246"/>
      <c r="I10" s="246"/>
      <c r="J10" s="328"/>
    </row>
    <row r="11" spans="1:10" ht="26.1" customHeight="1" thickTop="1" thickBot="1" x14ac:dyDescent="0.4">
      <c r="B11" s="287">
        <v>4</v>
      </c>
      <c r="C11" s="253" t="s">
        <v>211</v>
      </c>
      <c r="D11" s="169">
        <f t="shared" si="0"/>
        <v>0</v>
      </c>
      <c r="E11" s="1031">
        <f t="shared" si="1"/>
        <v>0</v>
      </c>
      <c r="F11" s="246"/>
      <c r="G11" s="246"/>
      <c r="H11" s="246"/>
      <c r="I11" s="246"/>
      <c r="J11" s="328"/>
    </row>
    <row r="12" spans="1:10" ht="26.1" customHeight="1" thickTop="1" thickBot="1" x14ac:dyDescent="0.4">
      <c r="B12" s="287">
        <v>5</v>
      </c>
      <c r="C12" s="253" t="s">
        <v>273</v>
      </c>
      <c r="D12" s="169">
        <f t="shared" si="0"/>
        <v>0</v>
      </c>
      <c r="E12" s="1031">
        <f t="shared" si="1"/>
        <v>0</v>
      </c>
      <c r="F12" s="246"/>
      <c r="G12" s="246"/>
      <c r="H12" s="246"/>
      <c r="I12" s="246"/>
      <c r="J12" s="328"/>
    </row>
    <row r="13" spans="1:10" ht="26.1" customHeight="1" thickTop="1" thickBot="1" x14ac:dyDescent="0.4">
      <c r="B13" s="287">
        <v>6</v>
      </c>
      <c r="C13" s="253" t="s">
        <v>186</v>
      </c>
      <c r="D13" s="169">
        <f t="shared" si="0"/>
        <v>0</v>
      </c>
      <c r="E13" s="1031">
        <f t="shared" si="1"/>
        <v>0</v>
      </c>
      <c r="F13" s="246"/>
      <c r="G13" s="246"/>
      <c r="H13" s="246"/>
      <c r="I13" s="246"/>
      <c r="J13" s="328"/>
    </row>
    <row r="14" spans="1:10" ht="26.1" customHeight="1" thickTop="1" thickBot="1" x14ac:dyDescent="0.4">
      <c r="B14" s="287">
        <v>7</v>
      </c>
      <c r="C14" s="253" t="s">
        <v>351</v>
      </c>
      <c r="D14" s="169">
        <f t="shared" si="0"/>
        <v>0</v>
      </c>
      <c r="E14" s="1031">
        <f t="shared" si="1"/>
        <v>0</v>
      </c>
      <c r="F14" s="246"/>
      <c r="G14" s="246"/>
      <c r="H14" s="246"/>
      <c r="I14" s="246"/>
      <c r="J14" s="328"/>
    </row>
    <row r="15" spans="1:10" ht="26.1" customHeight="1" thickTop="1" thickBot="1" x14ac:dyDescent="0.4">
      <c r="B15" s="287">
        <v>8</v>
      </c>
      <c r="C15" s="253" t="s">
        <v>776</v>
      </c>
      <c r="D15" s="169">
        <f t="shared" si="0"/>
        <v>0</v>
      </c>
      <c r="E15" s="1031">
        <f t="shared" si="1"/>
        <v>0</v>
      </c>
      <c r="F15" s="246"/>
      <c r="G15" s="246"/>
      <c r="H15" s="246"/>
      <c r="I15" s="246"/>
      <c r="J15" s="328"/>
    </row>
    <row r="16" spans="1:10" ht="26.1" customHeight="1" thickTop="1" thickBot="1" x14ac:dyDescent="0.4">
      <c r="B16" s="287">
        <v>9</v>
      </c>
      <c r="C16" s="253" t="s">
        <v>232</v>
      </c>
      <c r="D16" s="169">
        <f t="shared" si="0"/>
        <v>0</v>
      </c>
      <c r="E16" s="1031">
        <f t="shared" si="1"/>
        <v>0</v>
      </c>
      <c r="F16" s="246"/>
      <c r="G16" s="246"/>
      <c r="H16" s="246"/>
      <c r="I16" s="246"/>
      <c r="J16" s="328"/>
    </row>
    <row r="17" spans="2:10" ht="26.1" customHeight="1" thickTop="1" thickBot="1" x14ac:dyDescent="0.4">
      <c r="B17" s="287">
        <v>10</v>
      </c>
      <c r="C17" s="253" t="s">
        <v>410</v>
      </c>
      <c r="D17" s="169">
        <f t="shared" si="0"/>
        <v>0</v>
      </c>
      <c r="E17" s="1031">
        <f t="shared" si="1"/>
        <v>0</v>
      </c>
      <c r="F17" s="246"/>
      <c r="G17" s="246"/>
      <c r="H17" s="246"/>
      <c r="I17" s="246"/>
      <c r="J17" s="328"/>
    </row>
    <row r="18" spans="2:10" ht="26.1" customHeight="1" thickTop="1" thickBot="1" x14ac:dyDescent="0.4">
      <c r="B18" s="287">
        <v>11</v>
      </c>
      <c r="C18" s="253" t="s">
        <v>346</v>
      </c>
      <c r="D18" s="169">
        <f t="shared" si="0"/>
        <v>0</v>
      </c>
      <c r="E18" s="1031">
        <f t="shared" si="1"/>
        <v>0</v>
      </c>
      <c r="F18" s="246"/>
      <c r="G18" s="246"/>
      <c r="H18" s="246"/>
      <c r="I18" s="246"/>
      <c r="J18" s="328"/>
    </row>
    <row r="19" spans="2:10" ht="26.1" customHeight="1" thickTop="1" thickBot="1" x14ac:dyDescent="0.4">
      <c r="B19" s="287">
        <v>12</v>
      </c>
      <c r="C19" s="254" t="s">
        <v>62</v>
      </c>
      <c r="D19" s="169">
        <f t="shared" si="0"/>
        <v>2000</v>
      </c>
      <c r="E19" s="1031">
        <f t="shared" si="1"/>
        <v>40</v>
      </c>
      <c r="F19" s="246">
        <v>2000</v>
      </c>
      <c r="G19" s="246"/>
      <c r="H19" s="246"/>
      <c r="I19" s="246"/>
      <c r="J19" s="328"/>
    </row>
    <row r="20" spans="2:10" ht="26.1" customHeight="1" thickTop="1" thickBot="1" x14ac:dyDescent="0.4">
      <c r="B20" s="287">
        <v>13</v>
      </c>
      <c r="C20" s="254" t="s">
        <v>68</v>
      </c>
      <c r="D20" s="169">
        <f t="shared" si="0"/>
        <v>0</v>
      </c>
      <c r="E20" s="1031">
        <f t="shared" si="1"/>
        <v>0</v>
      </c>
      <c r="F20" s="246"/>
      <c r="G20" s="246"/>
      <c r="H20" s="246"/>
      <c r="I20" s="246"/>
      <c r="J20" s="328"/>
    </row>
    <row r="21" spans="2:10" ht="26.1" customHeight="1" thickTop="1" thickBot="1" x14ac:dyDescent="0.4">
      <c r="B21" s="287">
        <v>14</v>
      </c>
      <c r="C21" s="254" t="s">
        <v>158</v>
      </c>
      <c r="D21" s="169">
        <f t="shared" si="0"/>
        <v>0</v>
      </c>
      <c r="E21" s="1031">
        <f t="shared" si="1"/>
        <v>0</v>
      </c>
      <c r="F21" s="246"/>
      <c r="G21" s="246"/>
      <c r="H21" s="246"/>
      <c r="I21" s="246"/>
      <c r="J21" s="328"/>
    </row>
    <row r="22" spans="2:10" ht="26.1" customHeight="1" thickTop="1" thickBot="1" x14ac:dyDescent="0.4">
      <c r="B22" s="287">
        <v>15</v>
      </c>
      <c r="C22" s="253" t="s">
        <v>212</v>
      </c>
      <c r="D22" s="169">
        <f t="shared" si="0"/>
        <v>0</v>
      </c>
      <c r="E22" s="1031">
        <f t="shared" si="1"/>
        <v>0</v>
      </c>
      <c r="F22" s="246"/>
      <c r="G22" s="246"/>
      <c r="H22" s="246"/>
      <c r="I22" s="246"/>
      <c r="J22" s="328"/>
    </row>
    <row r="23" spans="2:10" ht="26.1" customHeight="1" thickTop="1" thickBot="1" x14ac:dyDescent="0.4">
      <c r="B23" s="287">
        <v>16</v>
      </c>
      <c r="C23" s="254" t="s">
        <v>75</v>
      </c>
      <c r="D23" s="169">
        <f t="shared" si="0"/>
        <v>0</v>
      </c>
      <c r="E23" s="1031">
        <f t="shared" si="1"/>
        <v>0</v>
      </c>
      <c r="F23" s="246"/>
      <c r="G23" s="246"/>
      <c r="H23" s="246"/>
      <c r="I23" s="246"/>
      <c r="J23" s="328"/>
    </row>
    <row r="24" spans="2:10" ht="26.1" customHeight="1" thickTop="1" thickBot="1" x14ac:dyDescent="0.4">
      <c r="B24" s="287">
        <v>17</v>
      </c>
      <c r="C24" s="253" t="s">
        <v>134</v>
      </c>
      <c r="D24" s="169">
        <f t="shared" si="0"/>
        <v>0</v>
      </c>
      <c r="E24" s="1031">
        <f t="shared" si="1"/>
        <v>0</v>
      </c>
      <c r="F24" s="246"/>
      <c r="G24" s="246"/>
      <c r="H24" s="246"/>
      <c r="I24" s="246"/>
      <c r="J24" s="328"/>
    </row>
    <row r="25" spans="2:10" ht="26.1" customHeight="1" thickTop="1" thickBot="1" x14ac:dyDescent="0.4">
      <c r="B25" s="287">
        <v>18</v>
      </c>
      <c r="C25" s="254" t="s">
        <v>524</v>
      </c>
      <c r="D25" s="169">
        <f t="shared" si="0"/>
        <v>2000</v>
      </c>
      <c r="E25" s="1031">
        <f t="shared" si="1"/>
        <v>40</v>
      </c>
      <c r="F25" s="246">
        <v>2000</v>
      </c>
      <c r="G25" s="246"/>
      <c r="H25" s="246"/>
      <c r="I25" s="246"/>
      <c r="J25" s="328"/>
    </row>
    <row r="26" spans="2:10" ht="26.1" customHeight="1" thickTop="1" thickBot="1" x14ac:dyDescent="0.4">
      <c r="B26" s="287">
        <v>19</v>
      </c>
      <c r="C26" s="254" t="s">
        <v>76</v>
      </c>
      <c r="D26" s="169">
        <f t="shared" si="0"/>
        <v>0</v>
      </c>
      <c r="E26" s="1031">
        <f t="shared" si="1"/>
        <v>0</v>
      </c>
      <c r="F26" s="246"/>
      <c r="G26" s="246"/>
      <c r="H26" s="246"/>
      <c r="I26" s="246"/>
      <c r="J26" s="328"/>
    </row>
    <row r="27" spans="2:10" ht="26.1" customHeight="1" thickTop="1" thickBot="1" x14ac:dyDescent="0.4">
      <c r="B27" s="287">
        <v>20</v>
      </c>
      <c r="C27" s="254" t="s">
        <v>66</v>
      </c>
      <c r="D27" s="169">
        <f t="shared" si="0"/>
        <v>0</v>
      </c>
      <c r="E27" s="1031">
        <f t="shared" si="1"/>
        <v>0</v>
      </c>
      <c r="F27" s="246"/>
      <c r="G27" s="246"/>
      <c r="H27" s="246"/>
      <c r="I27" s="246"/>
      <c r="J27" s="328"/>
    </row>
    <row r="28" spans="2:10" ht="26.1" customHeight="1" thickTop="1" thickBot="1" x14ac:dyDescent="0.4">
      <c r="B28" s="287">
        <v>21</v>
      </c>
      <c r="C28" s="253" t="s">
        <v>469</v>
      </c>
      <c r="D28" s="169">
        <f t="shared" si="0"/>
        <v>0</v>
      </c>
      <c r="E28" s="1031">
        <f t="shared" si="1"/>
        <v>0</v>
      </c>
      <c r="F28" s="246"/>
      <c r="G28" s="246"/>
      <c r="H28" s="246"/>
      <c r="I28" s="246"/>
      <c r="J28" s="328"/>
    </row>
    <row r="29" spans="2:10" ht="26.1" customHeight="1" thickTop="1" thickBot="1" x14ac:dyDescent="0.4">
      <c r="B29" s="287">
        <v>22</v>
      </c>
      <c r="C29" s="253" t="s">
        <v>758</v>
      </c>
      <c r="D29" s="169">
        <f t="shared" si="0"/>
        <v>0</v>
      </c>
      <c r="E29" s="1031">
        <f t="shared" si="1"/>
        <v>0</v>
      </c>
      <c r="F29" s="246"/>
      <c r="G29" s="246"/>
      <c r="H29" s="246"/>
      <c r="I29" s="246"/>
      <c r="J29" s="328"/>
    </row>
    <row r="30" spans="2:10" ht="26.1" customHeight="1" thickTop="1" thickBot="1" x14ac:dyDescent="0.4">
      <c r="B30" s="287">
        <v>23</v>
      </c>
      <c r="C30" s="253" t="s">
        <v>213</v>
      </c>
      <c r="D30" s="169">
        <f t="shared" si="0"/>
        <v>0</v>
      </c>
      <c r="E30" s="1031">
        <f t="shared" si="1"/>
        <v>0</v>
      </c>
      <c r="F30" s="246"/>
      <c r="G30" s="246"/>
      <c r="H30" s="246"/>
      <c r="I30" s="246"/>
      <c r="J30" s="328"/>
    </row>
    <row r="31" spans="2:10" ht="26.1" customHeight="1" thickTop="1" thickBot="1" x14ac:dyDescent="0.3">
      <c r="B31" s="155"/>
      <c r="C31" s="156"/>
      <c r="D31" s="168"/>
      <c r="E31" s="1032"/>
      <c r="F31" s="158"/>
      <c r="G31" s="158"/>
      <c r="H31" s="158"/>
      <c r="I31" s="158"/>
      <c r="J31" s="329"/>
    </row>
    <row r="32" spans="2:10" s="81" customFormat="1" ht="32.1" customHeight="1" thickBot="1" x14ac:dyDescent="0.45">
      <c r="B32" s="1053" t="s">
        <v>1</v>
      </c>
      <c r="C32" s="1054"/>
      <c r="D32" s="249">
        <f t="shared" ref="D32:J32" si="2">SUBTOTAL(9,D8:D30)</f>
        <v>4000</v>
      </c>
      <c r="E32" s="1033">
        <f t="shared" si="2"/>
        <v>80</v>
      </c>
      <c r="F32" s="249">
        <f t="shared" si="2"/>
        <v>4000</v>
      </c>
      <c r="G32" s="249">
        <f t="shared" si="2"/>
        <v>0</v>
      </c>
      <c r="H32" s="249">
        <f t="shared" si="2"/>
        <v>0</v>
      </c>
      <c r="I32" s="249">
        <f t="shared" si="2"/>
        <v>0</v>
      </c>
      <c r="J32" s="249">
        <f t="shared" si="2"/>
        <v>0</v>
      </c>
    </row>
    <row r="33" spans="2:12" s="248" customFormat="1" ht="32.1" customHeight="1" thickTop="1" thickBot="1" x14ac:dyDescent="0.45">
      <c r="B33" s="1051" t="s">
        <v>684</v>
      </c>
      <c r="C33" s="1052"/>
      <c r="D33" s="250">
        <f t="shared" ref="D33:J33" si="3">COUNTIF(D8:D30,"&gt;0")</f>
        <v>2</v>
      </c>
      <c r="E33" s="1034">
        <f t="shared" si="3"/>
        <v>2</v>
      </c>
      <c r="F33" s="250">
        <f t="shared" si="3"/>
        <v>2</v>
      </c>
      <c r="G33" s="250">
        <f t="shared" si="3"/>
        <v>0</v>
      </c>
      <c r="H33" s="250">
        <f t="shared" si="3"/>
        <v>0</v>
      </c>
      <c r="I33" s="250">
        <f t="shared" si="3"/>
        <v>0</v>
      </c>
      <c r="J33" s="250">
        <f t="shared" si="3"/>
        <v>0</v>
      </c>
      <c r="K33" s="81"/>
      <c r="L33" s="81"/>
    </row>
    <row r="34" spans="2:12" ht="32.1" customHeight="1" thickTop="1" thickBot="1" x14ac:dyDescent="0.45">
      <c r="B34" s="1051" t="s">
        <v>685</v>
      </c>
      <c r="C34" s="1052"/>
      <c r="D34" s="250">
        <f t="shared" ref="D34:J34" si="4">COUNTIF(D8:D30,0)</f>
        <v>21</v>
      </c>
      <c r="E34" s="1034">
        <f t="shared" si="4"/>
        <v>21</v>
      </c>
      <c r="F34" s="250">
        <f t="shared" si="4"/>
        <v>0</v>
      </c>
      <c r="G34" s="250">
        <f t="shared" si="4"/>
        <v>0</v>
      </c>
      <c r="H34" s="250">
        <f t="shared" si="4"/>
        <v>0</v>
      </c>
      <c r="I34" s="250">
        <f t="shared" si="4"/>
        <v>0</v>
      </c>
      <c r="J34" s="250">
        <f t="shared" si="4"/>
        <v>0</v>
      </c>
    </row>
    <row r="35" spans="2:12" ht="18.75" thickTop="1" x14ac:dyDescent="0.25">
      <c r="C35" s="75"/>
    </row>
  </sheetData>
  <autoFilter ref="B7:J30" xr:uid="{00000000-0009-0000-0000-000008000000}"/>
  <mergeCells count="4">
    <mergeCell ref="B32:C32"/>
    <mergeCell ref="B33:C33"/>
    <mergeCell ref="B34:C34"/>
    <mergeCell ref="B4:D4"/>
  </mergeCells>
  <phoneticPr fontId="27" type="noConversion"/>
  <conditionalFormatting sqref="D32:J34">
    <cfRule type="cellIs" dxfId="12" priority="1" operator="equal">
      <formula>0</formula>
    </cfRule>
    <cfRule type="cellIs" dxfId="11" priority="2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5A8C-E7AD-483F-8877-5126E51CC32F}">
  <sheetPr>
    <tabColor theme="0" tint="-0.499984740745262"/>
  </sheetPr>
  <dimension ref="B1:S111"/>
  <sheetViews>
    <sheetView workbookViewId="0"/>
  </sheetViews>
  <sheetFormatPr defaultColWidth="9.140625" defaultRowHeight="20.100000000000001" customHeight="1" x14ac:dyDescent="0.25"/>
  <cols>
    <col min="1" max="1" width="1.7109375" style="9" customWidth="1"/>
    <col min="2" max="2" width="17.5703125" style="8" bestFit="1" customWidth="1"/>
    <col min="3" max="3" width="57.28515625" style="9" customWidth="1"/>
    <col min="4" max="4" width="16.7109375" style="8" customWidth="1"/>
    <col min="5" max="5" width="24" style="10" bestFit="1" customWidth="1"/>
    <col min="6" max="7" width="24" style="9" bestFit="1" customWidth="1"/>
    <col min="8" max="8" width="24.7109375" style="9" bestFit="1" customWidth="1"/>
    <col min="9" max="13" width="22.7109375" style="9" customWidth="1"/>
    <col min="14" max="14" width="20.140625" style="9" customWidth="1"/>
    <col min="15" max="16" width="22.7109375" style="9" customWidth="1"/>
    <col min="17" max="17" width="21.5703125" style="9" customWidth="1"/>
    <col min="18" max="18" width="20.42578125" style="9" customWidth="1"/>
    <col min="19" max="19" width="22.7109375" style="9" customWidth="1"/>
    <col min="20" max="16384" width="9.140625" style="9"/>
  </cols>
  <sheetData>
    <row r="1" spans="2:19" s="216" customFormat="1" ht="19.5" customHeight="1" thickBot="1" x14ac:dyDescent="0.3">
      <c r="B1" s="371"/>
    </row>
    <row r="2" spans="2:19" ht="62.25" customHeight="1" thickBot="1" x14ac:dyDescent="0.85">
      <c r="B2" s="1065" t="s">
        <v>1096</v>
      </c>
      <c r="C2" s="1065"/>
      <c r="D2" s="1065"/>
      <c r="E2" s="1065"/>
      <c r="F2" s="1065"/>
      <c r="G2" s="1121"/>
      <c r="H2" s="1118" t="s">
        <v>53</v>
      </c>
      <c r="I2" s="1119"/>
      <c r="J2" s="1119"/>
      <c r="K2" s="1120"/>
      <c r="L2" s="1118" t="s">
        <v>1024</v>
      </c>
      <c r="M2" s="1119"/>
      <c r="N2" s="1119"/>
      <c r="O2" s="1119"/>
      <c r="P2" s="1119"/>
      <c r="Q2" s="1119"/>
      <c r="R2" s="1119"/>
      <c r="S2" s="1120"/>
    </row>
    <row r="3" spans="2:19" s="120" customFormat="1" ht="62.25" thickTop="1" thickBot="1" x14ac:dyDescent="0.3">
      <c r="B3" s="620" t="s">
        <v>51</v>
      </c>
      <c r="C3" s="620" t="s">
        <v>52</v>
      </c>
      <c r="D3" s="620" t="s">
        <v>753</v>
      </c>
      <c r="E3" s="622" t="s">
        <v>53</v>
      </c>
      <c r="F3" s="623" t="s">
        <v>54</v>
      </c>
      <c r="G3" s="623" t="s">
        <v>55</v>
      </c>
      <c r="H3" s="895" t="s">
        <v>930</v>
      </c>
      <c r="I3" s="895" t="s">
        <v>751</v>
      </c>
      <c r="J3" s="895" t="s">
        <v>750</v>
      </c>
      <c r="K3" s="895" t="s">
        <v>1100</v>
      </c>
      <c r="L3" s="897"/>
      <c r="M3" s="897"/>
      <c r="N3" s="897"/>
      <c r="O3" s="897"/>
      <c r="P3" s="897"/>
      <c r="Q3" s="897"/>
      <c r="R3" s="897"/>
      <c r="S3" s="897"/>
    </row>
    <row r="4" spans="2:19" ht="26.1" customHeight="1" thickTop="1" thickBot="1" x14ac:dyDescent="0.4">
      <c r="B4" s="903">
        <v>46109</v>
      </c>
      <c r="C4" s="889" t="s">
        <v>1097</v>
      </c>
      <c r="D4" s="890"/>
      <c r="E4" s="891">
        <f t="shared" ref="E4:E28" si="0">SUM(H4:K4)</f>
        <v>62000</v>
      </c>
      <c r="F4" s="892"/>
      <c r="G4" s="893">
        <f>E4</f>
        <v>62000</v>
      </c>
      <c r="H4" s="894"/>
      <c r="I4" s="751">
        <v>62000</v>
      </c>
      <c r="J4" s="751"/>
      <c r="K4" s="756"/>
      <c r="L4" s="898"/>
      <c r="M4" s="898"/>
      <c r="N4" s="899"/>
      <c r="O4" s="899"/>
      <c r="P4" s="899"/>
      <c r="Q4" s="899"/>
      <c r="R4" s="899"/>
      <c r="S4" s="900"/>
    </row>
    <row r="5" spans="2:19" ht="26.1" customHeight="1" thickTop="1" thickBot="1" x14ac:dyDescent="0.4">
      <c r="B5" s="903">
        <v>46109</v>
      </c>
      <c r="C5" s="643" t="s">
        <v>1098</v>
      </c>
      <c r="D5" s="499"/>
      <c r="E5" s="531">
        <f t="shared" si="0"/>
        <v>2000</v>
      </c>
      <c r="F5" s="110">
        <f t="shared" ref="F5:F36" si="1">SUM(L5:S5)</f>
        <v>0</v>
      </c>
      <c r="G5" s="533">
        <f t="shared" ref="G5:G68" si="2">G4+E5-F5</f>
        <v>64000</v>
      </c>
      <c r="H5" s="638"/>
      <c r="I5" s="218"/>
      <c r="J5" s="218"/>
      <c r="K5" s="723">
        <v>2000</v>
      </c>
      <c r="L5" s="627"/>
      <c r="M5" s="627"/>
      <c r="N5" s="626"/>
      <c r="O5" s="626"/>
      <c r="P5" s="626"/>
      <c r="Q5" s="626"/>
      <c r="R5" s="626"/>
      <c r="S5" s="901"/>
    </row>
    <row r="6" spans="2:19" ht="26.1" customHeight="1" thickTop="1" thickBot="1" x14ac:dyDescent="0.4">
      <c r="B6" s="903">
        <v>46109</v>
      </c>
      <c r="C6" s="643" t="s">
        <v>1099</v>
      </c>
      <c r="D6" s="499"/>
      <c r="E6" s="531">
        <f t="shared" si="0"/>
        <v>2000</v>
      </c>
      <c r="F6" s="110">
        <f t="shared" si="1"/>
        <v>0</v>
      </c>
      <c r="G6" s="533">
        <f t="shared" si="2"/>
        <v>66000</v>
      </c>
      <c r="H6" s="638"/>
      <c r="I6" s="218"/>
      <c r="J6" s="218"/>
      <c r="K6" s="723">
        <v>2000</v>
      </c>
      <c r="L6" s="627"/>
      <c r="M6" s="627"/>
      <c r="N6" s="626"/>
      <c r="O6" s="626"/>
      <c r="P6" s="626"/>
      <c r="Q6" s="626"/>
      <c r="R6" s="626"/>
      <c r="S6" s="901"/>
    </row>
    <row r="7" spans="2:19" ht="26.1" customHeight="1" thickTop="1" thickBot="1" x14ac:dyDescent="0.4">
      <c r="B7" s="340"/>
      <c r="C7" s="643"/>
      <c r="D7" s="499"/>
      <c r="E7" s="531">
        <f t="shared" si="0"/>
        <v>0</v>
      </c>
      <c r="F7" s="110">
        <f t="shared" si="1"/>
        <v>0</v>
      </c>
      <c r="G7" s="533">
        <f t="shared" si="2"/>
        <v>66000</v>
      </c>
      <c r="H7" s="638"/>
      <c r="I7" s="218"/>
      <c r="J7" s="218"/>
      <c r="K7" s="723"/>
      <c r="L7" s="627"/>
      <c r="M7" s="627"/>
      <c r="N7" s="626"/>
      <c r="O7" s="626"/>
      <c r="P7" s="626"/>
      <c r="Q7" s="626"/>
      <c r="R7" s="626"/>
      <c r="S7" s="901"/>
    </row>
    <row r="8" spans="2:19" ht="26.1" customHeight="1" thickTop="1" thickBot="1" x14ac:dyDescent="0.4">
      <c r="B8" s="340"/>
      <c r="C8" s="643"/>
      <c r="D8" s="499"/>
      <c r="E8" s="531">
        <f t="shared" si="0"/>
        <v>0</v>
      </c>
      <c r="F8" s="110">
        <f t="shared" si="1"/>
        <v>0</v>
      </c>
      <c r="G8" s="533">
        <f t="shared" si="2"/>
        <v>66000</v>
      </c>
      <c r="H8" s="638"/>
      <c r="I8" s="218"/>
      <c r="J8" s="218"/>
      <c r="K8" s="723"/>
      <c r="L8" s="627"/>
      <c r="M8" s="627"/>
      <c r="N8" s="626"/>
      <c r="O8" s="626"/>
      <c r="P8" s="626"/>
      <c r="Q8" s="626"/>
      <c r="R8" s="626"/>
      <c r="S8" s="901"/>
    </row>
    <row r="9" spans="2:19" ht="26.1" customHeight="1" thickTop="1" thickBot="1" x14ac:dyDescent="0.4">
      <c r="B9" s="340"/>
      <c r="C9" s="643"/>
      <c r="D9" s="499"/>
      <c r="E9" s="531">
        <f t="shared" si="0"/>
        <v>0</v>
      </c>
      <c r="F9" s="110">
        <f t="shared" si="1"/>
        <v>0</v>
      </c>
      <c r="G9" s="533">
        <f t="shared" si="2"/>
        <v>66000</v>
      </c>
      <c r="H9" s="638"/>
      <c r="I9" s="218"/>
      <c r="J9" s="218"/>
      <c r="K9" s="723"/>
      <c r="L9" s="627"/>
      <c r="M9" s="627"/>
      <c r="N9" s="626"/>
      <c r="O9" s="626"/>
      <c r="P9" s="626"/>
      <c r="Q9" s="626"/>
      <c r="R9" s="626"/>
      <c r="S9" s="901"/>
    </row>
    <row r="10" spans="2:19" ht="26.1" customHeight="1" thickTop="1" thickBot="1" x14ac:dyDescent="0.4">
      <c r="B10" s="340"/>
      <c r="C10" s="643"/>
      <c r="D10" s="499"/>
      <c r="E10" s="531">
        <f t="shared" si="0"/>
        <v>0</v>
      </c>
      <c r="F10" s="110">
        <f t="shared" si="1"/>
        <v>0</v>
      </c>
      <c r="G10" s="533">
        <f t="shared" si="2"/>
        <v>66000</v>
      </c>
      <c r="H10" s="638"/>
      <c r="I10" s="218"/>
      <c r="J10" s="218"/>
      <c r="K10" s="723"/>
      <c r="L10" s="627"/>
      <c r="M10" s="627"/>
      <c r="N10" s="626"/>
      <c r="O10" s="626"/>
      <c r="P10" s="626"/>
      <c r="Q10" s="626"/>
      <c r="R10" s="626"/>
      <c r="S10" s="901"/>
    </row>
    <row r="11" spans="2:19" ht="26.1" customHeight="1" thickTop="1" thickBot="1" x14ac:dyDescent="0.4">
      <c r="B11" s="340"/>
      <c r="C11" s="643"/>
      <c r="D11" s="499"/>
      <c r="E11" s="531">
        <f t="shared" si="0"/>
        <v>0</v>
      </c>
      <c r="F11" s="110">
        <f t="shared" si="1"/>
        <v>0</v>
      </c>
      <c r="G11" s="533">
        <f t="shared" si="2"/>
        <v>66000</v>
      </c>
      <c r="H11" s="638"/>
      <c r="I11" s="218"/>
      <c r="J11" s="218"/>
      <c r="K11" s="723"/>
      <c r="L11" s="627"/>
      <c r="M11" s="627"/>
      <c r="N11" s="626"/>
      <c r="O11" s="626"/>
      <c r="P11" s="626"/>
      <c r="Q11" s="626"/>
      <c r="R11" s="626"/>
      <c r="S11" s="901"/>
    </row>
    <row r="12" spans="2:19" ht="26.1" customHeight="1" thickTop="1" thickBot="1" x14ac:dyDescent="0.4">
      <c r="B12" s="345"/>
      <c r="C12" s="643"/>
      <c r="D12" s="500"/>
      <c r="E12" s="531">
        <f t="shared" si="0"/>
        <v>0</v>
      </c>
      <c r="F12" s="110">
        <f t="shared" si="1"/>
        <v>0</v>
      </c>
      <c r="G12" s="533">
        <f t="shared" si="2"/>
        <v>66000</v>
      </c>
      <c r="H12" s="638"/>
      <c r="I12" s="218"/>
      <c r="J12" s="218"/>
      <c r="K12" s="723"/>
      <c r="L12" s="627"/>
      <c r="M12" s="627"/>
      <c r="N12" s="626"/>
      <c r="O12" s="626"/>
      <c r="P12" s="626"/>
      <c r="Q12" s="626"/>
      <c r="R12" s="626"/>
      <c r="S12" s="901"/>
    </row>
    <row r="13" spans="2:19" ht="26.1" customHeight="1" thickTop="1" thickBot="1" x14ac:dyDescent="0.4">
      <c r="B13" s="345"/>
      <c r="C13" s="343"/>
      <c r="D13" s="500"/>
      <c r="E13" s="531">
        <f t="shared" si="0"/>
        <v>0</v>
      </c>
      <c r="F13" s="110">
        <f t="shared" si="1"/>
        <v>0</v>
      </c>
      <c r="G13" s="533">
        <f t="shared" si="2"/>
        <v>66000</v>
      </c>
      <c r="H13" s="638"/>
      <c r="I13" s="218"/>
      <c r="J13" s="218"/>
      <c r="K13" s="723"/>
      <c r="L13" s="627"/>
      <c r="M13" s="627"/>
      <c r="N13" s="626"/>
      <c r="O13" s="626"/>
      <c r="P13" s="626"/>
      <c r="Q13" s="626"/>
      <c r="R13" s="626"/>
      <c r="S13" s="901"/>
    </row>
    <row r="14" spans="2:19" ht="26.1" customHeight="1" thickTop="1" thickBot="1" x14ac:dyDescent="0.4">
      <c r="B14" s="345"/>
      <c r="C14" s="343"/>
      <c r="D14" s="500"/>
      <c r="E14" s="531">
        <f t="shared" si="0"/>
        <v>0</v>
      </c>
      <c r="F14" s="110">
        <f t="shared" si="1"/>
        <v>0</v>
      </c>
      <c r="G14" s="533">
        <f t="shared" si="2"/>
        <v>66000</v>
      </c>
      <c r="H14" s="638"/>
      <c r="I14" s="218"/>
      <c r="J14" s="218"/>
      <c r="K14" s="723"/>
      <c r="L14" s="627"/>
      <c r="M14" s="627"/>
      <c r="N14" s="626"/>
      <c r="O14" s="626"/>
      <c r="P14" s="626"/>
      <c r="Q14" s="626"/>
      <c r="R14" s="626"/>
      <c r="S14" s="901"/>
    </row>
    <row r="15" spans="2:19" ht="26.1" customHeight="1" thickTop="1" thickBot="1" x14ac:dyDescent="0.4">
      <c r="B15" s="345"/>
      <c r="C15" s="643"/>
      <c r="D15" s="500"/>
      <c r="E15" s="531">
        <f t="shared" si="0"/>
        <v>0</v>
      </c>
      <c r="F15" s="110">
        <f t="shared" si="1"/>
        <v>0</v>
      </c>
      <c r="G15" s="533">
        <f t="shared" si="2"/>
        <v>66000</v>
      </c>
      <c r="H15" s="638"/>
      <c r="I15" s="218"/>
      <c r="J15" s="218"/>
      <c r="K15" s="723"/>
      <c r="L15" s="627"/>
      <c r="M15" s="627"/>
      <c r="N15" s="626"/>
      <c r="O15" s="626"/>
      <c r="P15" s="626"/>
      <c r="Q15" s="626"/>
      <c r="R15" s="626"/>
      <c r="S15" s="901"/>
    </row>
    <row r="16" spans="2:19" ht="26.1" customHeight="1" thickTop="1" thickBot="1" x14ac:dyDescent="0.4">
      <c r="B16" s="345"/>
      <c r="C16" s="343"/>
      <c r="D16" s="500"/>
      <c r="E16" s="531">
        <f t="shared" si="0"/>
        <v>0</v>
      </c>
      <c r="F16" s="110">
        <f t="shared" si="1"/>
        <v>0</v>
      </c>
      <c r="G16" s="533">
        <f t="shared" si="2"/>
        <v>66000</v>
      </c>
      <c r="H16" s="638"/>
      <c r="I16" s="218"/>
      <c r="J16" s="218"/>
      <c r="K16" s="723"/>
      <c r="L16" s="627"/>
      <c r="M16" s="627"/>
      <c r="N16" s="626"/>
      <c r="O16" s="626"/>
      <c r="P16" s="626"/>
      <c r="Q16" s="626"/>
      <c r="R16" s="626"/>
      <c r="S16" s="901"/>
    </row>
    <row r="17" spans="2:19" ht="26.1" customHeight="1" thickTop="1" thickBot="1" x14ac:dyDescent="0.4">
      <c r="B17" s="346"/>
      <c r="C17" s="343"/>
      <c r="D17" s="500"/>
      <c r="E17" s="531">
        <f t="shared" si="0"/>
        <v>0</v>
      </c>
      <c r="F17" s="110">
        <f t="shared" si="1"/>
        <v>0</v>
      </c>
      <c r="G17" s="533">
        <f t="shared" si="2"/>
        <v>66000</v>
      </c>
      <c r="H17" s="638"/>
      <c r="I17" s="218"/>
      <c r="J17" s="218"/>
      <c r="K17" s="723"/>
      <c r="L17" s="627"/>
      <c r="M17" s="627"/>
      <c r="N17" s="626"/>
      <c r="O17" s="626"/>
      <c r="P17" s="626"/>
      <c r="Q17" s="626"/>
      <c r="R17" s="626"/>
      <c r="S17" s="901"/>
    </row>
    <row r="18" spans="2:19" ht="26.1" customHeight="1" thickTop="1" thickBot="1" x14ac:dyDescent="0.4">
      <c r="B18" s="346"/>
      <c r="C18" s="643"/>
      <c r="D18" s="500"/>
      <c r="E18" s="531">
        <f t="shared" si="0"/>
        <v>0</v>
      </c>
      <c r="F18" s="110">
        <f t="shared" si="1"/>
        <v>0</v>
      </c>
      <c r="G18" s="533">
        <f t="shared" si="2"/>
        <v>66000</v>
      </c>
      <c r="H18" s="638"/>
      <c r="I18" s="218"/>
      <c r="J18" s="218"/>
      <c r="K18" s="723"/>
      <c r="L18" s="627"/>
      <c r="M18" s="627"/>
      <c r="N18" s="626"/>
      <c r="O18" s="626"/>
      <c r="P18" s="626"/>
      <c r="Q18" s="626"/>
      <c r="R18" s="626"/>
      <c r="S18" s="901"/>
    </row>
    <row r="19" spans="2:19" ht="26.1" customHeight="1" thickTop="1" thickBot="1" x14ac:dyDescent="0.4">
      <c r="B19" s="346"/>
      <c r="C19" s="643"/>
      <c r="D19" s="500"/>
      <c r="E19" s="531">
        <f t="shared" si="0"/>
        <v>0</v>
      </c>
      <c r="F19" s="110">
        <f t="shared" si="1"/>
        <v>0</v>
      </c>
      <c r="G19" s="533">
        <f t="shared" si="2"/>
        <v>66000</v>
      </c>
      <c r="H19" s="638"/>
      <c r="I19" s="218"/>
      <c r="J19" s="218"/>
      <c r="K19" s="723"/>
      <c r="L19" s="627"/>
      <c r="M19" s="627"/>
      <c r="N19" s="626"/>
      <c r="O19" s="626"/>
      <c r="P19" s="626"/>
      <c r="Q19" s="626"/>
      <c r="R19" s="626"/>
      <c r="S19" s="901"/>
    </row>
    <row r="20" spans="2:19" ht="26.1" customHeight="1" thickTop="1" thickBot="1" x14ac:dyDescent="0.4">
      <c r="B20" s="346"/>
      <c r="C20" s="643"/>
      <c r="D20" s="500"/>
      <c r="E20" s="531">
        <f t="shared" si="0"/>
        <v>0</v>
      </c>
      <c r="F20" s="110">
        <f t="shared" si="1"/>
        <v>0</v>
      </c>
      <c r="G20" s="533">
        <f t="shared" si="2"/>
        <v>66000</v>
      </c>
      <c r="H20" s="638"/>
      <c r="I20" s="218"/>
      <c r="J20" s="218"/>
      <c r="K20" s="723"/>
      <c r="L20" s="627"/>
      <c r="M20" s="627"/>
      <c r="N20" s="626"/>
      <c r="O20" s="626"/>
      <c r="P20" s="626"/>
      <c r="Q20" s="626"/>
      <c r="R20" s="626"/>
      <c r="S20" s="901"/>
    </row>
    <row r="21" spans="2:19" ht="26.1" customHeight="1" thickTop="1" thickBot="1" x14ac:dyDescent="0.4">
      <c r="B21" s="346"/>
      <c r="C21" s="128"/>
      <c r="D21" s="500"/>
      <c r="E21" s="531">
        <f t="shared" si="0"/>
        <v>0</v>
      </c>
      <c r="F21" s="110">
        <f t="shared" si="1"/>
        <v>0</v>
      </c>
      <c r="G21" s="533">
        <f t="shared" si="2"/>
        <v>66000</v>
      </c>
      <c r="H21" s="638"/>
      <c r="I21" s="218"/>
      <c r="J21" s="218"/>
      <c r="K21" s="723"/>
      <c r="L21" s="627"/>
      <c r="M21" s="627"/>
      <c r="N21" s="626"/>
      <c r="O21" s="626"/>
      <c r="P21" s="626"/>
      <c r="Q21" s="626"/>
      <c r="R21" s="626"/>
      <c r="S21" s="901"/>
    </row>
    <row r="22" spans="2:19" ht="26.1" customHeight="1" thickTop="1" thickBot="1" x14ac:dyDescent="0.4">
      <c r="B22" s="346"/>
      <c r="C22" s="643"/>
      <c r="D22" s="500"/>
      <c r="E22" s="531">
        <f t="shared" si="0"/>
        <v>0</v>
      </c>
      <c r="F22" s="110">
        <f t="shared" si="1"/>
        <v>0</v>
      </c>
      <c r="G22" s="533">
        <f t="shared" si="2"/>
        <v>66000</v>
      </c>
      <c r="H22" s="638"/>
      <c r="I22" s="218"/>
      <c r="J22" s="218"/>
      <c r="K22" s="723"/>
      <c r="L22" s="627"/>
      <c r="M22" s="627"/>
      <c r="N22" s="626"/>
      <c r="O22" s="626"/>
      <c r="P22" s="626"/>
      <c r="Q22" s="626"/>
      <c r="R22" s="626"/>
      <c r="S22" s="901"/>
    </row>
    <row r="23" spans="2:19" ht="26.1" customHeight="1" thickTop="1" thickBot="1" x14ac:dyDescent="0.4">
      <c r="B23" s="346"/>
      <c r="C23" s="128"/>
      <c r="D23" s="500"/>
      <c r="E23" s="531">
        <f t="shared" si="0"/>
        <v>0</v>
      </c>
      <c r="F23" s="110">
        <f t="shared" si="1"/>
        <v>0</v>
      </c>
      <c r="G23" s="533">
        <f t="shared" si="2"/>
        <v>66000</v>
      </c>
      <c r="H23" s="638"/>
      <c r="I23" s="218"/>
      <c r="J23" s="218"/>
      <c r="K23" s="723"/>
      <c r="L23" s="627"/>
      <c r="M23" s="627"/>
      <c r="N23" s="626"/>
      <c r="O23" s="626"/>
      <c r="P23" s="626"/>
      <c r="Q23" s="626"/>
      <c r="R23" s="626"/>
      <c r="S23" s="901"/>
    </row>
    <row r="24" spans="2:19" ht="26.1" customHeight="1" thickTop="1" thickBot="1" x14ac:dyDescent="0.4">
      <c r="B24" s="346"/>
      <c r="C24" s="128"/>
      <c r="D24" s="500"/>
      <c r="E24" s="531">
        <f t="shared" si="0"/>
        <v>0</v>
      </c>
      <c r="F24" s="110">
        <f t="shared" si="1"/>
        <v>0</v>
      </c>
      <c r="G24" s="533">
        <f t="shared" si="2"/>
        <v>66000</v>
      </c>
      <c r="H24" s="638"/>
      <c r="I24" s="218"/>
      <c r="J24" s="218"/>
      <c r="K24" s="723"/>
      <c r="L24" s="627"/>
      <c r="M24" s="627"/>
      <c r="N24" s="626"/>
      <c r="O24" s="626"/>
      <c r="P24" s="626"/>
      <c r="Q24" s="626"/>
      <c r="R24" s="626"/>
      <c r="S24" s="901"/>
    </row>
    <row r="25" spans="2:19" ht="26.1" customHeight="1" thickTop="1" thickBot="1" x14ac:dyDescent="0.4">
      <c r="B25" s="346"/>
      <c r="C25" s="643"/>
      <c r="D25" s="499"/>
      <c r="E25" s="531">
        <f t="shared" si="0"/>
        <v>0</v>
      </c>
      <c r="F25" s="110">
        <f t="shared" si="1"/>
        <v>0</v>
      </c>
      <c r="G25" s="533">
        <f t="shared" si="2"/>
        <v>66000</v>
      </c>
      <c r="H25" s="638"/>
      <c r="I25" s="218"/>
      <c r="J25" s="218"/>
      <c r="K25" s="723"/>
      <c r="L25" s="627"/>
      <c r="M25" s="627"/>
      <c r="N25" s="626"/>
      <c r="O25" s="626"/>
      <c r="P25" s="626"/>
      <c r="Q25" s="626"/>
      <c r="R25" s="626"/>
      <c r="S25" s="901"/>
    </row>
    <row r="26" spans="2:19" ht="26.1" customHeight="1" thickTop="1" thickBot="1" x14ac:dyDescent="0.4">
      <c r="B26" s="346"/>
      <c r="C26" s="128"/>
      <c r="D26" s="500"/>
      <c r="E26" s="531">
        <f t="shared" si="0"/>
        <v>0</v>
      </c>
      <c r="F26" s="110">
        <f t="shared" si="1"/>
        <v>0</v>
      </c>
      <c r="G26" s="533">
        <f t="shared" si="2"/>
        <v>66000</v>
      </c>
      <c r="H26" s="638"/>
      <c r="I26" s="218"/>
      <c r="J26" s="218"/>
      <c r="K26" s="723"/>
      <c r="L26" s="627"/>
      <c r="M26" s="627"/>
      <c r="N26" s="626"/>
      <c r="O26" s="626"/>
      <c r="P26" s="626"/>
      <c r="Q26" s="626"/>
      <c r="R26" s="626"/>
      <c r="S26" s="901"/>
    </row>
    <row r="27" spans="2:19" ht="26.1" customHeight="1" thickTop="1" thickBot="1" x14ac:dyDescent="0.4">
      <c r="B27" s="345"/>
      <c r="C27" s="643"/>
      <c r="D27" s="499"/>
      <c r="E27" s="531">
        <f t="shared" si="0"/>
        <v>0</v>
      </c>
      <c r="F27" s="110">
        <f t="shared" si="1"/>
        <v>0</v>
      </c>
      <c r="G27" s="533">
        <f t="shared" si="2"/>
        <v>66000</v>
      </c>
      <c r="H27" s="638"/>
      <c r="I27" s="218"/>
      <c r="J27" s="218"/>
      <c r="K27" s="723"/>
      <c r="L27" s="627"/>
      <c r="M27" s="627"/>
      <c r="N27" s="626"/>
      <c r="O27" s="626"/>
      <c r="P27" s="626"/>
      <c r="Q27" s="626"/>
      <c r="R27" s="626"/>
      <c r="S27" s="901"/>
    </row>
    <row r="28" spans="2:19" ht="26.1" customHeight="1" thickTop="1" thickBot="1" x14ac:dyDescent="0.4">
      <c r="B28" s="346"/>
      <c r="C28" s="128"/>
      <c r="D28" s="500"/>
      <c r="E28" s="531">
        <f t="shared" si="0"/>
        <v>0</v>
      </c>
      <c r="F28" s="110">
        <f t="shared" si="1"/>
        <v>0</v>
      </c>
      <c r="G28" s="533">
        <f t="shared" si="2"/>
        <v>66000</v>
      </c>
      <c r="H28" s="638"/>
      <c r="I28" s="218"/>
      <c r="J28" s="218"/>
      <c r="K28" s="723"/>
      <c r="L28" s="627"/>
      <c r="M28" s="627"/>
      <c r="N28" s="626"/>
      <c r="O28" s="626"/>
      <c r="P28" s="626"/>
      <c r="Q28" s="626"/>
      <c r="R28" s="626"/>
      <c r="S28" s="901"/>
    </row>
    <row r="29" spans="2:19" ht="26.1" customHeight="1" thickTop="1" thickBot="1" x14ac:dyDescent="0.4">
      <c r="B29" s="346"/>
      <c r="C29" s="643"/>
      <c r="D29" s="500"/>
      <c r="E29" s="531"/>
      <c r="F29" s="110">
        <f t="shared" si="1"/>
        <v>0</v>
      </c>
      <c r="G29" s="533">
        <f t="shared" si="2"/>
        <v>66000</v>
      </c>
      <c r="H29" s="638"/>
      <c r="I29" s="218"/>
      <c r="J29" s="218"/>
      <c r="K29" s="723"/>
      <c r="L29" s="627"/>
      <c r="M29" s="627"/>
      <c r="N29" s="626"/>
      <c r="O29" s="626"/>
      <c r="P29" s="626"/>
      <c r="Q29" s="626"/>
      <c r="R29" s="626"/>
      <c r="S29" s="901"/>
    </row>
    <row r="30" spans="2:19" ht="26.1" customHeight="1" thickTop="1" thickBot="1" x14ac:dyDescent="0.4">
      <c r="B30" s="346"/>
      <c r="C30" s="643"/>
      <c r="D30" s="500"/>
      <c r="E30" s="531">
        <f t="shared" ref="E30:E36" si="3">SUM(H30:K30)</f>
        <v>0</v>
      </c>
      <c r="F30" s="110">
        <f t="shared" si="1"/>
        <v>0</v>
      </c>
      <c r="G30" s="533">
        <f t="shared" si="2"/>
        <v>66000</v>
      </c>
      <c r="H30" s="638"/>
      <c r="I30" s="218"/>
      <c r="J30" s="218"/>
      <c r="K30" s="723"/>
      <c r="L30" s="627"/>
      <c r="M30" s="627"/>
      <c r="N30" s="626"/>
      <c r="O30" s="626"/>
      <c r="P30" s="626"/>
      <c r="Q30" s="626"/>
      <c r="R30" s="626"/>
      <c r="S30" s="901"/>
    </row>
    <row r="31" spans="2:19" ht="26.1" customHeight="1" thickTop="1" thickBot="1" x14ac:dyDescent="0.4">
      <c r="B31" s="346"/>
      <c r="C31" s="643"/>
      <c r="D31" s="500"/>
      <c r="E31" s="531">
        <f t="shared" si="3"/>
        <v>0</v>
      </c>
      <c r="F31" s="110">
        <f t="shared" si="1"/>
        <v>0</v>
      </c>
      <c r="G31" s="533">
        <f t="shared" si="2"/>
        <v>66000</v>
      </c>
      <c r="H31" s="638"/>
      <c r="I31" s="218"/>
      <c r="J31" s="218"/>
      <c r="K31" s="723"/>
      <c r="L31" s="627"/>
      <c r="M31" s="627"/>
      <c r="N31" s="626"/>
      <c r="O31" s="626"/>
      <c r="P31" s="626"/>
      <c r="Q31" s="626"/>
      <c r="R31" s="626"/>
      <c r="S31" s="901"/>
    </row>
    <row r="32" spans="2:19" ht="26.1" customHeight="1" thickTop="1" thickBot="1" x14ac:dyDescent="0.4">
      <c r="B32" s="346"/>
      <c r="C32" s="128"/>
      <c r="D32" s="500"/>
      <c r="E32" s="531">
        <f t="shared" si="3"/>
        <v>0</v>
      </c>
      <c r="F32" s="110">
        <f t="shared" si="1"/>
        <v>0</v>
      </c>
      <c r="G32" s="533">
        <f t="shared" si="2"/>
        <v>66000</v>
      </c>
      <c r="H32" s="638"/>
      <c r="I32" s="218"/>
      <c r="J32" s="218"/>
      <c r="K32" s="723"/>
      <c r="L32" s="627"/>
      <c r="M32" s="627"/>
      <c r="N32" s="626"/>
      <c r="O32" s="626"/>
      <c r="P32" s="626"/>
      <c r="Q32" s="626"/>
      <c r="R32" s="626"/>
      <c r="S32" s="901"/>
    </row>
    <row r="33" spans="2:19" ht="26.1" customHeight="1" thickTop="1" thickBot="1" x14ac:dyDescent="0.4">
      <c r="B33" s="346"/>
      <c r="C33" s="128"/>
      <c r="D33" s="500"/>
      <c r="E33" s="531">
        <f t="shared" si="3"/>
        <v>0</v>
      </c>
      <c r="F33" s="110">
        <f t="shared" si="1"/>
        <v>0</v>
      </c>
      <c r="G33" s="533">
        <f t="shared" si="2"/>
        <v>66000</v>
      </c>
      <c r="H33" s="638"/>
      <c r="I33" s="218"/>
      <c r="J33" s="218"/>
      <c r="K33" s="723"/>
      <c r="L33" s="627"/>
      <c r="M33" s="627"/>
      <c r="N33" s="626"/>
      <c r="O33" s="626"/>
      <c r="P33" s="626"/>
      <c r="Q33" s="626"/>
      <c r="R33" s="626"/>
      <c r="S33" s="901"/>
    </row>
    <row r="34" spans="2:19" ht="26.1" customHeight="1" thickTop="1" thickBot="1" x14ac:dyDescent="0.4">
      <c r="B34" s="346"/>
      <c r="C34" s="128"/>
      <c r="D34" s="500"/>
      <c r="E34" s="531">
        <f t="shared" si="3"/>
        <v>0</v>
      </c>
      <c r="F34" s="110">
        <f t="shared" si="1"/>
        <v>0</v>
      </c>
      <c r="G34" s="533">
        <f t="shared" si="2"/>
        <v>66000</v>
      </c>
      <c r="H34" s="638"/>
      <c r="I34" s="218"/>
      <c r="J34" s="218"/>
      <c r="K34" s="723"/>
      <c r="L34" s="627"/>
      <c r="M34" s="627"/>
      <c r="N34" s="626"/>
      <c r="O34" s="626"/>
      <c r="P34" s="626"/>
      <c r="Q34" s="626"/>
      <c r="R34" s="626"/>
      <c r="S34" s="901"/>
    </row>
    <row r="35" spans="2:19" ht="26.1" customHeight="1" thickTop="1" thickBot="1" x14ac:dyDescent="0.4">
      <c r="B35" s="346"/>
      <c r="C35" s="128"/>
      <c r="D35" s="500"/>
      <c r="E35" s="531">
        <f t="shared" si="3"/>
        <v>0</v>
      </c>
      <c r="F35" s="110">
        <f t="shared" si="1"/>
        <v>0</v>
      </c>
      <c r="G35" s="533">
        <f t="shared" si="2"/>
        <v>66000</v>
      </c>
      <c r="H35" s="638"/>
      <c r="I35" s="218"/>
      <c r="J35" s="218"/>
      <c r="K35" s="723"/>
      <c r="L35" s="627"/>
      <c r="M35" s="627"/>
      <c r="N35" s="626"/>
      <c r="O35" s="626"/>
      <c r="P35" s="626"/>
      <c r="Q35" s="626"/>
      <c r="R35" s="626"/>
      <c r="S35" s="901"/>
    </row>
    <row r="36" spans="2:19" ht="26.1" customHeight="1" thickTop="1" thickBot="1" x14ac:dyDescent="0.4">
      <c r="B36" s="346"/>
      <c r="C36" s="128"/>
      <c r="D36" s="500"/>
      <c r="E36" s="531">
        <f t="shared" si="3"/>
        <v>0</v>
      </c>
      <c r="F36" s="110">
        <f t="shared" si="1"/>
        <v>0</v>
      </c>
      <c r="G36" s="533">
        <f t="shared" si="2"/>
        <v>66000</v>
      </c>
      <c r="H36" s="638"/>
      <c r="I36" s="218"/>
      <c r="J36" s="218"/>
      <c r="K36" s="723"/>
      <c r="L36" s="627"/>
      <c r="M36" s="627"/>
      <c r="N36" s="626"/>
      <c r="O36" s="626"/>
      <c r="P36" s="626"/>
      <c r="Q36" s="626"/>
      <c r="R36" s="626"/>
      <c r="S36" s="901"/>
    </row>
    <row r="37" spans="2:19" ht="26.1" customHeight="1" thickTop="1" thickBot="1" x14ac:dyDescent="0.4">
      <c r="B37" s="346"/>
      <c r="C37" s="643"/>
      <c r="D37" s="500"/>
      <c r="E37" s="531"/>
      <c r="F37" s="110">
        <f t="shared" ref="F37:F68" si="4">SUM(L37:S37)</f>
        <v>0</v>
      </c>
      <c r="G37" s="533">
        <f t="shared" si="2"/>
        <v>66000</v>
      </c>
      <c r="H37" s="638"/>
      <c r="I37" s="218"/>
      <c r="J37" s="218"/>
      <c r="K37" s="723"/>
      <c r="L37" s="627"/>
      <c r="M37" s="627"/>
      <c r="N37" s="626"/>
      <c r="O37" s="626"/>
      <c r="P37" s="626"/>
      <c r="Q37" s="626"/>
      <c r="R37" s="626"/>
      <c r="S37" s="901"/>
    </row>
    <row r="38" spans="2:19" ht="26.1" customHeight="1" thickTop="1" thickBot="1" x14ac:dyDescent="0.4">
      <c r="B38" s="346"/>
      <c r="C38" s="128"/>
      <c r="D38" s="500"/>
      <c r="E38" s="531">
        <f>SUM(H38:K38)</f>
        <v>0</v>
      </c>
      <c r="F38" s="110">
        <f t="shared" si="4"/>
        <v>0</v>
      </c>
      <c r="G38" s="533">
        <f t="shared" si="2"/>
        <v>66000</v>
      </c>
      <c r="H38" s="638"/>
      <c r="I38" s="218"/>
      <c r="J38" s="218"/>
      <c r="K38" s="723"/>
      <c r="L38" s="627"/>
      <c r="M38" s="627"/>
      <c r="N38" s="626"/>
      <c r="O38" s="626"/>
      <c r="P38" s="626"/>
      <c r="Q38" s="626"/>
      <c r="R38" s="626"/>
      <c r="S38" s="901"/>
    </row>
    <row r="39" spans="2:19" ht="26.1" customHeight="1" thickTop="1" thickBot="1" x14ac:dyDescent="0.4">
      <c r="B39" s="346"/>
      <c r="C39" s="128"/>
      <c r="D39" s="500"/>
      <c r="E39" s="531">
        <f>SUM(H39:K39)</f>
        <v>0</v>
      </c>
      <c r="F39" s="110">
        <f t="shared" si="4"/>
        <v>0</v>
      </c>
      <c r="G39" s="533">
        <f t="shared" si="2"/>
        <v>66000</v>
      </c>
      <c r="H39" s="638"/>
      <c r="I39" s="218"/>
      <c r="J39" s="218"/>
      <c r="K39" s="723"/>
      <c r="L39" s="627"/>
      <c r="M39" s="627"/>
      <c r="N39" s="626"/>
      <c r="O39" s="626"/>
      <c r="P39" s="626"/>
      <c r="Q39" s="626"/>
      <c r="R39" s="626"/>
      <c r="S39" s="901"/>
    </row>
    <row r="40" spans="2:19" ht="26.1" customHeight="1" thickTop="1" thickBot="1" x14ac:dyDescent="0.4">
      <c r="B40" s="346"/>
      <c r="C40" s="643"/>
      <c r="D40" s="500"/>
      <c r="E40" s="531"/>
      <c r="F40" s="110">
        <f t="shared" si="4"/>
        <v>0</v>
      </c>
      <c r="G40" s="533">
        <f t="shared" si="2"/>
        <v>66000</v>
      </c>
      <c r="H40" s="638"/>
      <c r="I40" s="218"/>
      <c r="J40" s="218"/>
      <c r="K40" s="723"/>
      <c r="L40" s="627"/>
      <c r="M40" s="627"/>
      <c r="N40" s="626"/>
      <c r="O40" s="626"/>
      <c r="P40" s="626"/>
      <c r="Q40" s="626"/>
      <c r="R40" s="626"/>
      <c r="S40" s="901"/>
    </row>
    <row r="41" spans="2:19" ht="26.1" customHeight="1" thickTop="1" thickBot="1" x14ac:dyDescent="0.4">
      <c r="B41" s="346"/>
      <c r="C41" s="128"/>
      <c r="D41" s="500"/>
      <c r="E41" s="531">
        <f t="shared" ref="E41:E46" si="5">SUM(H41:K41)</f>
        <v>0</v>
      </c>
      <c r="F41" s="110">
        <f t="shared" si="4"/>
        <v>0</v>
      </c>
      <c r="G41" s="533">
        <f t="shared" si="2"/>
        <v>66000</v>
      </c>
      <c r="H41" s="638"/>
      <c r="I41" s="218"/>
      <c r="J41" s="218"/>
      <c r="K41" s="723"/>
      <c r="L41" s="627"/>
      <c r="M41" s="627"/>
      <c r="N41" s="626"/>
      <c r="O41" s="626"/>
      <c r="P41" s="626"/>
      <c r="Q41" s="626"/>
      <c r="R41" s="626"/>
      <c r="S41" s="901"/>
    </row>
    <row r="42" spans="2:19" ht="26.1" customHeight="1" thickTop="1" thickBot="1" x14ac:dyDescent="0.4">
      <c r="B42" s="346"/>
      <c r="C42" s="128"/>
      <c r="D42" s="500"/>
      <c r="E42" s="531">
        <f t="shared" si="5"/>
        <v>0</v>
      </c>
      <c r="F42" s="110">
        <f t="shared" si="4"/>
        <v>0</v>
      </c>
      <c r="G42" s="533">
        <f t="shared" si="2"/>
        <v>66000</v>
      </c>
      <c r="H42" s="638"/>
      <c r="I42" s="218"/>
      <c r="J42" s="218"/>
      <c r="K42" s="723"/>
      <c r="L42" s="627"/>
      <c r="M42" s="627"/>
      <c r="N42" s="626"/>
      <c r="O42" s="626"/>
      <c r="P42" s="626"/>
      <c r="Q42" s="626"/>
      <c r="R42" s="626"/>
      <c r="S42" s="901"/>
    </row>
    <row r="43" spans="2:19" ht="26.1" customHeight="1" thickTop="1" thickBot="1" x14ac:dyDescent="0.4">
      <c r="B43" s="346"/>
      <c r="C43" s="128"/>
      <c r="D43" s="500"/>
      <c r="E43" s="531">
        <f t="shared" si="5"/>
        <v>0</v>
      </c>
      <c r="F43" s="110">
        <f t="shared" si="4"/>
        <v>0</v>
      </c>
      <c r="G43" s="533">
        <f t="shared" si="2"/>
        <v>66000</v>
      </c>
      <c r="H43" s="638"/>
      <c r="I43" s="218"/>
      <c r="J43" s="218"/>
      <c r="K43" s="723"/>
      <c r="L43" s="627"/>
      <c r="M43" s="627"/>
      <c r="N43" s="626"/>
      <c r="O43" s="626"/>
      <c r="P43" s="626"/>
      <c r="Q43" s="626"/>
      <c r="R43" s="626"/>
      <c r="S43" s="901"/>
    </row>
    <row r="44" spans="2:19" ht="26.1" customHeight="1" thickTop="1" thickBot="1" x14ac:dyDescent="0.4">
      <c r="B44" s="346"/>
      <c r="C44" s="128"/>
      <c r="D44" s="500"/>
      <c r="E44" s="531">
        <f t="shared" si="5"/>
        <v>0</v>
      </c>
      <c r="F44" s="110">
        <f t="shared" si="4"/>
        <v>0</v>
      </c>
      <c r="G44" s="533">
        <f t="shared" si="2"/>
        <v>66000</v>
      </c>
      <c r="H44" s="638"/>
      <c r="I44" s="218"/>
      <c r="J44" s="218"/>
      <c r="K44" s="723"/>
      <c r="L44" s="627"/>
      <c r="M44" s="627"/>
      <c r="N44" s="626"/>
      <c r="O44" s="626"/>
      <c r="P44" s="626"/>
      <c r="Q44" s="626"/>
      <c r="R44" s="626"/>
      <c r="S44" s="901"/>
    </row>
    <row r="45" spans="2:19" ht="26.1" customHeight="1" thickTop="1" thickBot="1" x14ac:dyDescent="0.4">
      <c r="B45" s="346"/>
      <c r="C45" s="128"/>
      <c r="D45" s="500"/>
      <c r="E45" s="531">
        <f t="shared" si="5"/>
        <v>0</v>
      </c>
      <c r="F45" s="110">
        <f t="shared" si="4"/>
        <v>0</v>
      </c>
      <c r="G45" s="533">
        <f t="shared" si="2"/>
        <v>66000</v>
      </c>
      <c r="H45" s="638"/>
      <c r="I45" s="218"/>
      <c r="J45" s="218"/>
      <c r="K45" s="723"/>
      <c r="L45" s="627"/>
      <c r="M45" s="627"/>
      <c r="N45" s="626"/>
      <c r="O45" s="626"/>
      <c r="P45" s="626"/>
      <c r="Q45" s="626"/>
      <c r="R45" s="626"/>
      <c r="S45" s="901"/>
    </row>
    <row r="46" spans="2:19" ht="26.1" customHeight="1" thickTop="1" thickBot="1" x14ac:dyDescent="0.4">
      <c r="B46" s="346"/>
      <c r="C46" s="128"/>
      <c r="D46" s="500"/>
      <c r="E46" s="531">
        <f t="shared" si="5"/>
        <v>0</v>
      </c>
      <c r="F46" s="110">
        <f t="shared" si="4"/>
        <v>0</v>
      </c>
      <c r="G46" s="533">
        <f t="shared" si="2"/>
        <v>66000</v>
      </c>
      <c r="H46" s="638"/>
      <c r="I46" s="218"/>
      <c r="J46" s="218"/>
      <c r="K46" s="723"/>
      <c r="L46" s="627"/>
      <c r="M46" s="627"/>
      <c r="N46" s="626"/>
      <c r="O46" s="626"/>
      <c r="P46" s="626"/>
      <c r="Q46" s="626"/>
      <c r="R46" s="626"/>
      <c r="S46" s="901"/>
    </row>
    <row r="47" spans="2:19" ht="26.1" customHeight="1" thickTop="1" thickBot="1" x14ac:dyDescent="0.4">
      <c r="B47" s="346"/>
      <c r="C47" s="644"/>
      <c r="D47" s="500"/>
      <c r="E47" s="531"/>
      <c r="F47" s="110">
        <f t="shared" si="4"/>
        <v>0</v>
      </c>
      <c r="G47" s="533">
        <f t="shared" si="2"/>
        <v>66000</v>
      </c>
      <c r="H47" s="638"/>
      <c r="I47" s="218"/>
      <c r="J47" s="218"/>
      <c r="K47" s="723"/>
      <c r="L47" s="627"/>
      <c r="M47" s="627"/>
      <c r="N47" s="626"/>
      <c r="O47" s="626"/>
      <c r="P47" s="626"/>
      <c r="Q47" s="626"/>
      <c r="R47" s="626"/>
      <c r="S47" s="901"/>
    </row>
    <row r="48" spans="2:19" ht="26.1" customHeight="1" thickTop="1" thickBot="1" x14ac:dyDescent="0.4">
      <c r="B48" s="346"/>
      <c r="C48" s="128"/>
      <c r="D48" s="500"/>
      <c r="E48" s="531">
        <f>SUM(H48:K48)</f>
        <v>0</v>
      </c>
      <c r="F48" s="110">
        <f t="shared" si="4"/>
        <v>0</v>
      </c>
      <c r="G48" s="533">
        <f t="shared" si="2"/>
        <v>66000</v>
      </c>
      <c r="H48" s="638"/>
      <c r="I48" s="218"/>
      <c r="J48" s="218"/>
      <c r="K48" s="723"/>
      <c r="L48" s="627"/>
      <c r="M48" s="627"/>
      <c r="N48" s="626"/>
      <c r="O48" s="626"/>
      <c r="P48" s="626"/>
      <c r="Q48" s="626"/>
      <c r="R48" s="626"/>
      <c r="S48" s="901"/>
    </row>
    <row r="49" spans="2:19" ht="26.1" customHeight="1" thickTop="1" thickBot="1" x14ac:dyDescent="0.4">
      <c r="B49" s="346"/>
      <c r="C49" s="128"/>
      <c r="D49" s="500"/>
      <c r="E49" s="531">
        <f>SUM(H49:K49)</f>
        <v>0</v>
      </c>
      <c r="F49" s="110">
        <f t="shared" si="4"/>
        <v>0</v>
      </c>
      <c r="G49" s="533">
        <f t="shared" si="2"/>
        <v>66000</v>
      </c>
      <c r="H49" s="638"/>
      <c r="I49" s="218"/>
      <c r="J49" s="218"/>
      <c r="K49" s="723"/>
      <c r="L49" s="627"/>
      <c r="M49" s="627"/>
      <c r="N49" s="626"/>
      <c r="O49" s="626"/>
      <c r="P49" s="626"/>
      <c r="Q49" s="626"/>
      <c r="R49" s="626"/>
      <c r="S49" s="901"/>
    </row>
    <row r="50" spans="2:19" ht="26.1" customHeight="1" thickTop="1" thickBot="1" x14ac:dyDescent="0.4">
      <c r="B50" s="346"/>
      <c r="C50" s="128"/>
      <c r="D50" s="500"/>
      <c r="E50" s="531">
        <f>SUM(H50:K50)</f>
        <v>0</v>
      </c>
      <c r="F50" s="110">
        <f t="shared" si="4"/>
        <v>0</v>
      </c>
      <c r="G50" s="533">
        <f t="shared" si="2"/>
        <v>66000</v>
      </c>
      <c r="H50" s="638"/>
      <c r="I50" s="218"/>
      <c r="J50" s="218"/>
      <c r="K50" s="723"/>
      <c r="L50" s="627"/>
      <c r="M50" s="627"/>
      <c r="N50" s="626"/>
      <c r="O50" s="626"/>
      <c r="P50" s="626"/>
      <c r="Q50" s="626"/>
      <c r="R50" s="626"/>
      <c r="S50" s="901"/>
    </row>
    <row r="51" spans="2:19" ht="26.1" customHeight="1" thickTop="1" thickBot="1" x14ac:dyDescent="0.4">
      <c r="B51" s="346"/>
      <c r="C51" s="128"/>
      <c r="D51" s="500"/>
      <c r="E51" s="531">
        <f>SUM(H51:K51)</f>
        <v>0</v>
      </c>
      <c r="F51" s="110">
        <f t="shared" si="4"/>
        <v>0</v>
      </c>
      <c r="G51" s="533">
        <f t="shared" si="2"/>
        <v>66000</v>
      </c>
      <c r="H51" s="638"/>
      <c r="I51" s="218"/>
      <c r="J51" s="218"/>
      <c r="K51" s="723"/>
      <c r="L51" s="627"/>
      <c r="M51" s="627"/>
      <c r="N51" s="626"/>
      <c r="O51" s="626"/>
      <c r="P51" s="626"/>
      <c r="Q51" s="626"/>
      <c r="R51" s="626"/>
      <c r="S51" s="901"/>
    </row>
    <row r="52" spans="2:19" ht="26.1" customHeight="1" thickTop="1" thickBot="1" x14ac:dyDescent="0.4">
      <c r="B52" s="346"/>
      <c r="C52" s="644"/>
      <c r="D52" s="500"/>
      <c r="E52" s="531"/>
      <c r="F52" s="110">
        <f t="shared" si="4"/>
        <v>0</v>
      </c>
      <c r="G52" s="533">
        <f t="shared" si="2"/>
        <v>66000</v>
      </c>
      <c r="H52" s="638"/>
      <c r="I52" s="218"/>
      <c r="J52" s="218"/>
      <c r="K52" s="723"/>
      <c r="L52" s="627"/>
      <c r="M52" s="627"/>
      <c r="N52" s="626"/>
      <c r="O52" s="626"/>
      <c r="P52" s="626"/>
      <c r="Q52" s="626"/>
      <c r="R52" s="626"/>
      <c r="S52" s="901"/>
    </row>
    <row r="53" spans="2:19" ht="26.1" customHeight="1" thickTop="1" thickBot="1" x14ac:dyDescent="0.4">
      <c r="B53" s="346"/>
      <c r="C53" s="128"/>
      <c r="D53" s="500"/>
      <c r="E53" s="531">
        <f t="shared" ref="E53:E62" si="6">SUM(H53:K53)</f>
        <v>0</v>
      </c>
      <c r="F53" s="110">
        <f t="shared" si="4"/>
        <v>0</v>
      </c>
      <c r="G53" s="533">
        <f t="shared" si="2"/>
        <v>66000</v>
      </c>
      <c r="H53" s="638"/>
      <c r="I53" s="218"/>
      <c r="J53" s="218"/>
      <c r="K53" s="723"/>
      <c r="L53" s="627"/>
      <c r="M53" s="627"/>
      <c r="N53" s="626"/>
      <c r="O53" s="626"/>
      <c r="P53" s="626"/>
      <c r="Q53" s="626"/>
      <c r="R53" s="626"/>
      <c r="S53" s="901"/>
    </row>
    <row r="54" spans="2:19" ht="26.1" customHeight="1" thickTop="1" thickBot="1" x14ac:dyDescent="0.4">
      <c r="B54" s="346"/>
      <c r="C54" s="644"/>
      <c r="D54" s="500"/>
      <c r="E54" s="531">
        <f t="shared" si="6"/>
        <v>0</v>
      </c>
      <c r="F54" s="110">
        <f t="shared" si="4"/>
        <v>0</v>
      </c>
      <c r="G54" s="533">
        <f t="shared" si="2"/>
        <v>66000</v>
      </c>
      <c r="H54" s="638"/>
      <c r="I54" s="218"/>
      <c r="J54" s="218"/>
      <c r="K54" s="723"/>
      <c r="L54" s="627"/>
      <c r="M54" s="627"/>
      <c r="N54" s="626"/>
      <c r="O54" s="626"/>
      <c r="P54" s="626"/>
      <c r="Q54" s="626"/>
      <c r="R54" s="626"/>
      <c r="S54" s="901"/>
    </row>
    <row r="55" spans="2:19" ht="26.1" customHeight="1" thickTop="1" thickBot="1" x14ac:dyDescent="0.4">
      <c r="B55" s="346"/>
      <c r="C55" s="128"/>
      <c r="D55" s="500"/>
      <c r="E55" s="531">
        <f t="shared" si="6"/>
        <v>0</v>
      </c>
      <c r="F55" s="110">
        <f t="shared" si="4"/>
        <v>0</v>
      </c>
      <c r="G55" s="533">
        <f t="shared" si="2"/>
        <v>66000</v>
      </c>
      <c r="H55" s="638"/>
      <c r="I55" s="218"/>
      <c r="J55" s="218"/>
      <c r="K55" s="723"/>
      <c r="L55" s="627"/>
      <c r="M55" s="627"/>
      <c r="N55" s="626"/>
      <c r="O55" s="626"/>
      <c r="P55" s="626"/>
      <c r="Q55" s="626"/>
      <c r="R55" s="626"/>
      <c r="S55" s="901"/>
    </row>
    <row r="56" spans="2:19" ht="26.1" customHeight="1" thickTop="1" thickBot="1" x14ac:dyDescent="0.4">
      <c r="B56" s="346"/>
      <c r="C56" s="128"/>
      <c r="D56" s="500"/>
      <c r="E56" s="531">
        <f t="shared" si="6"/>
        <v>0</v>
      </c>
      <c r="F56" s="110">
        <f t="shared" si="4"/>
        <v>0</v>
      </c>
      <c r="G56" s="533">
        <f t="shared" si="2"/>
        <v>66000</v>
      </c>
      <c r="H56" s="638"/>
      <c r="I56" s="218"/>
      <c r="J56" s="218"/>
      <c r="K56" s="723"/>
      <c r="L56" s="627"/>
      <c r="M56" s="627"/>
      <c r="N56" s="626"/>
      <c r="O56" s="626"/>
      <c r="P56" s="626"/>
      <c r="Q56" s="626"/>
      <c r="R56" s="626"/>
      <c r="S56" s="901"/>
    </row>
    <row r="57" spans="2:19" ht="26.1" customHeight="1" thickTop="1" thickBot="1" x14ac:dyDescent="0.4">
      <c r="B57" s="346"/>
      <c r="C57" s="128"/>
      <c r="D57" s="500"/>
      <c r="E57" s="531">
        <f t="shared" si="6"/>
        <v>0</v>
      </c>
      <c r="F57" s="110">
        <f t="shared" si="4"/>
        <v>0</v>
      </c>
      <c r="G57" s="533">
        <f t="shared" si="2"/>
        <v>66000</v>
      </c>
      <c r="H57" s="638"/>
      <c r="I57" s="218"/>
      <c r="J57" s="218"/>
      <c r="K57" s="723"/>
      <c r="L57" s="627"/>
      <c r="M57" s="627"/>
      <c r="N57" s="626"/>
      <c r="O57" s="626"/>
      <c r="P57" s="626"/>
      <c r="Q57" s="626"/>
      <c r="R57" s="626"/>
      <c r="S57" s="901"/>
    </row>
    <row r="58" spans="2:19" ht="26.1" customHeight="1" thickTop="1" thickBot="1" x14ac:dyDescent="0.4">
      <c r="B58" s="346"/>
      <c r="C58" s="645"/>
      <c r="D58" s="501"/>
      <c r="E58" s="531">
        <f t="shared" si="6"/>
        <v>0</v>
      </c>
      <c r="F58" s="110">
        <f t="shared" si="4"/>
        <v>0</v>
      </c>
      <c r="G58" s="533">
        <f t="shared" si="2"/>
        <v>66000</v>
      </c>
      <c r="H58" s="638"/>
      <c r="I58" s="218"/>
      <c r="J58" s="218"/>
      <c r="K58" s="723"/>
      <c r="L58" s="627"/>
      <c r="M58" s="627"/>
      <c r="N58" s="626"/>
      <c r="O58" s="626"/>
      <c r="P58" s="626"/>
      <c r="Q58" s="626"/>
      <c r="R58" s="626"/>
      <c r="S58" s="901"/>
    </row>
    <row r="59" spans="2:19" ht="26.1" customHeight="1" thickTop="1" thickBot="1" x14ac:dyDescent="0.4">
      <c r="B59" s="346"/>
      <c r="C59" s="644"/>
      <c r="D59" s="501"/>
      <c r="E59" s="531">
        <f t="shared" si="6"/>
        <v>0</v>
      </c>
      <c r="F59" s="110">
        <f t="shared" si="4"/>
        <v>0</v>
      </c>
      <c r="G59" s="533">
        <f t="shared" si="2"/>
        <v>66000</v>
      </c>
      <c r="H59" s="638"/>
      <c r="I59" s="218"/>
      <c r="J59" s="218"/>
      <c r="K59" s="723"/>
      <c r="L59" s="627"/>
      <c r="M59" s="627"/>
      <c r="N59" s="626"/>
      <c r="O59" s="626"/>
      <c r="P59" s="626"/>
      <c r="Q59" s="626"/>
      <c r="R59" s="626"/>
      <c r="S59" s="901"/>
    </row>
    <row r="60" spans="2:19" ht="26.1" customHeight="1" thickTop="1" thickBot="1" x14ac:dyDescent="0.4">
      <c r="B60" s="346"/>
      <c r="C60" s="128"/>
      <c r="D60" s="500"/>
      <c r="E60" s="531">
        <f t="shared" si="6"/>
        <v>0</v>
      </c>
      <c r="F60" s="110">
        <f t="shared" si="4"/>
        <v>0</v>
      </c>
      <c r="G60" s="533">
        <f t="shared" si="2"/>
        <v>66000</v>
      </c>
      <c r="H60" s="638"/>
      <c r="I60" s="218"/>
      <c r="J60" s="218"/>
      <c r="K60" s="723"/>
      <c r="L60" s="627"/>
      <c r="M60" s="627"/>
      <c r="N60" s="626"/>
      <c r="O60" s="626"/>
      <c r="P60" s="626"/>
      <c r="Q60" s="626"/>
      <c r="R60" s="626"/>
      <c r="S60" s="901"/>
    </row>
    <row r="61" spans="2:19" ht="26.1" customHeight="1" thickTop="1" thickBot="1" x14ac:dyDescent="0.4">
      <c r="B61" s="346"/>
      <c r="C61" s="128"/>
      <c r="D61" s="500"/>
      <c r="E61" s="531">
        <f t="shared" si="6"/>
        <v>0</v>
      </c>
      <c r="F61" s="110">
        <f t="shared" si="4"/>
        <v>0</v>
      </c>
      <c r="G61" s="533">
        <f t="shared" si="2"/>
        <v>66000</v>
      </c>
      <c r="H61" s="638"/>
      <c r="I61" s="218"/>
      <c r="J61" s="218"/>
      <c r="K61" s="723"/>
      <c r="L61" s="627"/>
      <c r="M61" s="627"/>
      <c r="N61" s="626"/>
      <c r="O61" s="626"/>
      <c r="P61" s="626"/>
      <c r="Q61" s="626"/>
      <c r="R61" s="626"/>
      <c r="S61" s="901"/>
    </row>
    <row r="62" spans="2:19" ht="26.1" customHeight="1" thickTop="1" thickBot="1" x14ac:dyDescent="0.4">
      <c r="B62" s="346"/>
      <c r="C62" s="645"/>
      <c r="D62" s="500"/>
      <c r="E62" s="531">
        <f t="shared" si="6"/>
        <v>0</v>
      </c>
      <c r="F62" s="110">
        <f t="shared" si="4"/>
        <v>0</v>
      </c>
      <c r="G62" s="533">
        <f t="shared" si="2"/>
        <v>66000</v>
      </c>
      <c r="H62" s="638"/>
      <c r="I62" s="218"/>
      <c r="J62" s="218"/>
      <c r="K62" s="723"/>
      <c r="L62" s="627"/>
      <c r="M62" s="627"/>
      <c r="N62" s="626"/>
      <c r="O62" s="626"/>
      <c r="P62" s="626"/>
      <c r="Q62" s="626"/>
      <c r="R62" s="626"/>
      <c r="S62" s="901"/>
    </row>
    <row r="63" spans="2:19" ht="26.1" customHeight="1" thickTop="1" thickBot="1" x14ac:dyDescent="0.4">
      <c r="B63" s="346"/>
      <c r="C63" s="644"/>
      <c r="D63" s="500"/>
      <c r="E63" s="531"/>
      <c r="F63" s="110">
        <f t="shared" si="4"/>
        <v>0</v>
      </c>
      <c r="G63" s="533">
        <f t="shared" si="2"/>
        <v>66000</v>
      </c>
      <c r="H63" s="638"/>
      <c r="I63" s="218"/>
      <c r="J63" s="218"/>
      <c r="K63" s="723"/>
      <c r="L63" s="627"/>
      <c r="M63" s="627"/>
      <c r="N63" s="626"/>
      <c r="O63" s="626"/>
      <c r="P63" s="626"/>
      <c r="Q63" s="626"/>
      <c r="R63" s="626"/>
      <c r="S63" s="901"/>
    </row>
    <row r="64" spans="2:19" ht="26.1" customHeight="1" thickTop="1" thickBot="1" x14ac:dyDescent="0.4">
      <c r="B64" s="346"/>
      <c r="C64" s="128"/>
      <c r="D64" s="500"/>
      <c r="E64" s="531">
        <f t="shared" ref="E64:E74" si="7">SUM(H64:K64)</f>
        <v>0</v>
      </c>
      <c r="F64" s="110">
        <f t="shared" si="4"/>
        <v>0</v>
      </c>
      <c r="G64" s="533">
        <f t="shared" si="2"/>
        <v>66000</v>
      </c>
      <c r="H64" s="638"/>
      <c r="I64" s="218"/>
      <c r="J64" s="218"/>
      <c r="K64" s="723"/>
      <c r="L64" s="627"/>
      <c r="M64" s="627"/>
      <c r="N64" s="626"/>
      <c r="O64" s="626"/>
      <c r="P64" s="626"/>
      <c r="Q64" s="626"/>
      <c r="R64" s="626"/>
      <c r="S64" s="901"/>
    </row>
    <row r="65" spans="2:19" ht="26.1" customHeight="1" thickTop="1" thickBot="1" x14ac:dyDescent="0.4">
      <c r="B65" s="346"/>
      <c r="C65" s="643"/>
      <c r="D65" s="500"/>
      <c r="E65" s="531">
        <f t="shared" si="7"/>
        <v>0</v>
      </c>
      <c r="F65" s="110">
        <f t="shared" si="4"/>
        <v>0</v>
      </c>
      <c r="G65" s="533">
        <f t="shared" si="2"/>
        <v>66000</v>
      </c>
      <c r="H65" s="638"/>
      <c r="I65" s="218"/>
      <c r="J65" s="218"/>
      <c r="K65" s="723"/>
      <c r="L65" s="627"/>
      <c r="M65" s="627"/>
      <c r="N65" s="626"/>
      <c r="O65" s="626"/>
      <c r="P65" s="626"/>
      <c r="Q65" s="626"/>
      <c r="R65" s="626"/>
      <c r="S65" s="901"/>
    </row>
    <row r="66" spans="2:19" ht="26.1" customHeight="1" thickTop="1" thickBot="1" x14ac:dyDescent="0.4">
      <c r="B66" s="346"/>
      <c r="C66" s="343"/>
      <c r="D66" s="500"/>
      <c r="E66" s="531">
        <f t="shared" si="7"/>
        <v>0</v>
      </c>
      <c r="F66" s="110">
        <f t="shared" si="4"/>
        <v>0</v>
      </c>
      <c r="G66" s="533">
        <f t="shared" si="2"/>
        <v>66000</v>
      </c>
      <c r="H66" s="638"/>
      <c r="I66" s="218"/>
      <c r="J66" s="218"/>
      <c r="K66" s="723"/>
      <c r="L66" s="627"/>
      <c r="M66" s="627"/>
      <c r="N66" s="626"/>
      <c r="O66" s="626"/>
      <c r="P66" s="626"/>
      <c r="Q66" s="626"/>
      <c r="R66" s="626"/>
      <c r="S66" s="901"/>
    </row>
    <row r="67" spans="2:19" ht="26.1" customHeight="1" thickTop="1" thickBot="1" x14ac:dyDescent="0.4">
      <c r="B67" s="346"/>
      <c r="C67" s="644"/>
      <c r="D67" s="500"/>
      <c r="E67" s="531">
        <f t="shared" si="7"/>
        <v>0</v>
      </c>
      <c r="F67" s="110">
        <f t="shared" si="4"/>
        <v>0</v>
      </c>
      <c r="G67" s="533">
        <f t="shared" si="2"/>
        <v>66000</v>
      </c>
      <c r="H67" s="638"/>
      <c r="I67" s="218"/>
      <c r="J67" s="218"/>
      <c r="K67" s="723"/>
      <c r="L67" s="627"/>
      <c r="M67" s="627"/>
      <c r="N67" s="626"/>
      <c r="O67" s="626"/>
      <c r="P67" s="626"/>
      <c r="Q67" s="626"/>
      <c r="R67" s="626"/>
      <c r="S67" s="901"/>
    </row>
    <row r="68" spans="2:19" ht="26.1" customHeight="1" thickTop="1" thickBot="1" x14ac:dyDescent="0.4">
      <c r="B68" s="346"/>
      <c r="C68" s="128"/>
      <c r="D68" s="500"/>
      <c r="E68" s="531">
        <f t="shared" si="7"/>
        <v>0</v>
      </c>
      <c r="F68" s="110">
        <f t="shared" si="4"/>
        <v>0</v>
      </c>
      <c r="G68" s="533">
        <f t="shared" si="2"/>
        <v>66000</v>
      </c>
      <c r="H68" s="638"/>
      <c r="I68" s="218"/>
      <c r="J68" s="218"/>
      <c r="K68" s="723"/>
      <c r="L68" s="627"/>
      <c r="M68" s="627"/>
      <c r="N68" s="626"/>
      <c r="O68" s="626"/>
      <c r="P68" s="626"/>
      <c r="Q68" s="626"/>
      <c r="R68" s="626"/>
      <c r="S68" s="901"/>
    </row>
    <row r="69" spans="2:19" ht="26.1" customHeight="1" thickTop="1" thickBot="1" x14ac:dyDescent="0.4">
      <c r="B69" s="346"/>
      <c r="C69" s="643"/>
      <c r="D69" s="500"/>
      <c r="E69" s="531">
        <f t="shared" si="7"/>
        <v>0</v>
      </c>
      <c r="F69" s="110">
        <f t="shared" ref="F69:F99" si="8">SUM(L69:S69)</f>
        <v>0</v>
      </c>
      <c r="G69" s="533">
        <f t="shared" ref="G69:G99" si="9">G68+E69-F69</f>
        <v>66000</v>
      </c>
      <c r="H69" s="638"/>
      <c r="I69" s="218"/>
      <c r="J69" s="218"/>
      <c r="K69" s="723"/>
      <c r="L69" s="627"/>
      <c r="M69" s="627"/>
      <c r="N69" s="626"/>
      <c r="O69" s="626"/>
      <c r="P69" s="626"/>
      <c r="Q69" s="626"/>
      <c r="R69" s="626"/>
      <c r="S69" s="901"/>
    </row>
    <row r="70" spans="2:19" ht="26.1" customHeight="1" thickTop="1" thickBot="1" x14ac:dyDescent="0.4">
      <c r="B70" s="346"/>
      <c r="C70" s="343"/>
      <c r="D70" s="500"/>
      <c r="E70" s="531">
        <f t="shared" si="7"/>
        <v>0</v>
      </c>
      <c r="F70" s="110">
        <f t="shared" si="8"/>
        <v>0</v>
      </c>
      <c r="G70" s="533">
        <f t="shared" si="9"/>
        <v>66000</v>
      </c>
      <c r="H70" s="638"/>
      <c r="I70" s="218"/>
      <c r="J70" s="218"/>
      <c r="K70" s="723"/>
      <c r="L70" s="627"/>
      <c r="M70" s="627"/>
      <c r="N70" s="626"/>
      <c r="O70" s="626"/>
      <c r="P70" s="626"/>
      <c r="Q70" s="626"/>
      <c r="R70" s="626"/>
      <c r="S70" s="901"/>
    </row>
    <row r="71" spans="2:19" ht="26.1" customHeight="1" thickTop="1" thickBot="1" x14ac:dyDescent="0.4">
      <c r="B71" s="346"/>
      <c r="C71" s="644"/>
      <c r="D71" s="500"/>
      <c r="E71" s="531">
        <f t="shared" si="7"/>
        <v>0</v>
      </c>
      <c r="F71" s="110">
        <f t="shared" si="8"/>
        <v>0</v>
      </c>
      <c r="G71" s="533">
        <f t="shared" si="9"/>
        <v>66000</v>
      </c>
      <c r="H71" s="638"/>
      <c r="I71" s="218"/>
      <c r="J71" s="218"/>
      <c r="K71" s="723"/>
      <c r="L71" s="627"/>
      <c r="M71" s="627"/>
      <c r="N71" s="626"/>
      <c r="O71" s="626"/>
      <c r="P71" s="626"/>
      <c r="Q71" s="626"/>
      <c r="R71" s="626"/>
      <c r="S71" s="901"/>
    </row>
    <row r="72" spans="2:19" ht="26.1" customHeight="1" thickTop="1" thickBot="1" x14ac:dyDescent="0.4">
      <c r="B72" s="346"/>
      <c r="C72" s="343"/>
      <c r="D72" s="500"/>
      <c r="E72" s="531">
        <f t="shared" si="7"/>
        <v>0</v>
      </c>
      <c r="F72" s="110">
        <f t="shared" si="8"/>
        <v>0</v>
      </c>
      <c r="G72" s="533">
        <f t="shared" si="9"/>
        <v>66000</v>
      </c>
      <c r="H72" s="638"/>
      <c r="I72" s="218"/>
      <c r="J72" s="218"/>
      <c r="K72" s="723"/>
      <c r="L72" s="627"/>
      <c r="M72" s="627"/>
      <c r="N72" s="626"/>
      <c r="O72" s="626"/>
      <c r="P72" s="626"/>
      <c r="Q72" s="626"/>
      <c r="R72" s="626"/>
      <c r="S72" s="901"/>
    </row>
    <row r="73" spans="2:19" ht="26.1" customHeight="1" thickTop="1" thickBot="1" x14ac:dyDescent="0.4">
      <c r="B73" s="346"/>
      <c r="C73" s="643"/>
      <c r="D73" s="500"/>
      <c r="E73" s="531">
        <f t="shared" si="7"/>
        <v>0</v>
      </c>
      <c r="F73" s="110">
        <f t="shared" si="8"/>
        <v>0</v>
      </c>
      <c r="G73" s="533">
        <f t="shared" si="9"/>
        <v>66000</v>
      </c>
      <c r="H73" s="638"/>
      <c r="I73" s="218"/>
      <c r="J73" s="218"/>
      <c r="K73" s="723"/>
      <c r="L73" s="627"/>
      <c r="M73" s="627"/>
      <c r="N73" s="626"/>
      <c r="O73" s="626"/>
      <c r="P73" s="626"/>
      <c r="Q73" s="626"/>
      <c r="R73" s="626"/>
      <c r="S73" s="901"/>
    </row>
    <row r="74" spans="2:19" ht="26.1" customHeight="1" thickTop="1" thickBot="1" x14ac:dyDescent="0.4">
      <c r="B74" s="346"/>
      <c r="C74" s="343"/>
      <c r="D74" s="500"/>
      <c r="E74" s="531">
        <f t="shared" si="7"/>
        <v>0</v>
      </c>
      <c r="F74" s="110">
        <f t="shared" si="8"/>
        <v>0</v>
      </c>
      <c r="G74" s="533">
        <f t="shared" si="9"/>
        <v>66000</v>
      </c>
      <c r="H74" s="638"/>
      <c r="I74" s="218"/>
      <c r="J74" s="218"/>
      <c r="K74" s="723"/>
      <c r="L74" s="627"/>
      <c r="M74" s="627"/>
      <c r="N74" s="626"/>
      <c r="O74" s="626"/>
      <c r="P74" s="626"/>
      <c r="Q74" s="626"/>
      <c r="R74" s="626"/>
      <c r="S74" s="901"/>
    </row>
    <row r="75" spans="2:19" ht="26.1" customHeight="1" thickTop="1" thickBot="1" x14ac:dyDescent="0.4">
      <c r="B75" s="346"/>
      <c r="C75" s="343"/>
      <c r="D75" s="500"/>
      <c r="E75" s="531"/>
      <c r="F75" s="110">
        <f t="shared" si="8"/>
        <v>0</v>
      </c>
      <c r="G75" s="533">
        <f t="shared" si="9"/>
        <v>66000</v>
      </c>
      <c r="H75" s="638"/>
      <c r="I75" s="218"/>
      <c r="J75" s="218"/>
      <c r="K75" s="723"/>
      <c r="L75" s="627"/>
      <c r="M75" s="627"/>
      <c r="N75" s="626"/>
      <c r="O75" s="626"/>
      <c r="P75" s="626"/>
      <c r="Q75" s="626"/>
      <c r="R75" s="626"/>
      <c r="S75" s="901"/>
    </row>
    <row r="76" spans="2:19" ht="26.1" customHeight="1" thickTop="1" thickBot="1" x14ac:dyDescent="0.4">
      <c r="B76" s="346"/>
      <c r="C76" s="644"/>
      <c r="D76" s="500"/>
      <c r="E76" s="531">
        <f>SUM(H76:K76)</f>
        <v>0</v>
      </c>
      <c r="F76" s="110">
        <f t="shared" si="8"/>
        <v>0</v>
      </c>
      <c r="G76" s="533">
        <f t="shared" si="9"/>
        <v>66000</v>
      </c>
      <c r="H76" s="638"/>
      <c r="I76" s="218"/>
      <c r="J76" s="218"/>
      <c r="K76" s="723"/>
      <c r="L76" s="627"/>
      <c r="M76" s="627"/>
      <c r="N76" s="626"/>
      <c r="O76" s="626"/>
      <c r="P76" s="626"/>
      <c r="Q76" s="626"/>
      <c r="R76" s="626"/>
      <c r="S76" s="901"/>
    </row>
    <row r="77" spans="2:19" ht="26.1" customHeight="1" thickTop="1" thickBot="1" x14ac:dyDescent="0.4">
      <c r="B77" s="346"/>
      <c r="C77" s="343"/>
      <c r="D77" s="500"/>
      <c r="E77" s="531">
        <f>SUM(H77:K77)</f>
        <v>0</v>
      </c>
      <c r="F77" s="110">
        <f t="shared" si="8"/>
        <v>0</v>
      </c>
      <c r="G77" s="533">
        <f t="shared" si="9"/>
        <v>66000</v>
      </c>
      <c r="H77" s="638"/>
      <c r="I77" s="218"/>
      <c r="J77" s="218"/>
      <c r="K77" s="723"/>
      <c r="L77" s="627"/>
      <c r="M77" s="627"/>
      <c r="N77" s="626"/>
      <c r="O77" s="626"/>
      <c r="P77" s="626"/>
      <c r="Q77" s="626"/>
      <c r="R77" s="626"/>
      <c r="S77" s="901"/>
    </row>
    <row r="78" spans="2:19" ht="26.1" customHeight="1" thickTop="1" thickBot="1" x14ac:dyDescent="0.4">
      <c r="B78" s="346"/>
      <c r="C78" s="645"/>
      <c r="D78" s="500"/>
      <c r="E78" s="531">
        <f>SUM(H78:K78)</f>
        <v>0</v>
      </c>
      <c r="F78" s="110">
        <f t="shared" si="8"/>
        <v>0</v>
      </c>
      <c r="G78" s="533">
        <f t="shared" si="9"/>
        <v>66000</v>
      </c>
      <c r="H78" s="638"/>
      <c r="I78" s="218"/>
      <c r="J78" s="218"/>
      <c r="K78" s="723"/>
      <c r="L78" s="627"/>
      <c r="M78" s="627"/>
      <c r="N78" s="626"/>
      <c r="O78" s="626"/>
      <c r="P78" s="626"/>
      <c r="Q78" s="626"/>
      <c r="R78" s="626"/>
      <c r="S78" s="901"/>
    </row>
    <row r="79" spans="2:19" ht="26.1" customHeight="1" thickTop="1" thickBot="1" x14ac:dyDescent="0.4">
      <c r="B79" s="346"/>
      <c r="C79" s="128"/>
      <c r="D79" s="500"/>
      <c r="E79" s="531">
        <f>SUM(H79:K79)</f>
        <v>0</v>
      </c>
      <c r="F79" s="110">
        <f t="shared" si="8"/>
        <v>0</v>
      </c>
      <c r="G79" s="533">
        <f t="shared" si="9"/>
        <v>66000</v>
      </c>
      <c r="H79" s="638"/>
      <c r="I79" s="218"/>
      <c r="J79" s="218"/>
      <c r="K79" s="723"/>
      <c r="L79" s="627"/>
      <c r="M79" s="627"/>
      <c r="N79" s="626"/>
      <c r="O79" s="626"/>
      <c r="P79" s="626"/>
      <c r="Q79" s="626"/>
      <c r="R79" s="626"/>
      <c r="S79" s="901"/>
    </row>
    <row r="80" spans="2:19" ht="26.1" customHeight="1" thickTop="1" thickBot="1" x14ac:dyDescent="0.4">
      <c r="B80" s="346"/>
      <c r="C80" s="644"/>
      <c r="D80" s="500"/>
      <c r="E80" s="531"/>
      <c r="F80" s="110">
        <f t="shared" si="8"/>
        <v>0</v>
      </c>
      <c r="G80" s="533">
        <f t="shared" si="9"/>
        <v>66000</v>
      </c>
      <c r="H80" s="638"/>
      <c r="I80" s="218"/>
      <c r="J80" s="218"/>
      <c r="K80" s="723"/>
      <c r="L80" s="627"/>
      <c r="M80" s="627"/>
      <c r="N80" s="626"/>
      <c r="O80" s="626"/>
      <c r="P80" s="626"/>
      <c r="Q80" s="626"/>
      <c r="R80" s="626"/>
      <c r="S80" s="901"/>
    </row>
    <row r="81" spans="2:19" ht="26.1" customHeight="1" thickTop="1" thickBot="1" x14ac:dyDescent="0.4">
      <c r="B81" s="346"/>
      <c r="C81" s="645"/>
      <c r="D81" s="500"/>
      <c r="E81" s="531">
        <f>SUM(H81:K81)</f>
        <v>0</v>
      </c>
      <c r="F81" s="110">
        <f t="shared" si="8"/>
        <v>0</v>
      </c>
      <c r="G81" s="533">
        <f t="shared" si="9"/>
        <v>66000</v>
      </c>
      <c r="H81" s="638"/>
      <c r="I81" s="218"/>
      <c r="J81" s="218"/>
      <c r="K81" s="723"/>
      <c r="L81" s="627"/>
      <c r="M81" s="627"/>
      <c r="N81" s="626"/>
      <c r="O81" s="626"/>
      <c r="P81" s="626"/>
      <c r="Q81" s="626"/>
      <c r="R81" s="626"/>
      <c r="S81" s="901"/>
    </row>
    <row r="82" spans="2:19" ht="26.1" customHeight="1" thickTop="1" thickBot="1" x14ac:dyDescent="0.4">
      <c r="B82" s="346"/>
      <c r="C82" s="644"/>
      <c r="D82" s="500"/>
      <c r="E82" s="531"/>
      <c r="F82" s="110">
        <f t="shared" si="8"/>
        <v>0</v>
      </c>
      <c r="G82" s="533">
        <f t="shared" si="9"/>
        <v>66000</v>
      </c>
      <c r="H82" s="638"/>
      <c r="I82" s="218"/>
      <c r="J82" s="218"/>
      <c r="K82" s="723"/>
      <c r="L82" s="627"/>
      <c r="M82" s="627"/>
      <c r="N82" s="626"/>
      <c r="O82" s="626"/>
      <c r="P82" s="626"/>
      <c r="Q82" s="626"/>
      <c r="R82" s="626"/>
      <c r="S82" s="901"/>
    </row>
    <row r="83" spans="2:19" ht="26.1" customHeight="1" thickTop="1" thickBot="1" x14ac:dyDescent="0.4">
      <c r="B83" s="346"/>
      <c r="C83" s="128"/>
      <c r="D83" s="500"/>
      <c r="E83" s="531">
        <f t="shared" ref="E83:E96" si="10">SUM(H83:K83)</f>
        <v>0</v>
      </c>
      <c r="F83" s="110">
        <f t="shared" si="8"/>
        <v>0</v>
      </c>
      <c r="G83" s="533">
        <f t="shared" si="9"/>
        <v>66000</v>
      </c>
      <c r="H83" s="638"/>
      <c r="I83" s="218"/>
      <c r="J83" s="218"/>
      <c r="K83" s="723"/>
      <c r="L83" s="627"/>
      <c r="M83" s="627"/>
      <c r="N83" s="626"/>
      <c r="O83" s="626"/>
      <c r="P83" s="626"/>
      <c r="Q83" s="626"/>
      <c r="R83" s="626"/>
      <c r="S83" s="901"/>
    </row>
    <row r="84" spans="2:19" ht="26.1" customHeight="1" thickTop="1" thickBot="1" x14ac:dyDescent="0.4">
      <c r="B84" s="346"/>
      <c r="C84" s="128"/>
      <c r="D84" s="500"/>
      <c r="E84" s="531">
        <f t="shared" si="10"/>
        <v>0</v>
      </c>
      <c r="F84" s="110">
        <f t="shared" si="8"/>
        <v>0</v>
      </c>
      <c r="G84" s="533">
        <f t="shared" si="9"/>
        <v>66000</v>
      </c>
      <c r="H84" s="638"/>
      <c r="I84" s="218"/>
      <c r="J84" s="218"/>
      <c r="K84" s="723"/>
      <c r="L84" s="627"/>
      <c r="M84" s="627"/>
      <c r="N84" s="626"/>
      <c r="O84" s="626"/>
      <c r="P84" s="626"/>
      <c r="Q84" s="626"/>
      <c r="R84" s="626"/>
      <c r="S84" s="901"/>
    </row>
    <row r="85" spans="2:19" ht="26.1" customHeight="1" thickTop="1" thickBot="1" x14ac:dyDescent="0.4">
      <c r="B85" s="346"/>
      <c r="C85" s="645"/>
      <c r="D85" s="500"/>
      <c r="E85" s="531">
        <f t="shared" si="10"/>
        <v>0</v>
      </c>
      <c r="F85" s="110">
        <f t="shared" si="8"/>
        <v>0</v>
      </c>
      <c r="G85" s="533">
        <f t="shared" si="9"/>
        <v>66000</v>
      </c>
      <c r="H85" s="638"/>
      <c r="I85" s="218"/>
      <c r="J85" s="218"/>
      <c r="K85" s="723"/>
      <c r="L85" s="627"/>
      <c r="M85" s="627"/>
      <c r="N85" s="626"/>
      <c r="O85" s="626"/>
      <c r="P85" s="626"/>
      <c r="Q85" s="626"/>
      <c r="R85" s="626"/>
      <c r="S85" s="901"/>
    </row>
    <row r="86" spans="2:19" ht="26.1" customHeight="1" thickTop="1" thickBot="1" x14ac:dyDescent="0.4">
      <c r="B86" s="346"/>
      <c r="C86" s="644"/>
      <c r="D86" s="500"/>
      <c r="E86" s="531">
        <f t="shared" si="10"/>
        <v>0</v>
      </c>
      <c r="F86" s="110">
        <f t="shared" si="8"/>
        <v>0</v>
      </c>
      <c r="G86" s="533">
        <f t="shared" si="9"/>
        <v>66000</v>
      </c>
      <c r="H86" s="638"/>
      <c r="I86" s="218"/>
      <c r="J86" s="218"/>
      <c r="K86" s="723"/>
      <c r="L86" s="627"/>
      <c r="M86" s="627"/>
      <c r="N86" s="626"/>
      <c r="O86" s="626"/>
      <c r="P86" s="626"/>
      <c r="Q86" s="626"/>
      <c r="R86" s="626"/>
      <c r="S86" s="901"/>
    </row>
    <row r="87" spans="2:19" ht="26.1" customHeight="1" thickTop="1" thickBot="1" x14ac:dyDescent="0.4">
      <c r="B87" s="346"/>
      <c r="C87" s="128"/>
      <c r="D87" s="500"/>
      <c r="E87" s="531">
        <f t="shared" si="10"/>
        <v>0</v>
      </c>
      <c r="F87" s="110">
        <f t="shared" si="8"/>
        <v>0</v>
      </c>
      <c r="G87" s="533">
        <f t="shared" si="9"/>
        <v>66000</v>
      </c>
      <c r="H87" s="638"/>
      <c r="I87" s="218"/>
      <c r="J87" s="218"/>
      <c r="K87" s="723"/>
      <c r="L87" s="627"/>
      <c r="M87" s="627"/>
      <c r="N87" s="626"/>
      <c r="O87" s="626"/>
      <c r="P87" s="626"/>
      <c r="Q87" s="626"/>
      <c r="R87" s="626"/>
      <c r="S87" s="901"/>
    </row>
    <row r="88" spans="2:19" ht="26.1" customHeight="1" thickTop="1" thickBot="1" x14ac:dyDescent="0.4">
      <c r="B88" s="346"/>
      <c r="C88" s="128"/>
      <c r="D88" s="500"/>
      <c r="E88" s="531">
        <f t="shared" si="10"/>
        <v>0</v>
      </c>
      <c r="F88" s="110">
        <f t="shared" si="8"/>
        <v>0</v>
      </c>
      <c r="G88" s="533">
        <f t="shared" si="9"/>
        <v>66000</v>
      </c>
      <c r="H88" s="638"/>
      <c r="I88" s="218"/>
      <c r="J88" s="218"/>
      <c r="K88" s="723"/>
      <c r="L88" s="627"/>
      <c r="M88" s="627"/>
      <c r="N88" s="626"/>
      <c r="O88" s="626"/>
      <c r="P88" s="626"/>
      <c r="Q88" s="626"/>
      <c r="R88" s="626"/>
      <c r="S88" s="901"/>
    </row>
    <row r="89" spans="2:19" ht="26.1" customHeight="1" thickTop="1" thickBot="1" x14ac:dyDescent="0.4">
      <c r="B89" s="346"/>
      <c r="C89" s="128"/>
      <c r="D89" s="500"/>
      <c r="E89" s="531">
        <f t="shared" si="10"/>
        <v>0</v>
      </c>
      <c r="F89" s="110">
        <f t="shared" si="8"/>
        <v>0</v>
      </c>
      <c r="G89" s="533">
        <f t="shared" si="9"/>
        <v>66000</v>
      </c>
      <c r="H89" s="638"/>
      <c r="I89" s="218"/>
      <c r="J89" s="218"/>
      <c r="K89" s="723"/>
      <c r="L89" s="627"/>
      <c r="M89" s="627"/>
      <c r="N89" s="626"/>
      <c r="O89" s="626"/>
      <c r="P89" s="626"/>
      <c r="Q89" s="626"/>
      <c r="R89" s="626"/>
      <c r="S89" s="901"/>
    </row>
    <row r="90" spans="2:19" ht="26.1" customHeight="1" thickTop="1" thickBot="1" x14ac:dyDescent="0.4">
      <c r="B90" s="346"/>
      <c r="C90" s="645"/>
      <c r="D90" s="501"/>
      <c r="E90" s="531">
        <f t="shared" si="10"/>
        <v>0</v>
      </c>
      <c r="F90" s="110">
        <f t="shared" si="8"/>
        <v>0</v>
      </c>
      <c r="G90" s="533">
        <f t="shared" si="9"/>
        <v>66000</v>
      </c>
      <c r="H90" s="638"/>
      <c r="I90" s="218"/>
      <c r="J90" s="218"/>
      <c r="K90" s="723"/>
      <c r="L90" s="627"/>
      <c r="M90" s="627"/>
      <c r="N90" s="626"/>
      <c r="O90" s="626"/>
      <c r="P90" s="626"/>
      <c r="Q90" s="626"/>
      <c r="R90" s="626"/>
      <c r="S90" s="901"/>
    </row>
    <row r="91" spans="2:19" ht="26.1" customHeight="1" thickTop="1" thickBot="1" x14ac:dyDescent="0.4">
      <c r="B91" s="346"/>
      <c r="C91" s="644"/>
      <c r="D91" s="501"/>
      <c r="E91" s="531">
        <f t="shared" si="10"/>
        <v>0</v>
      </c>
      <c r="F91" s="110">
        <f t="shared" si="8"/>
        <v>0</v>
      </c>
      <c r="G91" s="533">
        <f t="shared" si="9"/>
        <v>66000</v>
      </c>
      <c r="H91" s="646"/>
      <c r="I91" s="218"/>
      <c r="J91" s="218"/>
      <c r="K91" s="723"/>
      <c r="L91" s="627"/>
      <c r="M91" s="627"/>
      <c r="N91" s="626"/>
      <c r="O91" s="626"/>
      <c r="P91" s="626"/>
      <c r="Q91" s="626"/>
      <c r="R91" s="626"/>
      <c r="S91" s="901"/>
    </row>
    <row r="92" spans="2:19" ht="26.1" customHeight="1" thickTop="1" thickBot="1" x14ac:dyDescent="0.4">
      <c r="B92" s="346"/>
      <c r="C92" s="128"/>
      <c r="D92" s="500"/>
      <c r="E92" s="531">
        <f t="shared" si="10"/>
        <v>0</v>
      </c>
      <c r="F92" s="110">
        <f t="shared" si="8"/>
        <v>0</v>
      </c>
      <c r="G92" s="533">
        <f t="shared" si="9"/>
        <v>66000</v>
      </c>
      <c r="H92" s="646"/>
      <c r="I92" s="218"/>
      <c r="J92" s="218"/>
      <c r="K92" s="723"/>
      <c r="L92" s="627"/>
      <c r="M92" s="627"/>
      <c r="N92" s="626"/>
      <c r="O92" s="626"/>
      <c r="P92" s="626"/>
      <c r="Q92" s="626"/>
      <c r="R92" s="626"/>
      <c r="S92" s="901"/>
    </row>
    <row r="93" spans="2:19" ht="26.1" customHeight="1" thickTop="1" thickBot="1" x14ac:dyDescent="0.4">
      <c r="B93" s="346"/>
      <c r="C93" s="128"/>
      <c r="D93" s="500"/>
      <c r="E93" s="531">
        <f t="shared" si="10"/>
        <v>0</v>
      </c>
      <c r="F93" s="110">
        <f t="shared" si="8"/>
        <v>0</v>
      </c>
      <c r="G93" s="533">
        <f t="shared" si="9"/>
        <v>66000</v>
      </c>
      <c r="H93" s="646"/>
      <c r="I93" s="218"/>
      <c r="J93" s="218"/>
      <c r="K93" s="723"/>
      <c r="L93" s="627"/>
      <c r="M93" s="627"/>
      <c r="N93" s="626"/>
      <c r="O93" s="626"/>
      <c r="P93" s="626"/>
      <c r="Q93" s="626"/>
      <c r="R93" s="626"/>
      <c r="S93" s="901"/>
    </row>
    <row r="94" spans="2:19" ht="26.1" customHeight="1" thickTop="1" thickBot="1" x14ac:dyDescent="0.4">
      <c r="B94" s="346"/>
      <c r="C94" s="128"/>
      <c r="D94" s="500"/>
      <c r="E94" s="531">
        <f t="shared" si="10"/>
        <v>0</v>
      </c>
      <c r="F94" s="110">
        <f t="shared" si="8"/>
        <v>0</v>
      </c>
      <c r="G94" s="533">
        <f t="shared" si="9"/>
        <v>66000</v>
      </c>
      <c r="H94" s="646"/>
      <c r="I94" s="218"/>
      <c r="J94" s="218"/>
      <c r="K94" s="723"/>
      <c r="L94" s="627"/>
      <c r="M94" s="627"/>
      <c r="N94" s="626"/>
      <c r="O94" s="626"/>
      <c r="P94" s="626"/>
      <c r="Q94" s="626"/>
      <c r="R94" s="626"/>
      <c r="S94" s="901"/>
    </row>
    <row r="95" spans="2:19" ht="26.1" customHeight="1" thickTop="1" thickBot="1" x14ac:dyDescent="0.4">
      <c r="B95" s="346"/>
      <c r="C95" s="645"/>
      <c r="D95" s="500"/>
      <c r="E95" s="531">
        <f t="shared" si="10"/>
        <v>0</v>
      </c>
      <c r="F95" s="110">
        <f t="shared" si="8"/>
        <v>0</v>
      </c>
      <c r="G95" s="533">
        <f t="shared" si="9"/>
        <v>66000</v>
      </c>
      <c r="H95" s="646"/>
      <c r="I95" s="218"/>
      <c r="J95" s="218"/>
      <c r="K95" s="723"/>
      <c r="L95" s="627"/>
      <c r="M95" s="627"/>
      <c r="N95" s="626"/>
      <c r="O95" s="626"/>
      <c r="P95" s="626"/>
      <c r="Q95" s="626"/>
      <c r="R95" s="626"/>
      <c r="S95" s="901"/>
    </row>
    <row r="96" spans="2:19" ht="26.1" customHeight="1" thickTop="1" thickBot="1" x14ac:dyDescent="0.4">
      <c r="B96" s="346"/>
      <c r="C96" s="644"/>
      <c r="D96" s="500"/>
      <c r="E96" s="531">
        <f t="shared" si="10"/>
        <v>0</v>
      </c>
      <c r="F96" s="110">
        <f t="shared" si="8"/>
        <v>0</v>
      </c>
      <c r="G96" s="533">
        <f t="shared" si="9"/>
        <v>66000</v>
      </c>
      <c r="H96" s="646"/>
      <c r="I96" s="218"/>
      <c r="J96" s="218"/>
      <c r="K96" s="723"/>
      <c r="L96" s="627"/>
      <c r="M96" s="627"/>
      <c r="N96" s="626"/>
      <c r="O96" s="626"/>
      <c r="P96" s="626"/>
      <c r="Q96" s="626"/>
      <c r="R96" s="626"/>
      <c r="S96" s="901"/>
    </row>
    <row r="97" spans="2:19" ht="26.1" customHeight="1" thickTop="1" thickBot="1" x14ac:dyDescent="0.4">
      <c r="B97" s="346"/>
      <c r="C97" s="128"/>
      <c r="D97" s="500"/>
      <c r="E97" s="531"/>
      <c r="F97" s="110">
        <f t="shared" si="8"/>
        <v>0</v>
      </c>
      <c r="G97" s="533">
        <f t="shared" si="9"/>
        <v>66000</v>
      </c>
      <c r="H97" s="646"/>
      <c r="I97" s="218"/>
      <c r="J97" s="218"/>
      <c r="K97" s="723"/>
      <c r="L97" s="627"/>
      <c r="M97" s="627"/>
      <c r="N97" s="626"/>
      <c r="O97" s="626"/>
      <c r="P97" s="626"/>
      <c r="Q97" s="626"/>
      <c r="R97" s="626"/>
      <c r="S97" s="901"/>
    </row>
    <row r="98" spans="2:19" ht="26.1" customHeight="1" thickTop="1" thickBot="1" x14ac:dyDescent="0.4">
      <c r="B98" s="346"/>
      <c r="C98" s="333"/>
      <c r="D98" s="500"/>
      <c r="E98" s="531">
        <f>SUM(H98:K98)</f>
        <v>0</v>
      </c>
      <c r="F98" s="110">
        <f t="shared" si="8"/>
        <v>0</v>
      </c>
      <c r="G98" s="533">
        <f t="shared" si="9"/>
        <v>66000</v>
      </c>
      <c r="H98" s="646"/>
      <c r="I98" s="218"/>
      <c r="J98" s="218"/>
      <c r="K98" s="723"/>
      <c r="L98" s="627"/>
      <c r="M98" s="627"/>
      <c r="N98" s="626"/>
      <c r="O98" s="626"/>
      <c r="P98" s="626"/>
      <c r="Q98" s="626"/>
      <c r="R98" s="626"/>
      <c r="S98" s="901"/>
    </row>
    <row r="99" spans="2:19" ht="26.1" customHeight="1" thickTop="1" thickBot="1" x14ac:dyDescent="0.4">
      <c r="B99" s="346"/>
      <c r="C99" s="333"/>
      <c r="D99" s="500"/>
      <c r="E99" s="531">
        <f>SUM(H99:K99)</f>
        <v>0</v>
      </c>
      <c r="F99" s="110">
        <f t="shared" si="8"/>
        <v>0</v>
      </c>
      <c r="G99" s="533">
        <f t="shared" si="9"/>
        <v>66000</v>
      </c>
      <c r="H99" s="646"/>
      <c r="I99" s="218"/>
      <c r="J99" s="218"/>
      <c r="K99" s="723"/>
      <c r="L99" s="627"/>
      <c r="M99" s="627"/>
      <c r="N99" s="626"/>
      <c r="O99" s="626"/>
      <c r="P99" s="626"/>
      <c r="Q99" s="626"/>
      <c r="R99" s="626"/>
      <c r="S99" s="901"/>
    </row>
    <row r="100" spans="2:19" ht="26.1" customHeight="1" thickTop="1" thickBot="1" x14ac:dyDescent="0.4">
      <c r="B100" s="347"/>
      <c r="C100" s="348"/>
      <c r="D100" s="502"/>
      <c r="E100" s="532"/>
      <c r="F100" s="349"/>
      <c r="G100" s="534"/>
      <c r="H100" s="640"/>
      <c r="I100" s="350"/>
      <c r="J100" s="350"/>
      <c r="K100" s="896"/>
      <c r="L100" s="630"/>
      <c r="M100" s="630"/>
      <c r="N100" s="629"/>
      <c r="O100" s="629"/>
      <c r="P100" s="629"/>
      <c r="Q100" s="629"/>
      <c r="R100" s="629"/>
      <c r="S100" s="902"/>
    </row>
    <row r="101" spans="2:19" s="81" customFormat="1" ht="33.75" customHeight="1" thickBot="1" x14ac:dyDescent="0.45">
      <c r="B101" s="107">
        <f>SUBTOTAL(3,B4:B100)</f>
        <v>3</v>
      </c>
      <c r="C101" s="107">
        <f>SUBTOTAL(3,C4:C100)</f>
        <v>3</v>
      </c>
      <c r="D101" s="107">
        <f>SUBTOTAL(3,D4:D100)</f>
        <v>0</v>
      </c>
      <c r="E101" s="108">
        <f>SUBTOTAL(9,E4:E100)</f>
        <v>66000</v>
      </c>
      <c r="F101" s="108">
        <f>SUBTOTAL(9,F4:F100)</f>
        <v>0</v>
      </c>
      <c r="G101" s="108">
        <f>E101-F101</f>
        <v>66000</v>
      </c>
      <c r="H101" s="108">
        <f t="shared" ref="H101:S101" si="11">SUBTOTAL(9,H4:H100)</f>
        <v>0</v>
      </c>
      <c r="I101" s="108">
        <f t="shared" si="11"/>
        <v>62000</v>
      </c>
      <c r="J101" s="108">
        <f t="shared" si="11"/>
        <v>0</v>
      </c>
      <c r="K101" s="108">
        <f t="shared" si="11"/>
        <v>4000</v>
      </c>
      <c r="L101" s="108">
        <f t="shared" si="11"/>
        <v>0</v>
      </c>
      <c r="M101" s="108">
        <f t="shared" si="11"/>
        <v>0</v>
      </c>
      <c r="N101" s="108">
        <f t="shared" si="11"/>
        <v>0</v>
      </c>
      <c r="O101" s="108">
        <f t="shared" si="11"/>
        <v>0</v>
      </c>
      <c r="P101" s="108">
        <f t="shared" si="11"/>
        <v>0</v>
      </c>
      <c r="Q101" s="108">
        <f t="shared" si="11"/>
        <v>0</v>
      </c>
      <c r="R101" s="108">
        <f t="shared" si="11"/>
        <v>0</v>
      </c>
      <c r="S101" s="108">
        <f t="shared" si="11"/>
        <v>0</v>
      </c>
    </row>
    <row r="103" spans="2:19" ht="23.25" x14ac:dyDescent="0.35">
      <c r="G103" s="341"/>
    </row>
    <row r="104" spans="2:19" ht="20.100000000000001" customHeight="1" x14ac:dyDescent="0.25">
      <c r="G104" s="10"/>
    </row>
    <row r="105" spans="2:19" ht="20.100000000000001" customHeight="1" x14ac:dyDescent="0.25">
      <c r="G105" s="10"/>
    </row>
    <row r="106" spans="2:19" ht="20.100000000000001" customHeight="1" x14ac:dyDescent="0.25">
      <c r="F106" s="10"/>
      <c r="G106" s="10"/>
    </row>
    <row r="107" spans="2:19" ht="20.100000000000001" customHeight="1" x14ac:dyDescent="0.25">
      <c r="G107" s="10"/>
    </row>
    <row r="108" spans="2:19" ht="20.100000000000001" customHeight="1" x14ac:dyDescent="0.25">
      <c r="G108" s="10"/>
    </row>
    <row r="109" spans="2:19" ht="20.100000000000001" customHeight="1" x14ac:dyDescent="0.25">
      <c r="B109" s="9"/>
      <c r="D109" s="9"/>
      <c r="E109" s="9"/>
      <c r="G109" s="10"/>
    </row>
    <row r="110" spans="2:19" ht="20.100000000000001" customHeight="1" x14ac:dyDescent="0.25">
      <c r="B110" s="9"/>
      <c r="D110" s="9"/>
      <c r="E110" s="9"/>
      <c r="G110" s="10"/>
    </row>
    <row r="111" spans="2:19" ht="20.100000000000001" customHeight="1" x14ac:dyDescent="0.25">
      <c r="B111" s="9"/>
      <c r="D111" s="9"/>
      <c r="E111" s="9"/>
      <c r="G111" s="10"/>
    </row>
  </sheetData>
  <mergeCells count="3">
    <mergeCell ref="L2:S2"/>
    <mergeCell ref="H2:K2"/>
    <mergeCell ref="B2:G2"/>
  </mergeCells>
  <conditionalFormatting sqref="E4:G99 E100">
    <cfRule type="cellIs" dxfId="10" priority="1" operator="equal">
      <formula>0</formula>
    </cfRule>
  </conditionalFormatting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786EA-928B-4C49-AA33-A9AD1EBA88EC}">
  <sheetPr>
    <tabColor theme="5" tint="-0.249977111117893"/>
  </sheetPr>
  <dimension ref="A1:L70"/>
  <sheetViews>
    <sheetView workbookViewId="0">
      <pane xSplit="9" ySplit="7" topLeftCell="J8" activePane="bottomRight" state="frozen"/>
      <selection activeCell="K4" sqref="K4"/>
      <selection pane="topRight" activeCell="K4" sqref="K4"/>
      <selection pane="bottomLeft" activeCell="K4" sqref="K4"/>
      <selection pane="bottomRight" activeCell="C4" sqref="C4:C6"/>
    </sheetView>
  </sheetViews>
  <sheetFormatPr defaultRowHeight="26.1" customHeight="1" x14ac:dyDescent="0.2"/>
  <cols>
    <col min="1" max="1" width="2.42578125" style="370" customWidth="1"/>
    <col min="2" max="2" width="0.7109375" style="370" customWidth="1"/>
    <col min="3" max="3" width="25.28515625" style="370" customWidth="1"/>
    <col min="4" max="4" width="33.28515625" style="370" customWidth="1"/>
    <col min="5" max="5" width="32.42578125" style="370" customWidth="1"/>
    <col min="6" max="6" width="33.85546875" style="370" customWidth="1"/>
    <col min="7" max="7" width="34.85546875" style="370" customWidth="1"/>
    <col min="8" max="8" width="35.85546875" style="370" customWidth="1"/>
    <col min="9" max="9" width="0.7109375" style="370" customWidth="1"/>
    <col min="10" max="10" width="7.85546875" style="370" customWidth="1"/>
    <col min="11" max="12" width="23.28515625" style="370" customWidth="1"/>
    <col min="13" max="16384" width="9.140625" style="370"/>
  </cols>
  <sheetData>
    <row r="1" spans="1:12" ht="5.25" customHeight="1" thickBot="1" x14ac:dyDescent="0.25"/>
    <row r="2" spans="1:12" s="216" customFormat="1" ht="50.25" customHeight="1" thickBot="1" x14ac:dyDescent="0.95">
      <c r="B2" s="371"/>
      <c r="F2" s="1128" t="s">
        <v>1184</v>
      </c>
      <c r="G2" s="1129"/>
      <c r="H2" s="1129"/>
      <c r="I2" s="1130"/>
    </row>
    <row r="3" spans="1:12" s="216" customFormat="1" ht="3.95" customHeight="1" thickBot="1" x14ac:dyDescent="0.3">
      <c r="A3" s="216">
        <v>4</v>
      </c>
      <c r="B3" s="913"/>
      <c r="C3" s="914"/>
      <c r="D3" s="914"/>
      <c r="E3" s="914"/>
      <c r="F3" s="1027"/>
      <c r="G3" s="1027"/>
      <c r="H3" s="1027"/>
      <c r="I3" s="1028"/>
    </row>
    <row r="4" spans="1:12" s="12" customFormat="1" ht="66" customHeight="1" thickBot="1" x14ac:dyDescent="0.95">
      <c r="B4" s="954"/>
      <c r="C4" s="1122"/>
      <c r="D4" s="982" t="s">
        <v>1234</v>
      </c>
      <c r="E4" s="983"/>
      <c r="F4" s="984">
        <f>E21</f>
        <v>3863.2044981441968</v>
      </c>
      <c r="G4" s="978" t="s">
        <v>55</v>
      </c>
      <c r="H4" s="979">
        <f>H30</f>
        <v>900</v>
      </c>
      <c r="I4" s="353"/>
    </row>
    <row r="5" spans="1:12" s="12" customFormat="1" ht="5.0999999999999996" customHeight="1" thickBot="1" x14ac:dyDescent="0.95">
      <c r="B5" s="956"/>
      <c r="C5" s="1123"/>
      <c r="D5" s="957"/>
      <c r="E5" s="958"/>
      <c r="F5" s="958"/>
      <c r="G5" s="958"/>
      <c r="H5" s="959"/>
      <c r="I5" s="365"/>
    </row>
    <row r="6" spans="1:12" s="70" customFormat="1" ht="71.25" customHeight="1" thickBot="1" x14ac:dyDescent="0.65">
      <c r="B6" s="955"/>
      <c r="C6" s="1124"/>
      <c r="D6" s="1125" t="s">
        <v>511</v>
      </c>
      <c r="E6" s="1126"/>
      <c r="F6" s="1126"/>
      <c r="G6" s="1126"/>
      <c r="H6" s="1127"/>
      <c r="I6" s="915"/>
      <c r="J6" s="378"/>
      <c r="L6" s="378"/>
    </row>
    <row r="7" spans="1:12" s="12" customFormat="1" ht="3.95" customHeight="1" thickBot="1" x14ac:dyDescent="0.35">
      <c r="B7" s="463"/>
      <c r="C7" s="916"/>
      <c r="D7" s="368"/>
      <c r="E7" s="368"/>
      <c r="F7" s="368"/>
      <c r="G7" s="368"/>
      <c r="H7" s="368"/>
      <c r="I7" s="358"/>
    </row>
    <row r="8" spans="1:12" s="918" customFormat="1" ht="47.25" customHeight="1" thickBot="1" x14ac:dyDescent="0.3">
      <c r="B8" s="917"/>
      <c r="C8" s="970" t="s">
        <v>544</v>
      </c>
      <c r="D8" s="971" t="s">
        <v>1164</v>
      </c>
      <c r="E8" s="971" t="s">
        <v>50</v>
      </c>
      <c r="F8" s="972" t="s">
        <v>531</v>
      </c>
      <c r="G8" s="972" t="s">
        <v>1194</v>
      </c>
      <c r="H8" s="972" t="s">
        <v>1195</v>
      </c>
      <c r="I8" s="934"/>
      <c r="J8" s="935"/>
      <c r="K8" s="935"/>
    </row>
    <row r="9" spans="1:12" s="942" customFormat="1" ht="75" customHeight="1" thickBot="1" x14ac:dyDescent="0.3">
      <c r="B9" s="943"/>
      <c r="C9" s="944" t="str">
        <f>IFERROR(VLOOKUP($D6,'MEMBERS LIST'!$D$5:$AT$29,2,0),0)</f>
        <v>Elder</v>
      </c>
      <c r="D9" s="944" t="str">
        <f>IFERROR(VLOOKUP($D6,'MEMBERS LIST'!$D$5:$AT$29,3,0),0)</f>
        <v>Secretary</v>
      </c>
      <c r="E9" s="944" t="str">
        <f>IFERROR(VLOOKUP($D6,'MEMBERS LIST'!$D$5:$AT$29,4,0),0)</f>
        <v>Ashaiman</v>
      </c>
      <c r="F9" s="945">
        <f>IFERROR(VLOOKUP($D6,'MEMBERS LIST'!$D$5:$AT$29,5,0),0)</f>
        <v>44927</v>
      </c>
      <c r="G9" s="944" t="str">
        <f>IFERROR(VLOOKUP($D6,'MEMBERS LIST'!$D$5:$AT$29,6,0),0)</f>
        <v>026 746 1029</v>
      </c>
      <c r="H9" s="944" t="str">
        <f>IFERROR(VLOOKUP($D6,'MEMBERS LIST'!$D$5:$AT$29,7,0),0)</f>
        <v>024 652 8067</v>
      </c>
      <c r="I9" s="943"/>
    </row>
    <row r="10" spans="1:12" s="922" customFormat="1" ht="47.25" customHeight="1" thickTop="1" thickBot="1" x14ac:dyDescent="0.5">
      <c r="B10" s="919"/>
      <c r="C10" s="972" t="s">
        <v>1197</v>
      </c>
      <c r="D10" s="972" t="s">
        <v>1198</v>
      </c>
      <c r="E10" s="973" t="s">
        <v>1185</v>
      </c>
      <c r="F10" s="974" t="s">
        <v>1169</v>
      </c>
      <c r="G10" s="974" t="s">
        <v>1200</v>
      </c>
      <c r="H10" s="973" t="s">
        <v>157</v>
      </c>
      <c r="I10" s="923"/>
      <c r="J10" s="924"/>
      <c r="K10" s="924"/>
    </row>
    <row r="11" spans="1:12" s="924" customFormat="1" ht="48" thickTop="1" thickBot="1" x14ac:dyDescent="0.5">
      <c r="B11" s="923"/>
      <c r="C11" s="944" t="str">
        <f>IFERROR(VLOOKUP($D6,'MEMBERS LIST'!$D$5:$AT$29,8,0),0)</f>
        <v>N/360</v>
      </c>
      <c r="D11" s="944" t="str">
        <f>IFERROR(VLOOKUP($D6,'MEMBERS LIST'!$D$5:$AT$29,9,0),0)</f>
        <v>GB-0261673</v>
      </c>
      <c r="E11" s="944" t="str">
        <f>IFERROR(VLOOKUP($D6,'MEMBERS LIST'!$D$5:$AT$29,10,0),0)</f>
        <v>Ashaiman</v>
      </c>
      <c r="F11" s="1042" t="str">
        <f>IFERROR(VLOOKUP($D6,'MEMBERS LIST'!$D$5:$AT$29,11,0),0)</f>
        <v>elderquan7601@gmail.com</v>
      </c>
      <c r="G11" s="944" t="str">
        <f>IFERROR(VLOOKUP($D6,'MEMBERS LIST'!$D$5:$AT$29,12,0),0)</f>
        <v>GHA-00134909-6</v>
      </c>
      <c r="H11" s="944" t="str">
        <f>IFERROR(VLOOKUP($D6,'MEMBERS LIST'!$D$5:$AT$29,13,0),0)</f>
        <v>Bakery</v>
      </c>
      <c r="I11" s="923"/>
    </row>
    <row r="12" spans="1:12" s="922" customFormat="1" ht="48" thickTop="1" thickBot="1" x14ac:dyDescent="0.5">
      <c r="B12" s="919"/>
      <c r="C12" s="975" t="s">
        <v>1168</v>
      </c>
      <c r="D12" s="972" t="s">
        <v>1170</v>
      </c>
      <c r="E12" s="973" t="s">
        <v>1171</v>
      </c>
      <c r="F12" s="974" t="s">
        <v>1172</v>
      </c>
      <c r="G12" s="974" t="s">
        <v>1173</v>
      </c>
      <c r="H12" s="973" t="s">
        <v>1202</v>
      </c>
      <c r="I12" s="923"/>
      <c r="J12" s="924"/>
      <c r="K12" s="924"/>
    </row>
    <row r="13" spans="1:12" s="924" customFormat="1" ht="54.95" customHeight="1" thickBot="1" x14ac:dyDescent="0.5">
      <c r="B13" s="923"/>
      <c r="C13" s="944" t="str">
        <f>IFERROR(VLOOKUP($D6,'MEMBERS LIST'!$D$5:$AT$29,14,0),0)</f>
        <v>Ashaiman</v>
      </c>
      <c r="D13" s="981">
        <f>IFERROR(VLOOKUP($D6,'MEMBERS LIST'!$D$5:$AT$29,15,0),0)</f>
        <v>29088</v>
      </c>
      <c r="E13" s="944" t="str">
        <f>IFERROR(VLOOKUP($D6,'MEMBERS LIST'!$D$5:$AT$29,16,0),0)</f>
        <v>Shama</v>
      </c>
      <c r="F13" s="944" t="str">
        <f>IFERROR(VLOOKUP($D6,'MEMBERS LIST'!$D$5:$AT$29,17,0),0)</f>
        <v>Shama</v>
      </c>
      <c r="G13" s="944" t="str">
        <f>IFERROR(VLOOKUP($D6,'MEMBERS LIST'!$D$5:$AT$29,18,0),0)</f>
        <v>Shama District</v>
      </c>
      <c r="H13" s="944" t="str">
        <f>IFERROR(VLOOKUP($D6,'MEMBERS LIST'!$D$5:$AT$29,19,0),0)</f>
        <v>Central</v>
      </c>
      <c r="I13" s="923"/>
    </row>
    <row r="14" spans="1:12" s="922" customFormat="1" ht="48" thickTop="1" thickBot="1" x14ac:dyDescent="0.5">
      <c r="B14" s="919"/>
      <c r="C14" s="972" t="s">
        <v>1174</v>
      </c>
      <c r="D14" s="972" t="s">
        <v>1175</v>
      </c>
      <c r="E14" s="973" t="s">
        <v>1203</v>
      </c>
      <c r="F14" s="974" t="s">
        <v>1177</v>
      </c>
      <c r="G14" s="974" t="s">
        <v>1178</v>
      </c>
      <c r="H14" s="973" t="s">
        <v>1179</v>
      </c>
      <c r="I14" s="923"/>
      <c r="J14" s="924"/>
      <c r="K14" s="924"/>
    </row>
    <row r="15" spans="1:12" s="924" customFormat="1" ht="54.95" customHeight="1" thickTop="1" thickBot="1" x14ac:dyDescent="0.5">
      <c r="B15" s="923"/>
      <c r="C15" s="944" t="str">
        <f>IFERROR(VLOOKUP($D6,'MEMBERS LIST'!$D$5:$AT$29,20,0),0)</f>
        <v>Fante</v>
      </c>
      <c r="D15" s="944" t="str">
        <f>IFERROR(VLOOKUP($D6,'MEMBERS LIST'!$D$5:$AT$29,21,0),0)</f>
        <v>Quansah Jordan Kwame</v>
      </c>
      <c r="E15" s="944" t="str">
        <f>IFERROR(VLOOKUP($D6,'MEMBERS LIST'!$D$5:$AT$29,22,0),0)</f>
        <v>Son</v>
      </c>
      <c r="F15" s="944">
        <f>IFERROR(VLOOKUP($D6,'MEMBERS LIST'!$D$5:$AT$29,23,0),0)</f>
        <v>0</v>
      </c>
      <c r="G15" s="944" t="str">
        <f>IFERROR(VLOOKUP($D6,'MEMBERS LIST'!$D$5:$AT$29,24,0),0)</f>
        <v>Married</v>
      </c>
      <c r="H15" s="944" t="str">
        <f>IFERROR(VLOOKUP($D6,'MEMBERS LIST'!$D$5:$AT$29,25,0),0)</f>
        <v>Quansah Victoria</v>
      </c>
      <c r="I15" s="923"/>
    </row>
    <row r="16" spans="1:12" s="922" customFormat="1" ht="48" thickTop="1" thickBot="1" x14ac:dyDescent="0.5">
      <c r="B16" s="919"/>
      <c r="C16" s="975" t="s">
        <v>654</v>
      </c>
      <c r="D16" s="972" t="s">
        <v>1180</v>
      </c>
      <c r="E16" s="973" t="s">
        <v>1181</v>
      </c>
      <c r="F16" s="974" t="s">
        <v>654</v>
      </c>
      <c r="G16" s="974" t="s">
        <v>1182</v>
      </c>
      <c r="H16" s="973" t="s">
        <v>654</v>
      </c>
      <c r="I16" s="923"/>
      <c r="J16" s="924"/>
      <c r="K16" s="924"/>
    </row>
    <row r="17" spans="2:11" s="924" customFormat="1" ht="54.95" customHeight="1" thickBot="1" x14ac:dyDescent="0.5">
      <c r="B17" s="923"/>
      <c r="C17" s="944" t="str">
        <f>IFERROR(VLOOKUP($D6,'MEMBERS LIST'!$D$5:$AT$29,26,0),0)</f>
        <v>053 439 6522</v>
      </c>
      <c r="D17" s="944">
        <f>IFERROR(VLOOKUP($D6,'MEMBERS LIST'!$D$5:$AT$29,27,0),0)</f>
        <v>0</v>
      </c>
      <c r="E17" s="944" t="str">
        <f>IFERROR(VLOOKUP($D6,'MEMBERS LIST'!$D$5:$AT$29,28,0),0)</f>
        <v>Nketia Quansah</v>
      </c>
      <c r="F17" s="944" t="str">
        <f>IFERROR(VLOOKUP($D6,'MEMBERS LIST'!$D$5:$AT$29,29,0),0)</f>
        <v>054 109 9509</v>
      </c>
      <c r="G17" s="944" t="str">
        <f>IFERROR(VLOOKUP($D6,'MEMBERS LIST'!$D$5:$AT$29,30,0),0)</f>
        <v>Mary Branful</v>
      </c>
      <c r="H17" s="944" t="str">
        <f>IFERROR(VLOOKUP($D6,'MEMBERS LIST'!$D$5:$AT$29,31,0),0)</f>
        <v>054 152 4008</v>
      </c>
      <c r="I17" s="923"/>
    </row>
    <row r="18" spans="2:11" s="922" customFormat="1" ht="48" thickTop="1" thickBot="1" x14ac:dyDescent="0.5">
      <c r="B18" s="919"/>
      <c r="C18" s="976" t="s">
        <v>485</v>
      </c>
      <c r="D18" s="972" t="s">
        <v>644</v>
      </c>
      <c r="E18" s="973" t="s">
        <v>1205</v>
      </c>
      <c r="F18" s="974" t="s">
        <v>1204</v>
      </c>
      <c r="G18" s="973" t="s">
        <v>1183</v>
      </c>
      <c r="H18" s="973" t="s">
        <v>1207</v>
      </c>
      <c r="I18" s="923"/>
      <c r="J18" s="924"/>
      <c r="K18" s="924"/>
    </row>
    <row r="19" spans="2:11" s="924" customFormat="1" ht="54.95" customHeight="1" thickBot="1" x14ac:dyDescent="0.5">
      <c r="B19" s="923"/>
      <c r="C19" s="946">
        <f>IFERROR(VLOOKUP($D6,'MEMBERS LIST'!$D$5:$AT$29,32,0),0)</f>
        <v>200</v>
      </c>
      <c r="D19" s="946">
        <f>IFERROR(VLOOKUP($D6,'MEMBERS LIST'!$D$5:$AT$29,33,0),0)</f>
        <v>3000</v>
      </c>
      <c r="E19" s="946">
        <f>IFERROR(VLOOKUP($D6,'MEMBERS LIST'!$D$5:$AT$29,34,0),0)</f>
        <v>1000</v>
      </c>
      <c r="F19" s="946">
        <f>IFERROR(VLOOKUP($D6,'MEMBERS LIST'!$D$5:$AT$29,35,0),0)</f>
        <v>4200</v>
      </c>
      <c r="G19" s="946">
        <f>IFERROR(VLOOKUP($D6,'MEMBERS LIST'!$D$5:$AT$29,36,0),0)</f>
        <v>3900</v>
      </c>
      <c r="H19" s="980">
        <f>IFERROR(VLOOKUP($D6,'MEMBERS SHARES HOLDING'!$C$7:$G$26,5,0),0)</f>
        <v>60</v>
      </c>
      <c r="I19" s="923" t="s">
        <v>1285</v>
      </c>
    </row>
    <row r="20" spans="2:11" s="922" customFormat="1" ht="48" thickTop="1" thickBot="1" x14ac:dyDescent="0.5">
      <c r="B20" s="919"/>
      <c r="C20" s="972" t="s">
        <v>1286</v>
      </c>
      <c r="D20" s="972" t="s">
        <v>542</v>
      </c>
      <c r="E20" s="973" t="s">
        <v>1206</v>
      </c>
      <c r="F20" s="974" t="s">
        <v>1231</v>
      </c>
      <c r="G20" s="974" t="s">
        <v>1232</v>
      </c>
      <c r="H20" s="974" t="s">
        <v>60</v>
      </c>
      <c r="I20" s="923"/>
      <c r="J20" s="924"/>
      <c r="K20" s="924"/>
    </row>
    <row r="21" spans="2:11" s="924" customFormat="1" ht="54.95" customHeight="1" thickTop="1" thickBot="1" x14ac:dyDescent="0.5">
      <c r="B21" s="923"/>
      <c r="C21" s="949">
        <f>IFERROR(VLOOKUP($D6,'MEMBERS SHARES HOLDING'!$C$7:$F$26,2,0),0)</f>
        <v>3034.8492401215804</v>
      </c>
      <c r="D21" s="949">
        <f>IFERROR(VLOOKUP($D6,'MEMBERS SHARES HOLDING'!$C$7:$F$26,3,0),0)</f>
        <v>828.35525802261668</v>
      </c>
      <c r="E21" s="949">
        <f>IFERROR(VLOOKUP($D6,'MEMBERS SHARES HOLDING'!$C$7:$F$26,4,0),0)</f>
        <v>3863.2044981441968</v>
      </c>
      <c r="F21" s="949" t="str">
        <f>IFERROR(VLOOKUP($D6,'MEMBERS LIST'!$D$5:$AT$29,41,0),0)</f>
        <v>Alive</v>
      </c>
      <c r="G21" s="949" t="str">
        <f>IFERROR(VLOOKUP($D6,'MEMBERS LIST'!$D$5:$AT$29,42,0),0)</f>
        <v>Alive</v>
      </c>
      <c r="H21" s="949" t="str">
        <f>IFERROR(VLOOKUP($D6,'MEMBERS LIST'!$D$5:$AT$29,43,0),0)</f>
        <v>PROBATION</v>
      </c>
      <c r="I21" s="923"/>
    </row>
    <row r="22" spans="2:11" s="922" customFormat="1" ht="5.0999999999999996" customHeight="1" thickBot="1" x14ac:dyDescent="0.5">
      <c r="B22" s="948"/>
      <c r="C22" s="950"/>
      <c r="D22" s="920"/>
      <c r="E22" s="385"/>
      <c r="F22" s="921"/>
      <c r="G22" s="921"/>
      <c r="H22" s="951"/>
      <c r="I22" s="952"/>
      <c r="J22" s="924"/>
      <c r="K22" s="924"/>
    </row>
    <row r="23" spans="2:11" ht="35.1" customHeight="1" thickTop="1" thickBot="1" x14ac:dyDescent="0.25">
      <c r="B23" s="930"/>
      <c r="C23" s="977" t="s">
        <v>1208</v>
      </c>
      <c r="D23" s="977" t="s">
        <v>1209</v>
      </c>
      <c r="E23" s="977" t="s">
        <v>1210</v>
      </c>
      <c r="F23" s="977" t="s">
        <v>1186</v>
      </c>
      <c r="G23" s="977" t="s">
        <v>1187</v>
      </c>
      <c r="H23" s="977" t="s">
        <v>1188</v>
      </c>
      <c r="I23" s="936"/>
      <c r="J23" s="379"/>
      <c r="K23" s="379"/>
    </row>
    <row r="24" spans="2:11" ht="39.950000000000003" customHeight="1" thickTop="1" thickBot="1" x14ac:dyDescent="0.25">
      <c r="B24" s="930"/>
      <c r="C24" s="965">
        <f>IFERROR(VLOOKUP($D6,'YEARLY DUES FEES'!$C$5:$N$29,3,0),0)</f>
        <v>600</v>
      </c>
      <c r="D24" s="965">
        <f>IFERROR(VLOOKUP($D6,'YEARLY DUES FEES'!$C$5:$N$29,4,0),0)</f>
        <v>900</v>
      </c>
      <c r="E24" s="965">
        <f>IFERROR(VLOOKUP($D6,'YEARLY DUES FEES'!$C$5:$N$29,5,0),0)</f>
        <v>1200</v>
      </c>
      <c r="F24" s="965">
        <f>IFERROR(VLOOKUP($D6,'YEARLY DUES FEES'!$C$5:$N$29,6,0),0)</f>
        <v>1200</v>
      </c>
      <c r="G24" s="965"/>
      <c r="H24" s="965">
        <f>IFERROR(VLOOKUP($D6,'YEARLY DUES FEES'!$C$5:$N$29,8,0),0)</f>
        <v>0</v>
      </c>
      <c r="I24" s="936"/>
      <c r="J24" s="379"/>
      <c r="K24" s="379"/>
    </row>
    <row r="25" spans="2:11" ht="39.950000000000003" customHeight="1" thickTop="1" thickBot="1" x14ac:dyDescent="0.25">
      <c r="B25" s="930"/>
      <c r="C25" s="966">
        <f>IFERROR(VLOOKUP($D6,'YEARLY DUES'!$C$5:$N$29,3,0),0)</f>
        <v>600</v>
      </c>
      <c r="D25" s="966">
        <f>IFERROR(VLOOKUP($D6,'YEARLY DUES'!$C$5:$N$29,4,0),0)</f>
        <v>900</v>
      </c>
      <c r="E25" s="966">
        <f>IFERROR(VLOOKUP($D6,'YEARLY DUES'!$C$5:$N$29,5,0),0)</f>
        <v>1200</v>
      </c>
      <c r="F25" s="966">
        <f>IFERROR(VLOOKUP($D6,'YEARLY DUES'!$C$5:$N$29,6,0),0)</f>
        <v>300</v>
      </c>
      <c r="G25" s="966">
        <f>IFERROR(VLOOKUP($D6,'YEARLY DUES'!$C$5:$N$29,7,0),0)</f>
        <v>0</v>
      </c>
      <c r="H25" s="966">
        <f>IFERROR(VLOOKUP($D6,'YEARLY DUES'!$C$5:$N$29,8,0),0)</f>
        <v>0</v>
      </c>
      <c r="I25" s="936"/>
      <c r="J25" s="379"/>
      <c r="K25" s="379"/>
    </row>
    <row r="26" spans="2:11" ht="39.950000000000003" customHeight="1" thickTop="1" thickBot="1" x14ac:dyDescent="0.25">
      <c r="B26" s="930"/>
      <c r="C26" s="927">
        <f>C24-C25</f>
        <v>0</v>
      </c>
      <c r="D26" s="927">
        <f>D24-D25</f>
        <v>0</v>
      </c>
      <c r="E26" s="927">
        <f t="shared" ref="E26:H26" si="0">E24-E25</f>
        <v>0</v>
      </c>
      <c r="F26" s="927">
        <f t="shared" si="0"/>
        <v>900</v>
      </c>
      <c r="G26" s="927">
        <f t="shared" si="0"/>
        <v>0</v>
      </c>
      <c r="H26" s="927">
        <f t="shared" si="0"/>
        <v>0</v>
      </c>
      <c r="I26" s="936"/>
      <c r="J26" s="379"/>
      <c r="K26" s="379"/>
    </row>
    <row r="27" spans="2:11" ht="48" thickTop="1" thickBot="1" x14ac:dyDescent="0.25">
      <c r="B27" s="930"/>
      <c r="C27" s="977" t="s">
        <v>1189</v>
      </c>
      <c r="D27" s="977" t="s">
        <v>1190</v>
      </c>
      <c r="E27" s="977" t="s">
        <v>1191</v>
      </c>
      <c r="F27" s="977" t="s">
        <v>1192</v>
      </c>
      <c r="G27" s="977" t="s">
        <v>1193</v>
      </c>
      <c r="H27" s="977" t="s">
        <v>1292</v>
      </c>
      <c r="I27" s="936"/>
      <c r="J27" s="379"/>
      <c r="K27" s="379"/>
    </row>
    <row r="28" spans="2:11" ht="39.950000000000003" customHeight="1" thickTop="1" thickBot="1" x14ac:dyDescent="0.25">
      <c r="B28" s="930"/>
      <c r="C28" s="927">
        <f>IFERROR(VLOOKUP($D$6,'[2]YEARLY DUES FEES'!$C$5:$N$48,8,0),0)</f>
        <v>0</v>
      </c>
      <c r="D28" s="927">
        <f>IFERROR(VLOOKUP($D$6,'[2]YEARLY DUES FEES'!$C$5:$N$48,9,0),0)</f>
        <v>0</v>
      </c>
      <c r="E28" s="927">
        <f>IFERROR(VLOOKUP($D$6,'[2]YEARLY DUES FEES'!$C$5:$N$48,10,0),0)</f>
        <v>0</v>
      </c>
      <c r="F28" s="927">
        <f>IFERROR(VLOOKUP($D$6,'[2]YEARLY DUES FEES'!$C$5:$N$48,11,0),0)</f>
        <v>0</v>
      </c>
      <c r="G28" s="927"/>
      <c r="H28" s="967">
        <f>SUM(C24:H24,C28:G28)</f>
        <v>3900</v>
      </c>
      <c r="I28" s="936"/>
      <c r="J28" s="379"/>
      <c r="K28" s="379"/>
    </row>
    <row r="29" spans="2:11" ht="39.950000000000003" customHeight="1" thickTop="1" thickBot="1" x14ac:dyDescent="0.25">
      <c r="B29" s="930"/>
      <c r="C29" s="927">
        <f>IFERROR(VLOOKUP($D6,'[2]YEARLY DUES PAID'!$C$5:$N$48,8,0),0)</f>
        <v>0</v>
      </c>
      <c r="D29" s="927">
        <f>IFERROR(VLOOKUP($D6,'[2]YEARLY DUES PAID'!$C$5:$N$48,9,0),0)</f>
        <v>0</v>
      </c>
      <c r="E29" s="927">
        <f>IFERROR(VLOOKUP($D6,'[2]YEARLY DUES PAID'!$C$5:$N$48,10,0),0)</f>
        <v>0</v>
      </c>
      <c r="F29" s="927">
        <f>IFERROR(VLOOKUP($D6,'[2]YEARLY DUES PAID'!$C$5:$N$48,11,0),0)</f>
        <v>0</v>
      </c>
      <c r="G29" s="927"/>
      <c r="H29" s="927">
        <f>SUM(C25:H25,C29:G29)</f>
        <v>3000</v>
      </c>
      <c r="I29" s="936"/>
      <c r="J29" s="379"/>
      <c r="K29" s="379"/>
    </row>
    <row r="30" spans="2:11" ht="39.950000000000003" customHeight="1" thickTop="1" thickBot="1" x14ac:dyDescent="0.25">
      <c r="B30" s="930"/>
      <c r="C30" s="931">
        <f>C28-C29</f>
        <v>0</v>
      </c>
      <c r="D30" s="931">
        <f t="shared" ref="D30:G30" si="1">D28-D29</f>
        <v>0</v>
      </c>
      <c r="E30" s="931">
        <f t="shared" si="1"/>
        <v>0</v>
      </c>
      <c r="F30" s="931">
        <f t="shared" si="1"/>
        <v>0</v>
      </c>
      <c r="G30" s="931">
        <f t="shared" si="1"/>
        <v>0</v>
      </c>
      <c r="H30" s="931">
        <f t="shared" ref="H30" si="2">H28-H29</f>
        <v>900</v>
      </c>
      <c r="I30" s="936"/>
      <c r="J30" s="379"/>
      <c r="K30" s="379"/>
    </row>
    <row r="31" spans="2:11" s="926" customFormat="1" ht="35.1" customHeight="1" thickTop="1" thickBot="1" x14ac:dyDescent="0.4">
      <c r="B31" s="925"/>
      <c r="C31" s="968" t="s">
        <v>1215</v>
      </c>
      <c r="D31" s="969" t="s">
        <v>1216</v>
      </c>
      <c r="E31" s="968" t="s">
        <v>1211</v>
      </c>
      <c r="F31" s="969" t="s">
        <v>1212</v>
      </c>
      <c r="G31" s="968" t="s">
        <v>1213</v>
      </c>
      <c r="H31" s="969" t="s">
        <v>1214</v>
      </c>
      <c r="I31" s="928"/>
      <c r="J31" s="929"/>
      <c r="K31" s="929"/>
    </row>
    <row r="32" spans="2:11" ht="39.950000000000003" customHeight="1" thickTop="1" thickBot="1" x14ac:dyDescent="0.25">
      <c r="B32" s="930"/>
      <c r="C32" s="953">
        <f>IFERROR(VLOOKUP($D6,'SPECIAL LEVY'!$C$4:$N$28,3,0),0)</f>
        <v>200</v>
      </c>
      <c r="D32" s="953">
        <f>IFERROR(VLOOKUP($D6,'SPECIAL LEVY'!$C$4:$N$28,4,0),0)</f>
        <v>100</v>
      </c>
      <c r="E32" s="953">
        <f>IFERROR(VLOOKUP($D6,'SPECIAL LEVY'!$C$4:$N$28,5,0),0)</f>
        <v>200</v>
      </c>
      <c r="F32" s="953">
        <f>IFERROR(VLOOKUP($D6,'SPECIAL LEVY'!$C$4:$N$28,6,0),0)</f>
        <v>200</v>
      </c>
      <c r="G32" s="953">
        <f>IFERROR(VLOOKUP($D6,'SPECIAL LEVY'!$C$4:$N$28,7,0),0)</f>
        <v>200</v>
      </c>
      <c r="H32" s="953">
        <f>IFERROR(VLOOKUP($D6,'SPECIAL LEVY'!$C$4:$N$28,8,0),0)</f>
        <v>100</v>
      </c>
      <c r="I32" s="936"/>
      <c r="J32" s="379"/>
      <c r="K32" s="379"/>
    </row>
    <row r="33" spans="2:11" ht="3.95" customHeight="1" thickTop="1" thickBot="1" x14ac:dyDescent="0.25">
      <c r="B33" s="932"/>
      <c r="C33" s="937"/>
      <c r="D33" s="937"/>
      <c r="E33" s="937"/>
      <c r="F33" s="937"/>
      <c r="G33" s="937"/>
      <c r="H33" s="937"/>
      <c r="I33" s="938"/>
      <c r="J33" s="379"/>
      <c r="K33" s="379"/>
    </row>
    <row r="34" spans="2:11" s="926" customFormat="1" ht="35.1" customHeight="1" thickBot="1" x14ac:dyDescent="0.4">
      <c r="B34" s="925"/>
      <c r="C34" s="968" t="s">
        <v>1217</v>
      </c>
      <c r="D34" s="968" t="s">
        <v>1218</v>
      </c>
      <c r="E34" s="968" t="s">
        <v>1219</v>
      </c>
      <c r="F34" s="968" t="s">
        <v>1220</v>
      </c>
      <c r="G34" s="968" t="s">
        <v>1221</v>
      </c>
      <c r="H34" s="968" t="s">
        <v>1120</v>
      </c>
      <c r="I34" s="928"/>
      <c r="J34" s="929"/>
      <c r="K34" s="929"/>
    </row>
    <row r="35" spans="2:11" ht="39.950000000000003" customHeight="1" thickTop="1" thickBot="1" x14ac:dyDescent="0.25">
      <c r="B35" s="930"/>
      <c r="C35" s="953">
        <f>IFERROR(VLOOKUP($D6,'SPECIAL LEVY'!$C$4:$N$28,9,0),0)</f>
        <v>0</v>
      </c>
      <c r="D35" s="953">
        <f>IFERROR(VLOOKUP($D6,'SPECIAL LEVY'!$C$4:$N$28,10,0),0)</f>
        <v>0</v>
      </c>
      <c r="E35" s="953">
        <f>IFERROR(VLOOKUP($D6,'SPECIAL LEVY'!$C$4:$N$28,11,0),0)</f>
        <v>0</v>
      </c>
      <c r="F35" s="953">
        <f>IFERROR(VLOOKUP($D6,'SPECIAL LEVY'!$C$4:$N$28,12,0),0)</f>
        <v>0</v>
      </c>
      <c r="G35" s="953">
        <f>IFERROR(VLOOKUP($D6,'SPECIAL LEVY'!$C$4:$N$28,13,0),0)</f>
        <v>0</v>
      </c>
      <c r="H35" s="953">
        <f>SUM(C32:H32,C35:G35)</f>
        <v>1000</v>
      </c>
      <c r="I35" s="936"/>
      <c r="J35" s="379"/>
      <c r="K35" s="379"/>
    </row>
    <row r="36" spans="2:11" ht="3.95" customHeight="1" thickTop="1" thickBot="1" x14ac:dyDescent="0.25">
      <c r="B36" s="933"/>
      <c r="C36" s="939"/>
      <c r="D36" s="940"/>
      <c r="E36" s="939"/>
      <c r="F36" s="937"/>
      <c r="G36" s="937"/>
      <c r="H36" s="940"/>
      <c r="I36" s="941"/>
      <c r="J36" s="379"/>
      <c r="K36" s="379"/>
    </row>
    <row r="37" spans="2:11" ht="26.1" customHeight="1" x14ac:dyDescent="0.2">
      <c r="C37" s="379"/>
      <c r="D37" s="379"/>
      <c r="E37" s="379"/>
      <c r="F37" s="379"/>
      <c r="G37" s="379"/>
      <c r="H37" s="379"/>
      <c r="I37" s="379"/>
      <c r="J37" s="379"/>
      <c r="K37" s="379"/>
    </row>
    <row r="38" spans="2:11" ht="26.1" customHeight="1" x14ac:dyDescent="0.2">
      <c r="C38" s="379"/>
      <c r="D38" s="379"/>
      <c r="E38" s="379"/>
      <c r="F38" s="379"/>
      <c r="G38" s="379"/>
      <c r="H38" s="379"/>
      <c r="I38" s="379"/>
      <c r="J38" s="379"/>
      <c r="K38" s="379"/>
    </row>
    <row r="39" spans="2:11" ht="26.1" customHeight="1" x14ac:dyDescent="0.2">
      <c r="C39" s="379"/>
      <c r="D39" s="379"/>
      <c r="E39" s="379"/>
      <c r="F39" s="379"/>
      <c r="G39" s="379"/>
      <c r="H39" s="379"/>
      <c r="I39" s="379"/>
      <c r="J39" s="379"/>
      <c r="K39" s="379"/>
    </row>
    <row r="40" spans="2:11" ht="26.1" customHeight="1" x14ac:dyDescent="0.2">
      <c r="C40" s="379"/>
      <c r="D40" s="379"/>
      <c r="E40" s="379"/>
      <c r="F40" s="379"/>
      <c r="G40" s="379"/>
      <c r="H40" s="379"/>
      <c r="I40" s="379"/>
      <c r="J40" s="379"/>
      <c r="K40" s="379"/>
    </row>
    <row r="41" spans="2:11" ht="26.1" customHeight="1" x14ac:dyDescent="0.2">
      <c r="C41" s="379"/>
      <c r="D41" s="379"/>
      <c r="E41" s="379"/>
      <c r="F41" s="379"/>
      <c r="G41" s="379"/>
      <c r="H41" s="379"/>
      <c r="I41" s="379"/>
      <c r="J41" s="379"/>
      <c r="K41" s="379"/>
    </row>
    <row r="42" spans="2:11" ht="26.1" customHeight="1" x14ac:dyDescent="0.2">
      <c r="C42" s="379"/>
      <c r="D42" s="379"/>
      <c r="E42" s="379"/>
      <c r="F42" s="379"/>
      <c r="G42" s="379"/>
      <c r="H42" s="379"/>
      <c r="I42" s="379"/>
      <c r="J42" s="379"/>
      <c r="K42" s="379"/>
    </row>
    <row r="43" spans="2:11" ht="26.1" customHeight="1" x14ac:dyDescent="0.2">
      <c r="C43" s="379"/>
      <c r="D43" s="379"/>
      <c r="E43" s="379"/>
      <c r="F43" s="379"/>
      <c r="G43" s="379"/>
      <c r="H43" s="379"/>
      <c r="I43" s="379"/>
      <c r="J43" s="379"/>
      <c r="K43" s="379"/>
    </row>
    <row r="44" spans="2:11" ht="26.1" customHeight="1" x14ac:dyDescent="0.2">
      <c r="C44" s="379"/>
      <c r="D44" s="379"/>
      <c r="E44" s="379"/>
      <c r="F44" s="379"/>
      <c r="G44" s="379"/>
      <c r="H44" s="379"/>
      <c r="I44" s="379"/>
      <c r="J44" s="379"/>
      <c r="K44" s="379"/>
    </row>
    <row r="45" spans="2:11" ht="26.1" customHeight="1" x14ac:dyDescent="0.2">
      <c r="C45" s="379"/>
      <c r="D45" s="379"/>
      <c r="E45" s="379"/>
      <c r="F45" s="379"/>
      <c r="G45" s="379"/>
      <c r="H45" s="379"/>
      <c r="I45" s="379"/>
      <c r="J45" s="379"/>
      <c r="K45" s="379"/>
    </row>
    <row r="46" spans="2:11" ht="26.1" customHeight="1" x14ac:dyDescent="0.2">
      <c r="C46" s="379"/>
      <c r="D46" s="379"/>
      <c r="E46" s="379"/>
      <c r="F46" s="379"/>
      <c r="G46" s="379"/>
      <c r="H46" s="379"/>
      <c r="I46" s="379"/>
      <c r="J46" s="379"/>
      <c r="K46" s="379"/>
    </row>
    <row r="47" spans="2:11" ht="26.1" customHeight="1" x14ac:dyDescent="0.2">
      <c r="C47" s="379"/>
      <c r="D47" s="379"/>
      <c r="E47" s="379"/>
      <c r="F47" s="379"/>
      <c r="G47" s="379"/>
      <c r="H47" s="379"/>
      <c r="I47" s="379"/>
      <c r="J47" s="379"/>
      <c r="K47" s="379"/>
    </row>
    <row r="48" spans="2:11" ht="26.1" customHeight="1" x14ac:dyDescent="0.2">
      <c r="C48" s="379"/>
      <c r="D48" s="379"/>
      <c r="E48" s="379"/>
      <c r="F48" s="379"/>
      <c r="G48" s="379"/>
      <c r="H48" s="379"/>
      <c r="I48" s="379"/>
      <c r="J48" s="379"/>
      <c r="K48" s="379"/>
    </row>
    <row r="49" spans="3:11" ht="26.1" customHeight="1" x14ac:dyDescent="0.2">
      <c r="C49" s="379"/>
      <c r="D49" s="379"/>
      <c r="E49" s="379"/>
      <c r="F49" s="379"/>
      <c r="G49" s="379"/>
      <c r="H49" s="379"/>
      <c r="I49" s="379"/>
      <c r="J49" s="379"/>
      <c r="K49" s="379"/>
    </row>
    <row r="50" spans="3:11" ht="26.1" customHeight="1" x14ac:dyDescent="0.2">
      <c r="C50" s="379"/>
      <c r="D50" s="379"/>
      <c r="E50" s="379"/>
      <c r="F50" s="379"/>
      <c r="G50" s="379"/>
      <c r="H50" s="379"/>
      <c r="I50" s="379"/>
      <c r="J50" s="379"/>
      <c r="K50" s="379"/>
    </row>
    <row r="51" spans="3:11" ht="26.1" customHeight="1" x14ac:dyDescent="0.2">
      <c r="C51" s="379"/>
      <c r="D51" s="379"/>
      <c r="E51" s="379"/>
      <c r="F51" s="379"/>
      <c r="G51" s="379"/>
      <c r="H51" s="379"/>
      <c r="I51" s="379"/>
      <c r="J51" s="379"/>
      <c r="K51" s="379"/>
    </row>
    <row r="52" spans="3:11" ht="26.1" customHeight="1" x14ac:dyDescent="0.2">
      <c r="C52" s="379"/>
      <c r="D52" s="379"/>
      <c r="E52" s="379"/>
      <c r="F52" s="379"/>
      <c r="G52" s="379"/>
      <c r="H52" s="379"/>
      <c r="I52" s="379"/>
      <c r="J52" s="379"/>
      <c r="K52" s="379"/>
    </row>
    <row r="53" spans="3:11" ht="26.1" customHeight="1" x14ac:dyDescent="0.2">
      <c r="C53" s="379"/>
      <c r="D53" s="379"/>
      <c r="E53" s="379"/>
      <c r="F53" s="379"/>
      <c r="G53" s="379"/>
      <c r="H53" s="379"/>
      <c r="I53" s="379"/>
      <c r="J53" s="379"/>
      <c r="K53" s="379"/>
    </row>
    <row r="54" spans="3:11" ht="26.1" customHeight="1" x14ac:dyDescent="0.2">
      <c r="C54" s="379"/>
      <c r="D54" s="379"/>
      <c r="E54" s="379"/>
      <c r="F54" s="379"/>
      <c r="G54" s="379"/>
      <c r="H54" s="379"/>
      <c r="I54" s="379"/>
      <c r="J54" s="379"/>
      <c r="K54" s="379"/>
    </row>
    <row r="55" spans="3:11" ht="26.1" customHeight="1" x14ac:dyDescent="0.2">
      <c r="C55" s="379"/>
      <c r="D55" s="379"/>
      <c r="E55" s="379"/>
      <c r="F55" s="379"/>
      <c r="G55" s="379"/>
      <c r="H55" s="379"/>
      <c r="I55" s="379"/>
      <c r="J55" s="379"/>
      <c r="K55" s="379"/>
    </row>
    <row r="56" spans="3:11" ht="26.1" customHeight="1" x14ac:dyDescent="0.2">
      <c r="C56" s="379"/>
      <c r="D56" s="379"/>
      <c r="E56" s="379"/>
      <c r="F56" s="379"/>
      <c r="G56" s="379"/>
      <c r="H56" s="379"/>
      <c r="I56" s="379"/>
      <c r="J56" s="379"/>
      <c r="K56" s="379"/>
    </row>
    <row r="57" spans="3:11" ht="26.1" customHeight="1" x14ac:dyDescent="0.2">
      <c r="C57" s="379"/>
      <c r="D57" s="379"/>
      <c r="E57" s="379"/>
      <c r="F57" s="379"/>
      <c r="G57" s="379"/>
      <c r="H57" s="379"/>
      <c r="I57" s="379"/>
      <c r="J57" s="379"/>
      <c r="K57" s="379"/>
    </row>
    <row r="58" spans="3:11" ht="26.1" customHeight="1" x14ac:dyDescent="0.2">
      <c r="C58" s="379"/>
      <c r="D58" s="379"/>
      <c r="E58" s="379"/>
      <c r="F58" s="379"/>
      <c r="G58" s="379"/>
      <c r="H58" s="379"/>
      <c r="I58" s="379"/>
      <c r="J58" s="379"/>
      <c r="K58" s="379"/>
    </row>
    <row r="59" spans="3:11" ht="26.1" customHeight="1" x14ac:dyDescent="0.2">
      <c r="C59" s="379"/>
      <c r="D59" s="379"/>
      <c r="E59" s="379"/>
      <c r="F59" s="379"/>
      <c r="G59" s="379"/>
      <c r="H59" s="379"/>
      <c r="I59" s="379"/>
      <c r="J59" s="379"/>
      <c r="K59" s="379"/>
    </row>
    <row r="60" spans="3:11" ht="26.1" customHeight="1" x14ac:dyDescent="0.2">
      <c r="C60" s="379"/>
      <c r="D60" s="379"/>
      <c r="E60" s="379"/>
      <c r="F60" s="379"/>
      <c r="G60" s="379"/>
      <c r="H60" s="379"/>
      <c r="I60" s="379"/>
      <c r="J60" s="379"/>
      <c r="K60" s="379"/>
    </row>
    <row r="61" spans="3:11" ht="26.1" customHeight="1" x14ac:dyDescent="0.2">
      <c r="C61" s="379"/>
      <c r="D61" s="379"/>
      <c r="E61" s="379"/>
      <c r="F61" s="379"/>
      <c r="G61" s="379"/>
      <c r="H61" s="379"/>
      <c r="I61" s="379"/>
      <c r="J61" s="379"/>
      <c r="K61" s="379"/>
    </row>
    <row r="62" spans="3:11" ht="26.1" customHeight="1" x14ac:dyDescent="0.2">
      <c r="C62" s="379"/>
      <c r="D62" s="379"/>
      <c r="E62" s="379"/>
      <c r="F62" s="379"/>
      <c r="G62" s="379"/>
      <c r="H62" s="379"/>
      <c r="I62" s="379"/>
      <c r="J62" s="379"/>
      <c r="K62" s="379"/>
    </row>
    <row r="63" spans="3:11" ht="26.1" customHeight="1" x14ac:dyDescent="0.2">
      <c r="C63" s="379"/>
      <c r="D63" s="379"/>
      <c r="E63" s="379"/>
      <c r="F63" s="379"/>
      <c r="G63" s="379"/>
      <c r="H63" s="379"/>
      <c r="I63" s="379"/>
      <c r="J63" s="379"/>
      <c r="K63" s="379"/>
    </row>
    <row r="64" spans="3:11" ht="26.1" customHeight="1" x14ac:dyDescent="0.2">
      <c r="C64" s="379"/>
      <c r="D64" s="379"/>
      <c r="E64" s="379"/>
      <c r="F64" s="379"/>
      <c r="G64" s="379"/>
      <c r="H64" s="379"/>
      <c r="I64" s="379"/>
      <c r="J64" s="379"/>
      <c r="K64" s="379"/>
    </row>
    <row r="65" spans="3:11" ht="26.1" customHeight="1" x14ac:dyDescent="0.2">
      <c r="C65" s="379"/>
      <c r="D65" s="379"/>
      <c r="E65" s="379"/>
      <c r="F65" s="379"/>
      <c r="G65" s="379"/>
      <c r="H65" s="379"/>
      <c r="I65" s="379"/>
      <c r="J65" s="379"/>
      <c r="K65" s="379"/>
    </row>
    <row r="66" spans="3:11" ht="26.1" customHeight="1" x14ac:dyDescent="0.2">
      <c r="C66" s="379"/>
      <c r="D66" s="379"/>
      <c r="E66" s="379"/>
      <c r="F66" s="379"/>
      <c r="G66" s="379"/>
      <c r="H66" s="379"/>
      <c r="I66" s="379"/>
      <c r="J66" s="379"/>
      <c r="K66" s="379"/>
    </row>
    <row r="67" spans="3:11" ht="26.1" customHeight="1" x14ac:dyDescent="0.2">
      <c r="C67" s="379"/>
      <c r="D67" s="379"/>
      <c r="E67" s="379"/>
      <c r="F67" s="379"/>
      <c r="G67" s="379"/>
      <c r="H67" s="379"/>
      <c r="I67" s="379"/>
      <c r="J67" s="379"/>
      <c r="K67" s="379"/>
    </row>
    <row r="68" spans="3:11" ht="26.1" customHeight="1" x14ac:dyDescent="0.2">
      <c r="C68" s="379"/>
      <c r="D68" s="379"/>
      <c r="E68" s="379"/>
      <c r="F68" s="379"/>
      <c r="G68" s="379"/>
      <c r="H68" s="379"/>
      <c r="I68" s="379"/>
      <c r="J68" s="379"/>
      <c r="K68" s="379"/>
    </row>
    <row r="69" spans="3:11" ht="26.1" customHeight="1" x14ac:dyDescent="0.2">
      <c r="C69" s="379"/>
      <c r="D69" s="379"/>
      <c r="E69" s="379"/>
      <c r="F69" s="379"/>
      <c r="G69" s="379"/>
      <c r="H69" s="379"/>
      <c r="I69" s="379"/>
      <c r="J69" s="379"/>
      <c r="K69" s="379"/>
    </row>
    <row r="70" spans="3:11" ht="26.1" customHeight="1" x14ac:dyDescent="0.2">
      <c r="C70" s="379"/>
      <c r="D70" s="379"/>
      <c r="E70" s="379"/>
      <c r="F70" s="379"/>
      <c r="G70" s="379"/>
      <c r="H70" s="379"/>
      <c r="I70" s="379"/>
      <c r="J70" s="379"/>
      <c r="K70" s="379"/>
    </row>
  </sheetData>
  <mergeCells count="3">
    <mergeCell ref="C4:C6"/>
    <mergeCell ref="D6:H6"/>
    <mergeCell ref="F2:I2"/>
  </mergeCells>
  <phoneticPr fontId="27" type="noConversion"/>
  <conditionalFormatting sqref="C34:H35">
    <cfRule type="cellIs" dxfId="9" priority="1" operator="equal">
      <formula>0</formula>
    </cfRule>
    <cfRule type="cellIs" dxfId="8" priority="2" operator="equal">
      <formula>0</formula>
    </cfRule>
  </conditionalFormatting>
  <conditionalFormatting sqref="F8:H8 C8:C10 D9:H13 C11:H11 C13:H15 D15:H19 C17:H17 C19:H21 D22:H22 C23:H32">
    <cfRule type="cellIs" dxfId="7" priority="3" operator="equal">
      <formula>0</formula>
    </cfRule>
    <cfRule type="cellIs" dxfId="6" priority="4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08C443-6C22-4736-94EC-67558674FBBC}">
          <x14:formula1>
            <xm:f>'MEMBERS LIST'!$D$5:$D$29</xm:f>
          </x14:formula1>
          <xm:sqref>D6:H6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AT38"/>
  <sheetViews>
    <sheetView zoomScaleNormal="100" workbookViewId="0">
      <selection activeCell="O17" sqref="O17"/>
    </sheetView>
  </sheetViews>
  <sheetFormatPr defaultColWidth="9.140625" defaultRowHeight="18" x14ac:dyDescent="0.25"/>
  <cols>
    <col min="1" max="1" width="2.85546875" style="2" customWidth="1"/>
    <col min="2" max="2" width="8.140625" style="1" customWidth="1"/>
    <col min="3" max="3" width="37" style="2" bestFit="1" customWidth="1"/>
    <col min="4" max="4" width="46.7109375" style="2" bestFit="1" customWidth="1"/>
    <col min="5" max="5" width="11.28515625" style="2" bestFit="1" customWidth="1"/>
    <col min="6" max="6" width="38.85546875" style="2" bestFit="1" customWidth="1"/>
    <col min="7" max="7" width="16.28515625" style="2" bestFit="1" customWidth="1"/>
    <col min="8" max="8" width="17.7109375" style="2" bestFit="1" customWidth="1"/>
    <col min="9" max="9" width="21.7109375" style="2" customWidth="1"/>
    <col min="10" max="10" width="20.5703125" style="1" customWidth="1"/>
    <col min="11" max="11" width="32.140625" style="2" bestFit="1" customWidth="1"/>
    <col min="12" max="12" width="29.42578125" style="1" customWidth="1"/>
    <col min="13" max="13" width="33.28515625" style="2" customWidth="1"/>
    <col min="14" max="14" width="57.85546875" style="2" bestFit="1" customWidth="1"/>
    <col min="15" max="15" width="31.42578125" style="2" customWidth="1"/>
    <col min="16" max="16" width="42.7109375" style="2" bestFit="1" customWidth="1"/>
    <col min="17" max="17" width="31.28515625" style="2" bestFit="1" customWidth="1"/>
    <col min="18" max="18" width="20.42578125" style="1" customWidth="1"/>
    <col min="19" max="19" width="31" style="2" bestFit="1" customWidth="1"/>
    <col min="20" max="20" width="26.85546875" style="2" bestFit="1" customWidth="1"/>
    <col min="21" max="21" width="30.28515625" style="2" bestFit="1" customWidth="1"/>
    <col min="22" max="22" width="15.140625" style="2" bestFit="1" customWidth="1"/>
    <col min="23" max="23" width="12.7109375" style="2" bestFit="1" customWidth="1"/>
    <col min="24" max="24" width="33.42578125" style="2" bestFit="1" customWidth="1"/>
    <col min="25" max="25" width="27.42578125" style="2" customWidth="1"/>
    <col min="26" max="26" width="31.42578125" style="1" customWidth="1"/>
    <col min="27" max="27" width="20.5703125" style="2" customWidth="1"/>
    <col min="28" max="28" width="29.85546875" style="2" customWidth="1"/>
    <col min="29" max="29" width="27" style="1" customWidth="1"/>
    <col min="30" max="30" width="19.42578125" style="1" customWidth="1"/>
    <col min="31" max="31" width="42.7109375" style="2" customWidth="1"/>
    <col min="32" max="32" width="21.5703125" style="1" customWidth="1"/>
    <col min="33" max="33" width="34.28515625" style="2" bestFit="1" customWidth="1"/>
    <col min="34" max="34" width="19.85546875" style="1" customWidth="1"/>
    <col min="35" max="35" width="17" style="2" customWidth="1"/>
    <col min="36" max="36" width="18.7109375" style="2" customWidth="1"/>
    <col min="37" max="37" width="17" style="2" customWidth="1"/>
    <col min="38" max="38" width="18.42578125" style="2" customWidth="1"/>
    <col min="39" max="39" width="16.42578125" style="2" customWidth="1"/>
    <col min="40" max="40" width="17.5703125" style="2" customWidth="1"/>
    <col min="41" max="41" width="18" style="2" customWidth="1"/>
    <col min="42" max="42" width="20.28515625" style="2" customWidth="1"/>
    <col min="43" max="43" width="17.28515625" style="2" customWidth="1"/>
    <col min="44" max="44" width="18.85546875" style="2" customWidth="1"/>
    <col min="45" max="45" width="19.5703125" style="2" customWidth="1"/>
    <col min="46" max="46" width="21.5703125" style="2" customWidth="1"/>
    <col min="47" max="16384" width="9.140625" style="2"/>
  </cols>
  <sheetData>
    <row r="1" spans="1:46" s="77" customFormat="1" x14ac:dyDescent="0.25">
      <c r="A1" s="89"/>
      <c r="B1" s="76"/>
      <c r="J1" s="76"/>
      <c r="L1" s="76"/>
      <c r="R1" s="76"/>
      <c r="Z1" s="76"/>
      <c r="AC1" s="76"/>
      <c r="AD1" s="76"/>
      <c r="AF1" s="76"/>
      <c r="AH1" s="76"/>
    </row>
    <row r="2" spans="1:46" s="77" customFormat="1" ht="9.6" customHeight="1" x14ac:dyDescent="0.25">
      <c r="B2" s="76"/>
      <c r="J2" s="76"/>
      <c r="L2" s="76"/>
      <c r="R2" s="76"/>
      <c r="Z2" s="76"/>
      <c r="AC2" s="76"/>
      <c r="AD2" s="76"/>
      <c r="AF2" s="76"/>
      <c r="AH2" s="76"/>
    </row>
    <row r="3" spans="1:46" s="70" customFormat="1" ht="47.25" thickBot="1" x14ac:dyDescent="0.8">
      <c r="B3" s="1043" t="s">
        <v>484</v>
      </c>
      <c r="C3" s="1043"/>
      <c r="D3" s="1043"/>
      <c r="E3" s="1043"/>
      <c r="F3" s="1023">
        <v>3</v>
      </c>
      <c r="G3" s="1023">
        <v>4</v>
      </c>
      <c r="H3" s="1023">
        <v>5</v>
      </c>
      <c r="I3" s="1023">
        <v>6</v>
      </c>
      <c r="J3" s="1023">
        <v>7</v>
      </c>
      <c r="K3" s="1023">
        <v>8</v>
      </c>
      <c r="L3" s="1023">
        <v>9</v>
      </c>
      <c r="M3" s="1023">
        <v>10</v>
      </c>
      <c r="N3" s="1023">
        <v>11</v>
      </c>
      <c r="O3" s="1023">
        <v>12</v>
      </c>
      <c r="P3" s="1023">
        <v>13</v>
      </c>
      <c r="Q3" s="1023">
        <v>14</v>
      </c>
      <c r="R3" s="1023">
        <v>15</v>
      </c>
      <c r="S3" s="1023">
        <v>16</v>
      </c>
      <c r="T3" s="1023">
        <v>17</v>
      </c>
      <c r="U3" s="1023">
        <v>18</v>
      </c>
      <c r="V3" s="1023">
        <v>19</v>
      </c>
      <c r="W3" s="1023">
        <v>20</v>
      </c>
      <c r="X3" s="1023">
        <v>21</v>
      </c>
      <c r="Y3" s="1023">
        <v>22</v>
      </c>
      <c r="Z3" s="1023">
        <v>23</v>
      </c>
      <c r="AA3" s="1023">
        <v>24</v>
      </c>
      <c r="AB3" s="1023">
        <v>25</v>
      </c>
      <c r="AC3" s="1023">
        <v>26</v>
      </c>
      <c r="AD3" s="1023">
        <v>27</v>
      </c>
      <c r="AE3" s="1023">
        <v>28</v>
      </c>
      <c r="AF3" s="1023">
        <v>29</v>
      </c>
      <c r="AG3" s="1023">
        <v>30</v>
      </c>
      <c r="AH3" s="1023">
        <v>31</v>
      </c>
      <c r="AI3" s="1023">
        <v>32</v>
      </c>
      <c r="AJ3" s="1023">
        <v>33</v>
      </c>
      <c r="AK3" s="1023">
        <v>34</v>
      </c>
      <c r="AL3" s="1023">
        <v>35</v>
      </c>
      <c r="AM3" s="1023">
        <v>36</v>
      </c>
      <c r="AN3" s="1023">
        <v>37</v>
      </c>
      <c r="AO3" s="1023">
        <v>38</v>
      </c>
      <c r="AP3" s="1023">
        <v>39</v>
      </c>
      <c r="AQ3" s="1023">
        <v>40</v>
      </c>
      <c r="AR3" s="1023">
        <v>41</v>
      </c>
      <c r="AS3" s="1023">
        <v>42</v>
      </c>
      <c r="AT3" s="1023">
        <v>43</v>
      </c>
    </row>
    <row r="4" spans="1:46" s="423" customFormat="1" ht="45.95" customHeight="1" thickTop="1" thickBot="1" x14ac:dyDescent="0.3">
      <c r="B4" s="1011" t="s">
        <v>125</v>
      </c>
      <c r="C4" s="1012" t="s">
        <v>57</v>
      </c>
      <c r="D4" s="1012" t="s">
        <v>1222</v>
      </c>
      <c r="E4" s="1012" t="s">
        <v>544</v>
      </c>
      <c r="F4" s="1012" t="s">
        <v>1164</v>
      </c>
      <c r="G4" s="1013" t="s">
        <v>50</v>
      </c>
      <c r="H4" s="1012" t="s">
        <v>531</v>
      </c>
      <c r="I4" s="1012" t="s">
        <v>1194</v>
      </c>
      <c r="J4" s="1012" t="s">
        <v>1195</v>
      </c>
      <c r="K4" s="1014" t="s">
        <v>1196</v>
      </c>
      <c r="L4" s="1014" t="s">
        <v>1199</v>
      </c>
      <c r="M4" s="1014" t="s">
        <v>1185</v>
      </c>
      <c r="N4" s="1014" t="s">
        <v>1169</v>
      </c>
      <c r="O4" s="1014" t="s">
        <v>1201</v>
      </c>
      <c r="P4" s="1013" t="s">
        <v>157</v>
      </c>
      <c r="Q4" s="1014" t="s">
        <v>1168</v>
      </c>
      <c r="R4" s="1014" t="s">
        <v>1170</v>
      </c>
      <c r="S4" s="1014" t="s">
        <v>1171</v>
      </c>
      <c r="T4" s="1014" t="s">
        <v>1172</v>
      </c>
      <c r="U4" s="1014" t="s">
        <v>1173</v>
      </c>
      <c r="V4" s="1014" t="s">
        <v>1202</v>
      </c>
      <c r="W4" s="1014" t="s">
        <v>1174</v>
      </c>
      <c r="X4" s="1014" t="s">
        <v>1175</v>
      </c>
      <c r="Y4" s="1014" t="s">
        <v>1203</v>
      </c>
      <c r="Z4" s="1014" t="s">
        <v>1177</v>
      </c>
      <c r="AA4" s="1014" t="s">
        <v>1178</v>
      </c>
      <c r="AB4" s="1014" t="s">
        <v>1179</v>
      </c>
      <c r="AC4" s="1014" t="s">
        <v>654</v>
      </c>
      <c r="AD4" s="1014" t="s">
        <v>1180</v>
      </c>
      <c r="AE4" s="1014" t="s">
        <v>1181</v>
      </c>
      <c r="AF4" s="1014" t="s">
        <v>654</v>
      </c>
      <c r="AG4" s="1014" t="s">
        <v>1182</v>
      </c>
      <c r="AH4" s="1014" t="s">
        <v>654</v>
      </c>
      <c r="AI4" s="1013" t="s">
        <v>485</v>
      </c>
      <c r="AJ4" s="1014" t="s">
        <v>644</v>
      </c>
      <c r="AK4" s="1014" t="s">
        <v>1205</v>
      </c>
      <c r="AL4" s="1014" t="s">
        <v>1204</v>
      </c>
      <c r="AM4" s="1014" t="s">
        <v>1183</v>
      </c>
      <c r="AN4" s="1014" t="s">
        <v>1224</v>
      </c>
      <c r="AO4" s="1014" t="s">
        <v>1003</v>
      </c>
      <c r="AP4" s="1014" t="s">
        <v>542</v>
      </c>
      <c r="AQ4" s="1014" t="s">
        <v>1206</v>
      </c>
      <c r="AR4" s="1014" t="s">
        <v>1231</v>
      </c>
      <c r="AS4" s="1014" t="s">
        <v>1232</v>
      </c>
      <c r="AT4" s="1015" t="s">
        <v>60</v>
      </c>
    </row>
    <row r="5" spans="1:46" s="70" customFormat="1" ht="26.1" customHeight="1" thickTop="1" thickBot="1" x14ac:dyDescent="0.3">
      <c r="B5" s="991">
        <v>1</v>
      </c>
      <c r="C5" s="992" t="s">
        <v>620</v>
      </c>
      <c r="D5" s="993" t="s">
        <v>621</v>
      </c>
      <c r="E5" s="994" t="s">
        <v>132</v>
      </c>
      <c r="F5" s="995" t="s">
        <v>629</v>
      </c>
      <c r="G5" s="995" t="s">
        <v>115</v>
      </c>
      <c r="H5" s="996">
        <v>45292</v>
      </c>
      <c r="I5" s="994" t="s">
        <v>460</v>
      </c>
      <c r="J5" s="994"/>
      <c r="K5" s="995" t="s">
        <v>1225</v>
      </c>
      <c r="L5" s="994"/>
      <c r="M5" s="995" t="s">
        <v>115</v>
      </c>
      <c r="N5" s="995" t="s">
        <v>630</v>
      </c>
      <c r="O5" s="995" t="s">
        <v>631</v>
      </c>
      <c r="P5" s="995" t="s">
        <v>183</v>
      </c>
      <c r="Q5" s="995" t="s">
        <v>115</v>
      </c>
      <c r="R5" s="997">
        <v>30097</v>
      </c>
      <c r="S5" s="995" t="s">
        <v>803</v>
      </c>
      <c r="T5" s="995" t="s">
        <v>804</v>
      </c>
      <c r="U5" s="995" t="s">
        <v>1161</v>
      </c>
      <c r="V5" s="995" t="s">
        <v>361</v>
      </c>
      <c r="W5" s="995" t="s">
        <v>805</v>
      </c>
      <c r="X5" s="995" t="s">
        <v>632</v>
      </c>
      <c r="Y5" s="995" t="s">
        <v>584</v>
      </c>
      <c r="Z5" s="994" t="s">
        <v>633</v>
      </c>
      <c r="AA5" s="995" t="s">
        <v>561</v>
      </c>
      <c r="AB5" s="995" t="s">
        <v>806</v>
      </c>
      <c r="AC5" s="994" t="s">
        <v>807</v>
      </c>
      <c r="AD5" s="994"/>
      <c r="AE5" s="995" t="s">
        <v>809</v>
      </c>
      <c r="AF5" s="994" t="s">
        <v>634</v>
      </c>
      <c r="AG5" s="995" t="s">
        <v>810</v>
      </c>
      <c r="AH5" s="994" t="s">
        <v>635</v>
      </c>
      <c r="AI5" s="998">
        <v>200</v>
      </c>
      <c r="AJ5" s="998">
        <f>IFERROR(VLOOKUP($D5,'YEARLY DUES'!$C$5:$D$29,2),0)</f>
        <v>3000</v>
      </c>
      <c r="AK5" s="998">
        <f>IFERROR(VLOOKUP($D5,'SPECIAL LEVY'!$C$4:$D$28,2,0),0)</f>
        <v>700</v>
      </c>
      <c r="AL5" s="998">
        <f t="shared" ref="AL5:AL28" si="0">SUM(AI5:AK5)</f>
        <v>3900</v>
      </c>
      <c r="AM5" s="998">
        <f>IFERROR(VLOOKUP($D5,'YEARLY DUES FEES'!$C$5:$D$29,2,0),0)</f>
        <v>3300</v>
      </c>
      <c r="AN5" s="999">
        <f>IFERROR(VLOOKUP($D5,'MEMBERS SHARES HOLDING'!$C$7:$G$26,5,0),0)</f>
        <v>60</v>
      </c>
      <c r="AO5" s="998">
        <f>IFERROR(VLOOKUP($D5,'MEMBERS SHARES HOLDING'!$C$7:$G$26,2,0),0)</f>
        <v>3034.8492401215804</v>
      </c>
      <c r="AP5" s="998">
        <f>IFERROR(VLOOKUP('MEMBERS LIST'!$D5,'MEMBERS SHARES HOLDING'!$C$7:$G$26,3,0),0)</f>
        <v>2.1460892049127342</v>
      </c>
      <c r="AQ5" s="998">
        <f>SUM(AO5:AP5)</f>
        <v>3036.995329326493</v>
      </c>
      <c r="AR5" s="995" t="s">
        <v>1233</v>
      </c>
      <c r="AS5" s="995" t="s">
        <v>1233</v>
      </c>
      <c r="AT5" s="1000" t="str">
        <f>VLOOKUP($C5,'CHRCK YOUR DUES BALANCE'!$C$8:$E$32,3,0)</f>
        <v>ACTIVE</v>
      </c>
    </row>
    <row r="6" spans="1:46" s="70" customFormat="1" ht="26.1" customHeight="1" thickTop="1" thickBot="1" x14ac:dyDescent="0.3">
      <c r="B6" s="991">
        <v>2</v>
      </c>
      <c r="C6" s="992" t="s">
        <v>687</v>
      </c>
      <c r="D6" s="1001" t="s">
        <v>691</v>
      </c>
      <c r="E6" s="994" t="s">
        <v>132</v>
      </c>
      <c r="F6" s="995" t="s">
        <v>697</v>
      </c>
      <c r="G6" s="995" t="s">
        <v>690</v>
      </c>
      <c r="H6" s="996">
        <v>45658</v>
      </c>
      <c r="I6" s="994" t="s">
        <v>688</v>
      </c>
      <c r="J6" s="994" t="s">
        <v>689</v>
      </c>
      <c r="K6" s="995" t="s">
        <v>1244</v>
      </c>
      <c r="L6" s="994" t="s">
        <v>694</v>
      </c>
      <c r="M6" s="995" t="s">
        <v>560</v>
      </c>
      <c r="N6" s="995" t="s">
        <v>692</v>
      </c>
      <c r="O6" s="995" t="s">
        <v>693</v>
      </c>
      <c r="P6" s="995" t="s">
        <v>755</v>
      </c>
      <c r="Q6" s="995" t="s">
        <v>603</v>
      </c>
      <c r="R6" s="997">
        <v>24283</v>
      </c>
      <c r="S6" s="995" t="s">
        <v>560</v>
      </c>
      <c r="T6" s="995" t="s">
        <v>1228</v>
      </c>
      <c r="U6" s="995" t="s">
        <v>811</v>
      </c>
      <c r="V6" s="995" t="s">
        <v>364</v>
      </c>
      <c r="W6" s="995" t="s">
        <v>812</v>
      </c>
      <c r="X6" s="995" t="s">
        <v>695</v>
      </c>
      <c r="Y6" s="995" t="s">
        <v>584</v>
      </c>
      <c r="Z6" s="994" t="s">
        <v>696</v>
      </c>
      <c r="AA6" s="995" t="s">
        <v>561</v>
      </c>
      <c r="AB6" s="995" t="s">
        <v>813</v>
      </c>
      <c r="AC6" s="994" t="s">
        <v>814</v>
      </c>
      <c r="AD6" s="994" t="s">
        <v>1226</v>
      </c>
      <c r="AE6" s="995" t="s">
        <v>62</v>
      </c>
      <c r="AF6" s="994" t="s">
        <v>533</v>
      </c>
      <c r="AG6" s="995" t="s">
        <v>815</v>
      </c>
      <c r="AH6" s="994" t="s">
        <v>562</v>
      </c>
      <c r="AI6" s="998">
        <v>200</v>
      </c>
      <c r="AJ6" s="998">
        <f>IFERROR(VLOOKUP($D6,'YEARLY DUES'!$C$5:$D$29,2),0)</f>
        <v>1500</v>
      </c>
      <c r="AK6" s="998">
        <f>IFERROR(VLOOKUP($D6,'SPECIAL LEVY'!$C$4:$D$28,2,0),0)</f>
        <v>100</v>
      </c>
      <c r="AL6" s="998">
        <f t="shared" si="0"/>
        <v>1800</v>
      </c>
      <c r="AM6" s="998">
        <f>IFERROR(VLOOKUP($D6,'YEARLY DUES FEES'!$C$5:$D$29,2,0),0)</f>
        <v>2400</v>
      </c>
      <c r="AN6" s="999">
        <f>IFERROR(VLOOKUP($D6,'MEMBERS SHARES HOLDING'!$C$7:$G$26,5,0),0)</f>
        <v>30</v>
      </c>
      <c r="AO6" s="998">
        <f>IFERROR(VLOOKUP($D6,'MEMBERS SHARES HOLDING'!$C$7:$G$26,2,0),0)</f>
        <v>1517.4246200607902</v>
      </c>
      <c r="AP6" s="998">
        <f>IFERROR(VLOOKUP('MEMBERS LIST'!$D6,'MEMBERS SHARES HOLDING'!$C$7:$G$26,3,0),0)</f>
        <v>56.1690815971359</v>
      </c>
      <c r="AQ6" s="998">
        <f t="shared" ref="AQ6:AQ28" si="1">SUM(AO6:AP6)</f>
        <v>1573.593701657926</v>
      </c>
      <c r="AR6" s="995" t="s">
        <v>1233</v>
      </c>
      <c r="AS6" s="995" t="s">
        <v>1233</v>
      </c>
      <c r="AT6" s="1002" t="str">
        <f>VLOOKUP($C6,'CHRCK YOUR DUES BALANCE'!$C$8:$E$32,3,0)</f>
        <v>PROBATION</v>
      </c>
    </row>
    <row r="7" spans="1:46" s="70" customFormat="1" ht="26.1" customHeight="1" thickTop="1" thickBot="1" x14ac:dyDescent="0.3">
      <c r="B7" s="991">
        <v>3</v>
      </c>
      <c r="C7" s="992" t="s">
        <v>458</v>
      </c>
      <c r="D7" s="1001" t="s">
        <v>502</v>
      </c>
      <c r="E7" s="996" t="s">
        <v>132</v>
      </c>
      <c r="F7" s="1003" t="s">
        <v>63</v>
      </c>
      <c r="G7" s="995" t="s">
        <v>103</v>
      </c>
      <c r="H7" s="996">
        <v>44927</v>
      </c>
      <c r="I7" s="996" t="s">
        <v>459</v>
      </c>
      <c r="J7" s="996"/>
      <c r="K7" s="995"/>
      <c r="L7" s="994" t="s">
        <v>622</v>
      </c>
      <c r="M7" s="995" t="s">
        <v>103</v>
      </c>
      <c r="N7" s="995" t="s">
        <v>623</v>
      </c>
      <c r="O7" s="995" t="s">
        <v>624</v>
      </c>
      <c r="P7" s="995" t="s">
        <v>756</v>
      </c>
      <c r="Q7" s="995" t="s">
        <v>103</v>
      </c>
      <c r="R7" s="997">
        <v>29943</v>
      </c>
      <c r="S7" s="995" t="s">
        <v>816</v>
      </c>
      <c r="T7" s="995" t="s">
        <v>817</v>
      </c>
      <c r="U7" s="995" t="s">
        <v>818</v>
      </c>
      <c r="V7" s="995" t="s">
        <v>361</v>
      </c>
      <c r="W7" s="995" t="s">
        <v>794</v>
      </c>
      <c r="X7" s="995" t="s">
        <v>625</v>
      </c>
      <c r="Y7" s="995" t="s">
        <v>626</v>
      </c>
      <c r="Z7" s="994"/>
      <c r="AA7" s="995" t="s">
        <v>561</v>
      </c>
      <c r="AB7" s="995" t="s">
        <v>819</v>
      </c>
      <c r="AC7" s="994" t="s">
        <v>820</v>
      </c>
      <c r="AD7" s="994"/>
      <c r="AE7" s="995" t="s">
        <v>821</v>
      </c>
      <c r="AF7" s="994" t="s">
        <v>627</v>
      </c>
      <c r="AG7" s="995" t="s">
        <v>822</v>
      </c>
      <c r="AH7" s="994" t="s">
        <v>628</v>
      </c>
      <c r="AI7" s="998">
        <v>200</v>
      </c>
      <c r="AJ7" s="998">
        <f>IFERROR(VLOOKUP($D7,'YEARLY DUES'!$C$5:$D$29,2),0)</f>
        <v>3400</v>
      </c>
      <c r="AK7" s="998">
        <f>IFERROR(VLOOKUP($D7,'SPECIAL LEVY'!$C$4:$D$28,2,0),0)</f>
        <v>1000</v>
      </c>
      <c r="AL7" s="998">
        <f t="shared" si="0"/>
        <v>4600</v>
      </c>
      <c r="AM7" s="998">
        <f>IFERROR(VLOOKUP($D7,'YEARLY DUES FEES'!$C$5:$D$29,2,0),0)</f>
        <v>3900</v>
      </c>
      <c r="AN7" s="999">
        <f>IFERROR(VLOOKUP($D7,'MEMBERS SHARES HOLDING'!$C$7:$G$26,5,0),0)</f>
        <v>68</v>
      </c>
      <c r="AO7" s="998">
        <f>IFERROR(VLOOKUP($D7,'MEMBERS SHARES HOLDING'!$C$7:$G$26,2,0),0)</f>
        <v>3439.4958054711246</v>
      </c>
      <c r="AP7" s="998">
        <f>IFERROR(VLOOKUP('MEMBERS LIST'!$D7,'MEMBERS SHARES HOLDING'!$C$7:$G$26,3,0),0)</f>
        <v>828.35525802261668</v>
      </c>
      <c r="AQ7" s="998">
        <f t="shared" si="1"/>
        <v>4267.8510634937411</v>
      </c>
      <c r="AR7" s="995" t="s">
        <v>1233</v>
      </c>
      <c r="AS7" s="995" t="s">
        <v>1233</v>
      </c>
      <c r="AT7" s="1002" t="str">
        <f>VLOOKUP($C7,'CHRCK YOUR DUES BALANCE'!$C$8:$E$32,3,0)</f>
        <v>ACTIVE</v>
      </c>
    </row>
    <row r="8" spans="1:46" ht="26.1" customHeight="1" thickTop="1" thickBot="1" x14ac:dyDescent="0.3">
      <c r="B8" s="991">
        <v>4</v>
      </c>
      <c r="C8" s="992" t="s">
        <v>211</v>
      </c>
      <c r="D8" s="1001" t="s">
        <v>504</v>
      </c>
      <c r="E8" s="996" t="s">
        <v>132</v>
      </c>
      <c r="F8" s="1003" t="s">
        <v>191</v>
      </c>
      <c r="G8" s="995" t="s">
        <v>85</v>
      </c>
      <c r="H8" s="996">
        <v>44927</v>
      </c>
      <c r="I8" s="996" t="s">
        <v>548</v>
      </c>
      <c r="J8" s="996" t="s">
        <v>578</v>
      </c>
      <c r="K8" s="995" t="s">
        <v>1246</v>
      </c>
      <c r="L8" s="994" t="s">
        <v>579</v>
      </c>
      <c r="M8" s="995" t="s">
        <v>1227</v>
      </c>
      <c r="N8" s="995" t="s">
        <v>580</v>
      </c>
      <c r="O8" s="995" t="s">
        <v>581</v>
      </c>
      <c r="P8" s="995" t="s">
        <v>585</v>
      </c>
      <c r="Q8" s="995" t="s">
        <v>85</v>
      </c>
      <c r="R8" s="997">
        <v>23795</v>
      </c>
      <c r="S8" s="995" t="s">
        <v>582</v>
      </c>
      <c r="T8" s="995" t="s">
        <v>823</v>
      </c>
      <c r="U8" s="995" t="s">
        <v>824</v>
      </c>
      <c r="V8" s="995" t="s">
        <v>364</v>
      </c>
      <c r="W8" s="995" t="s">
        <v>825</v>
      </c>
      <c r="X8" s="995" t="s">
        <v>583</v>
      </c>
      <c r="Y8" s="995" t="s">
        <v>584</v>
      </c>
      <c r="Z8" s="994"/>
      <c r="AA8" s="995" t="s">
        <v>561</v>
      </c>
      <c r="AB8" s="995" t="s">
        <v>826</v>
      </c>
      <c r="AC8" s="994" t="s">
        <v>827</v>
      </c>
      <c r="AD8" s="994"/>
      <c r="AE8" s="995" t="s">
        <v>828</v>
      </c>
      <c r="AF8" s="994"/>
      <c r="AG8" s="995" t="s">
        <v>829</v>
      </c>
      <c r="AH8" s="994"/>
      <c r="AI8" s="998">
        <v>200</v>
      </c>
      <c r="AJ8" s="998">
        <f>IFERROR(VLOOKUP($D8,'YEARLY DUES'!$C$5:$D$29,2),0)</f>
        <v>3400</v>
      </c>
      <c r="AK8" s="998">
        <f>IFERROR(VLOOKUP($D8,'SPECIAL LEVY'!$C$4:$D$28,2,0),0)</f>
        <v>1000</v>
      </c>
      <c r="AL8" s="998">
        <f t="shared" si="0"/>
        <v>4600</v>
      </c>
      <c r="AM8" s="998">
        <f>IFERROR(VLOOKUP($D8,'YEARLY DUES FEES'!$C$5:$D$29,2,0),0)</f>
        <v>3900</v>
      </c>
      <c r="AN8" s="999">
        <f>IFERROR(VLOOKUP($D8,'MEMBERS SHARES HOLDING'!$C$7:$G$26,5,0),0)</f>
        <v>68</v>
      </c>
      <c r="AO8" s="998">
        <f>IFERROR(VLOOKUP($D8,'MEMBERS SHARES HOLDING'!$C$7:$G$26,2,0),0)</f>
        <v>3439.4958054711246</v>
      </c>
      <c r="AP8" s="998">
        <f>IFERROR(VLOOKUP('MEMBERS LIST'!$D8,'MEMBERS SHARES HOLDING'!$C$7:$G$26,3,0),0)</f>
        <v>828.35525802261668</v>
      </c>
      <c r="AQ8" s="998">
        <f t="shared" si="1"/>
        <v>4267.8510634937411</v>
      </c>
      <c r="AR8" s="995" t="s">
        <v>1233</v>
      </c>
      <c r="AS8" s="995" t="s">
        <v>1233</v>
      </c>
      <c r="AT8" s="1002" t="str">
        <f>VLOOKUP($C8,'CHRCK YOUR DUES BALANCE'!$C$8:$E$32,3,0)</f>
        <v>ACTIVE</v>
      </c>
    </row>
    <row r="9" spans="1:46" ht="26.1" customHeight="1" thickTop="1" thickBot="1" x14ac:dyDescent="0.3">
      <c r="B9" s="991">
        <v>5</v>
      </c>
      <c r="C9" s="992" t="s">
        <v>273</v>
      </c>
      <c r="D9" s="1001" t="s">
        <v>667</v>
      </c>
      <c r="E9" s="996" t="s">
        <v>132</v>
      </c>
      <c r="F9" s="1003" t="s">
        <v>63</v>
      </c>
      <c r="G9" s="995" t="s">
        <v>93</v>
      </c>
      <c r="H9" s="996">
        <v>45658</v>
      </c>
      <c r="I9" s="996" t="s">
        <v>666</v>
      </c>
      <c r="J9" s="996" t="s">
        <v>668</v>
      </c>
      <c r="K9" s="995"/>
      <c r="L9" s="994"/>
      <c r="M9" s="995"/>
      <c r="N9" s="995"/>
      <c r="O9" s="995"/>
      <c r="P9" s="995"/>
      <c r="Q9" s="995"/>
      <c r="R9" s="997"/>
      <c r="S9" s="995"/>
      <c r="T9" s="995"/>
      <c r="U9" s="995"/>
      <c r="V9" s="995"/>
      <c r="W9" s="995"/>
      <c r="X9" s="995"/>
      <c r="Y9" s="995"/>
      <c r="Z9" s="994"/>
      <c r="AA9" s="995"/>
      <c r="AB9" s="995"/>
      <c r="AC9" s="994"/>
      <c r="AD9" s="994"/>
      <c r="AE9" s="995"/>
      <c r="AF9" s="994"/>
      <c r="AG9" s="995"/>
      <c r="AH9" s="994"/>
      <c r="AI9" s="998">
        <v>200</v>
      </c>
      <c r="AJ9" s="998">
        <f>IFERROR(VLOOKUP($D9,'YEARLY DUES'!$C$5:$D$29,2),0)</f>
        <v>200</v>
      </c>
      <c r="AK9" s="998">
        <f>IFERROR(VLOOKUP($D9,'SPECIAL LEVY'!$C$4:$D$28,2,0),0)</f>
        <v>100</v>
      </c>
      <c r="AL9" s="998">
        <f t="shared" si="0"/>
        <v>500</v>
      </c>
      <c r="AM9" s="998">
        <f>IFERROR(VLOOKUP($D9,'YEARLY DUES FEES'!$C$5:$D$29,2,0),0)</f>
        <v>2400</v>
      </c>
      <c r="AN9" s="999">
        <f>IFERROR(VLOOKUP($D9,'MEMBERS SHARES HOLDING'!$C$7:$G$26,5,0),0)</f>
        <v>0</v>
      </c>
      <c r="AO9" s="998">
        <f>IFERROR(VLOOKUP($D9,'MEMBERS SHARES HOLDING'!$C$7:$G$26,2,0),0)</f>
        <v>0</v>
      </c>
      <c r="AP9" s="998">
        <f>IFERROR(VLOOKUP('MEMBERS LIST'!$D9,'MEMBERS SHARES HOLDING'!$C$7:$G$26,3,0),0)</f>
        <v>0</v>
      </c>
      <c r="AQ9" s="998">
        <f t="shared" si="1"/>
        <v>0</v>
      </c>
      <c r="AR9" s="995" t="s">
        <v>1233</v>
      </c>
      <c r="AS9" s="995" t="s">
        <v>1233</v>
      </c>
      <c r="AT9" s="1002" t="s">
        <v>1140</v>
      </c>
    </row>
    <row r="10" spans="1:46" s="70" customFormat="1" ht="26.1" customHeight="1" thickTop="1" thickBot="1" x14ac:dyDescent="0.3">
      <c r="B10" s="991">
        <v>6</v>
      </c>
      <c r="C10" s="992" t="s">
        <v>186</v>
      </c>
      <c r="D10" s="1001" t="s">
        <v>518</v>
      </c>
      <c r="E10" s="996" t="s">
        <v>132</v>
      </c>
      <c r="F10" s="1003" t="s">
        <v>63</v>
      </c>
      <c r="G10" s="995" t="s">
        <v>105</v>
      </c>
      <c r="H10" s="996">
        <v>44927</v>
      </c>
      <c r="I10" s="996" t="s">
        <v>187</v>
      </c>
      <c r="J10" s="996"/>
      <c r="K10" s="995" t="s">
        <v>1245</v>
      </c>
      <c r="L10" s="994"/>
      <c r="M10" s="995" t="s">
        <v>1054</v>
      </c>
      <c r="N10" s="995"/>
      <c r="O10" s="995" t="s">
        <v>1053</v>
      </c>
      <c r="P10" s="995" t="s">
        <v>183</v>
      </c>
      <c r="Q10" s="995" t="s">
        <v>777</v>
      </c>
      <c r="R10" s="997">
        <v>27395</v>
      </c>
      <c r="S10" s="995" t="s">
        <v>1054</v>
      </c>
      <c r="T10" s="995" t="s">
        <v>1054</v>
      </c>
      <c r="U10" s="995" t="s">
        <v>1054</v>
      </c>
      <c r="V10" s="995" t="s">
        <v>364</v>
      </c>
      <c r="W10" s="995" t="s">
        <v>812</v>
      </c>
      <c r="X10" s="995" t="s">
        <v>1055</v>
      </c>
      <c r="Y10" s="995" t="s">
        <v>584</v>
      </c>
      <c r="Z10" s="994" t="s">
        <v>1229</v>
      </c>
      <c r="AA10" s="995" t="s">
        <v>561</v>
      </c>
      <c r="AB10" s="995" t="s">
        <v>1056</v>
      </c>
      <c r="AC10" s="994" t="s">
        <v>1230</v>
      </c>
      <c r="AD10" s="994" t="s">
        <v>1226</v>
      </c>
      <c r="AE10" s="995" t="s">
        <v>1057</v>
      </c>
      <c r="AF10" s="994"/>
      <c r="AG10" s="995" t="s">
        <v>1058</v>
      </c>
      <c r="AH10" s="994"/>
      <c r="AI10" s="998">
        <v>200</v>
      </c>
      <c r="AJ10" s="998">
        <f>IFERROR(VLOOKUP($D10,'YEARLY DUES'!$C$5:$D$29,2),0)</f>
        <v>3900</v>
      </c>
      <c r="AK10" s="998">
        <f>IFERROR(VLOOKUP($D10,'SPECIAL LEVY'!$C$4:$D$28,2,0),0)</f>
        <v>800</v>
      </c>
      <c r="AL10" s="998">
        <f t="shared" si="0"/>
        <v>4900</v>
      </c>
      <c r="AM10" s="998">
        <f>IFERROR(VLOOKUP($D10,'YEARLY DUES FEES'!$C$5:$D$29,2,0),0)</f>
        <v>3900</v>
      </c>
      <c r="AN10" s="999">
        <f>IFERROR(VLOOKUP($D10,'MEMBERS SHARES HOLDING'!$C$7:$G$26,5,0),0)</f>
        <v>78</v>
      </c>
      <c r="AO10" s="998">
        <f>IFERROR(VLOOKUP($D10,'MEMBERS SHARES HOLDING'!$C$7:$G$26,2,0),0)</f>
        <v>3945.3040121580548</v>
      </c>
      <c r="AP10" s="998">
        <f>IFERROR(VLOOKUP('MEMBERS LIST'!$D10,'MEMBERS SHARES HOLDING'!$C$7:$G$26,3,0),0)</f>
        <v>2.1460892049127342</v>
      </c>
      <c r="AQ10" s="998">
        <f t="shared" si="1"/>
        <v>3947.4501013629674</v>
      </c>
      <c r="AR10" s="995" t="s">
        <v>1233</v>
      </c>
      <c r="AS10" s="995" t="s">
        <v>918</v>
      </c>
      <c r="AT10" s="1002" t="s">
        <v>669</v>
      </c>
    </row>
    <row r="11" spans="1:46" ht="26.1" customHeight="1" thickTop="1" thickBot="1" x14ac:dyDescent="0.3">
      <c r="B11" s="991">
        <v>7</v>
      </c>
      <c r="C11" s="992" t="s">
        <v>351</v>
      </c>
      <c r="D11" s="1001" t="s">
        <v>686</v>
      </c>
      <c r="E11" s="996" t="s">
        <v>132</v>
      </c>
      <c r="F11" s="1003" t="s">
        <v>63</v>
      </c>
      <c r="G11" s="995" t="s">
        <v>112</v>
      </c>
      <c r="H11" s="996">
        <v>45292</v>
      </c>
      <c r="I11" s="996" t="s">
        <v>355</v>
      </c>
      <c r="J11" s="996"/>
      <c r="K11" s="995"/>
      <c r="L11" s="994" t="s">
        <v>715</v>
      </c>
      <c r="M11" s="995" t="s">
        <v>1235</v>
      </c>
      <c r="N11" s="995" t="s">
        <v>713</v>
      </c>
      <c r="O11" s="995" t="s">
        <v>714</v>
      </c>
      <c r="P11" s="995" t="s">
        <v>716</v>
      </c>
      <c r="Q11" s="995" t="s">
        <v>582</v>
      </c>
      <c r="R11" s="997">
        <v>29010</v>
      </c>
      <c r="S11" s="995" t="s">
        <v>830</v>
      </c>
      <c r="T11" s="995" t="s">
        <v>831</v>
      </c>
      <c r="U11" s="995" t="s">
        <v>832</v>
      </c>
      <c r="V11" s="995" t="s">
        <v>365</v>
      </c>
      <c r="W11" s="995" t="s">
        <v>385</v>
      </c>
      <c r="X11" s="995" t="s">
        <v>712</v>
      </c>
      <c r="Y11" s="995" t="s">
        <v>564</v>
      </c>
      <c r="Z11" s="994" t="s">
        <v>912</v>
      </c>
      <c r="AA11" s="995" t="s">
        <v>561</v>
      </c>
      <c r="AB11" s="995" t="s">
        <v>712</v>
      </c>
      <c r="AC11" s="994" t="s">
        <v>912</v>
      </c>
      <c r="AD11" s="994"/>
      <c r="AE11" s="995" t="s">
        <v>833</v>
      </c>
      <c r="AF11" s="994" t="s">
        <v>1236</v>
      </c>
      <c r="AG11" s="995" t="s">
        <v>834</v>
      </c>
      <c r="AH11" s="994" t="s">
        <v>913</v>
      </c>
      <c r="AI11" s="998">
        <v>200</v>
      </c>
      <c r="AJ11" s="998">
        <f>IFERROR(VLOOKUP($D11,'YEARLY DUES'!$C$5:$D$29,2),0)</f>
        <v>3300</v>
      </c>
      <c r="AK11" s="998">
        <f>IFERROR(VLOOKUP($D11,'SPECIAL LEVY'!$C$4:$D$28,2,0),0)</f>
        <v>100</v>
      </c>
      <c r="AL11" s="998">
        <f t="shared" si="0"/>
        <v>3600</v>
      </c>
      <c r="AM11" s="998">
        <f>IFERROR(VLOOKUP($D11,'YEARLY DUES FEES'!$C$5:$D$29,2,0),0)</f>
        <v>3300</v>
      </c>
      <c r="AN11" s="999">
        <f>IFERROR(VLOOKUP($D11,'MEMBERS SHARES HOLDING'!$C$7:$G$26,5,0),0)</f>
        <v>66</v>
      </c>
      <c r="AO11" s="998">
        <f>IFERROR(VLOOKUP($D11,'MEMBERS SHARES HOLDING'!$C$7:$G$26,2,0),0)</f>
        <v>3338.3341641337383</v>
      </c>
      <c r="AP11" s="998">
        <f>IFERROR(VLOOKUP('MEMBERS LIST'!$D11,'MEMBERS SHARES HOLDING'!$C$7:$G$26,3,0),0)</f>
        <v>56.1690815971359</v>
      </c>
      <c r="AQ11" s="998">
        <f t="shared" si="1"/>
        <v>3394.5032457308744</v>
      </c>
      <c r="AR11" s="995" t="s">
        <v>1233</v>
      </c>
      <c r="AS11" s="995" t="s">
        <v>1233</v>
      </c>
      <c r="AT11" s="1002" t="str">
        <f>VLOOKUP($C11,'CHRCK YOUR DUES BALANCE'!$C$8:$E$32,3,0)</f>
        <v>ACTIVE</v>
      </c>
    </row>
    <row r="12" spans="1:46" ht="26.1" customHeight="1" thickTop="1" thickBot="1" x14ac:dyDescent="0.3">
      <c r="B12" s="991">
        <v>8</v>
      </c>
      <c r="C12" s="992" t="s">
        <v>1136</v>
      </c>
      <c r="D12" s="1001" t="s">
        <v>1141</v>
      </c>
      <c r="E12" s="996" t="s">
        <v>1137</v>
      </c>
      <c r="F12" s="1003" t="s">
        <v>1142</v>
      </c>
      <c r="G12" s="995" t="s">
        <v>85</v>
      </c>
      <c r="H12" s="996">
        <v>46023</v>
      </c>
      <c r="I12" s="996" t="s">
        <v>1138</v>
      </c>
      <c r="J12" s="996"/>
      <c r="K12" s="995"/>
      <c r="L12" s="994" t="s">
        <v>1143</v>
      </c>
      <c r="M12" s="995" t="s">
        <v>85</v>
      </c>
      <c r="N12" s="995"/>
      <c r="O12" s="995" t="s">
        <v>1144</v>
      </c>
      <c r="P12" s="995" t="s">
        <v>1139</v>
      </c>
      <c r="Q12" s="995" t="s">
        <v>1145</v>
      </c>
      <c r="R12" s="997">
        <v>27918</v>
      </c>
      <c r="S12" s="995" t="s">
        <v>1146</v>
      </c>
      <c r="T12" s="995" t="s">
        <v>1146</v>
      </c>
      <c r="U12" s="995" t="s">
        <v>1147</v>
      </c>
      <c r="V12" s="995" t="s">
        <v>361</v>
      </c>
      <c r="W12" s="995" t="s">
        <v>794</v>
      </c>
      <c r="X12" s="995" t="s">
        <v>1148</v>
      </c>
      <c r="Y12" s="995" t="s">
        <v>584</v>
      </c>
      <c r="Z12" s="994"/>
      <c r="AA12" s="995" t="s">
        <v>561</v>
      </c>
      <c r="AB12" s="995" t="s">
        <v>1149</v>
      </c>
      <c r="AC12" s="994" t="s">
        <v>1237</v>
      </c>
      <c r="AD12" s="994" t="s">
        <v>1238</v>
      </c>
      <c r="AE12" s="995" t="s">
        <v>1150</v>
      </c>
      <c r="AF12" s="994" t="s">
        <v>1239</v>
      </c>
      <c r="AG12" s="995" t="s">
        <v>1151</v>
      </c>
      <c r="AH12" s="994" t="s">
        <v>1240</v>
      </c>
      <c r="AI12" s="998">
        <v>200</v>
      </c>
      <c r="AJ12" s="998">
        <f>IFERROR(VLOOKUP($D12,'YEARLY DUES'!$C$5:$D$29,2),0)</f>
        <v>900</v>
      </c>
      <c r="AK12" s="998">
        <f>IFERROR(VLOOKUP($D12,'SPECIAL LEVY'!$C$4:$D$28,2,0),0)</f>
        <v>0</v>
      </c>
      <c r="AL12" s="998">
        <f t="shared" si="0"/>
        <v>1100</v>
      </c>
      <c r="AM12" s="998">
        <f>IFERROR(VLOOKUP($D12,'YEARLY DUES FEES'!$C$5:$D$29,2,0),0)</f>
        <v>1200</v>
      </c>
      <c r="AN12" s="999">
        <f>IFERROR(VLOOKUP($D12,'MEMBERS SHARES HOLDING'!$C$7:$G$26,5,0),0)</f>
        <v>18</v>
      </c>
      <c r="AO12" s="998">
        <f>IFERROR(VLOOKUP($D12,'MEMBERS SHARES HOLDING'!$C$7:$G$26,2,0),0)</f>
        <v>910.4547720364742</v>
      </c>
      <c r="AP12" s="998">
        <f>IFERROR(VLOOKUP('MEMBERS LIST'!$D12,'MEMBERS SHARES HOLDING'!$C$7:$G$26,3,0),0)</f>
        <v>0</v>
      </c>
      <c r="AQ12" s="998">
        <f t="shared" si="1"/>
        <v>910.4547720364742</v>
      </c>
      <c r="AR12" s="995" t="s">
        <v>1233</v>
      </c>
      <c r="AS12" s="995" t="s">
        <v>1233</v>
      </c>
      <c r="AT12" s="1002" t="str">
        <f>VLOOKUP($C12,'CHRCK YOUR DUES BALANCE'!$C$8:$E$32,3,0)</f>
        <v>ACTIVE</v>
      </c>
    </row>
    <row r="13" spans="1:46" s="70" customFormat="1" ht="26.1" customHeight="1" thickTop="1" thickBot="1" x14ac:dyDescent="0.3">
      <c r="B13" s="991">
        <v>9</v>
      </c>
      <c r="C13" s="992" t="s">
        <v>776</v>
      </c>
      <c r="D13" s="1001" t="s">
        <v>775</v>
      </c>
      <c r="E13" s="996" t="s">
        <v>132</v>
      </c>
      <c r="F13" s="1003" t="s">
        <v>629</v>
      </c>
      <c r="G13" s="995" t="s">
        <v>93</v>
      </c>
      <c r="H13" s="996">
        <v>45658</v>
      </c>
      <c r="I13" s="996" t="s">
        <v>274</v>
      </c>
      <c r="J13" s="996" t="s">
        <v>771</v>
      </c>
      <c r="K13" s="995" t="s">
        <v>1247</v>
      </c>
      <c r="L13" s="994"/>
      <c r="M13" s="995" t="s">
        <v>1248</v>
      </c>
      <c r="N13" s="995" t="s">
        <v>778</v>
      </c>
      <c r="O13" s="995" t="s">
        <v>779</v>
      </c>
      <c r="P13" s="995" t="s">
        <v>227</v>
      </c>
      <c r="Q13" s="995" t="s">
        <v>777</v>
      </c>
      <c r="R13" s="997">
        <v>29284</v>
      </c>
      <c r="S13" s="995" t="s">
        <v>782</v>
      </c>
      <c r="T13" s="995" t="s">
        <v>780</v>
      </c>
      <c r="U13" s="995" t="s">
        <v>781</v>
      </c>
      <c r="V13" s="995" t="s">
        <v>365</v>
      </c>
      <c r="W13" s="995" t="s">
        <v>385</v>
      </c>
      <c r="X13" s="995" t="s">
        <v>786</v>
      </c>
      <c r="Y13" s="995"/>
      <c r="Z13" s="994"/>
      <c r="AA13" s="995" t="s">
        <v>561</v>
      </c>
      <c r="AB13" s="995" t="s">
        <v>783</v>
      </c>
      <c r="AC13" s="994"/>
      <c r="AD13" s="994" t="s">
        <v>1241</v>
      </c>
      <c r="AE13" s="995" t="s">
        <v>784</v>
      </c>
      <c r="AF13" s="994"/>
      <c r="AG13" s="995" t="s">
        <v>785</v>
      </c>
      <c r="AH13" s="994"/>
      <c r="AI13" s="998">
        <v>200</v>
      </c>
      <c r="AJ13" s="998">
        <f>IFERROR(VLOOKUP($D13,'YEARLY DUES'!$C$5:$D$29,2),0)</f>
        <v>350</v>
      </c>
      <c r="AK13" s="998">
        <f>IFERROR(VLOOKUP($D13,'SPECIAL LEVY'!$C$4:$D$28,2,0),0)</f>
        <v>100</v>
      </c>
      <c r="AL13" s="998">
        <f t="shared" si="0"/>
        <v>650</v>
      </c>
      <c r="AM13" s="998">
        <f>IFERROR(VLOOKUP($D13,'YEARLY DUES FEES'!$C$5:$D$29,2,0),0)</f>
        <v>2400</v>
      </c>
      <c r="AN13" s="999">
        <f>IFERROR(VLOOKUP($D13,'MEMBERS SHARES HOLDING'!$C$7:$G$26,5,0),0)</f>
        <v>0</v>
      </c>
      <c r="AO13" s="998">
        <f>IFERROR(VLOOKUP($D13,'MEMBERS SHARES HOLDING'!$C$7:$G$26,2,0),0)</f>
        <v>0</v>
      </c>
      <c r="AP13" s="998">
        <f>IFERROR(VLOOKUP('MEMBERS LIST'!$D13,'MEMBERS SHARES HOLDING'!$C$7:$G$26,3,0),0)</f>
        <v>0</v>
      </c>
      <c r="AQ13" s="998">
        <f t="shared" si="1"/>
        <v>0</v>
      </c>
      <c r="AR13" s="995" t="s">
        <v>1233</v>
      </c>
      <c r="AS13" s="995" t="s">
        <v>1233</v>
      </c>
      <c r="AT13" s="1002" t="str">
        <f>VLOOKUP($C13,'CHRCK YOUR DUES BALANCE'!$C$8:$E$32,3,0)</f>
        <v>REMOVED</v>
      </c>
    </row>
    <row r="14" spans="1:46" s="215" customFormat="1" ht="26.1" customHeight="1" thickTop="1" thickBot="1" x14ac:dyDescent="0.3">
      <c r="B14" s="991">
        <v>10</v>
      </c>
      <c r="C14" s="992" t="s">
        <v>232</v>
      </c>
      <c r="D14" s="1001" t="s">
        <v>505</v>
      </c>
      <c r="E14" s="996" t="s">
        <v>132</v>
      </c>
      <c r="F14" s="1003" t="s">
        <v>65</v>
      </c>
      <c r="G14" s="995" t="s">
        <v>100</v>
      </c>
      <c r="H14" s="996">
        <v>44927</v>
      </c>
      <c r="I14" s="996" t="s">
        <v>233</v>
      </c>
      <c r="J14" s="996"/>
      <c r="K14" s="995" t="s">
        <v>1242</v>
      </c>
      <c r="L14" s="994" t="s">
        <v>636</v>
      </c>
      <c r="M14" s="995" t="s">
        <v>1243</v>
      </c>
      <c r="N14" s="995" t="s">
        <v>637</v>
      </c>
      <c r="O14" s="995" t="s">
        <v>638</v>
      </c>
      <c r="P14" s="995" t="s">
        <v>245</v>
      </c>
      <c r="Q14" s="995" t="s">
        <v>639</v>
      </c>
      <c r="R14" s="997">
        <v>26778</v>
      </c>
      <c r="S14" s="995" t="s">
        <v>835</v>
      </c>
      <c r="T14" s="995" t="s">
        <v>835</v>
      </c>
      <c r="U14" s="995" t="s">
        <v>836</v>
      </c>
      <c r="V14" s="995" t="s">
        <v>364</v>
      </c>
      <c r="W14" s="995" t="s">
        <v>837</v>
      </c>
      <c r="X14" s="995" t="s">
        <v>640</v>
      </c>
      <c r="Y14" s="995" t="s">
        <v>584</v>
      </c>
      <c r="Z14" s="994" t="s">
        <v>642</v>
      </c>
      <c r="AA14" s="995" t="s">
        <v>561</v>
      </c>
      <c r="AB14" s="995" t="s">
        <v>838</v>
      </c>
      <c r="AC14" s="994" t="s">
        <v>839</v>
      </c>
      <c r="AD14" s="994"/>
      <c r="AE14" s="995" t="s">
        <v>840</v>
      </c>
      <c r="AF14" s="994"/>
      <c r="AG14" s="995" t="s">
        <v>841</v>
      </c>
      <c r="AH14" s="994" t="s">
        <v>641</v>
      </c>
      <c r="AI14" s="998">
        <v>200</v>
      </c>
      <c r="AJ14" s="998">
        <f>IFERROR(VLOOKUP($D14,'YEARLY DUES'!$C$5:$D$29,2),0)</f>
        <v>3400</v>
      </c>
      <c r="AK14" s="998">
        <f>IFERROR(VLOOKUP($D14,'SPECIAL LEVY'!$C$4:$D$28,2,0),0)</f>
        <v>800</v>
      </c>
      <c r="AL14" s="998">
        <f t="shared" si="0"/>
        <v>4400</v>
      </c>
      <c r="AM14" s="998">
        <f>IFERROR(VLOOKUP($D14,'YEARLY DUES FEES'!$C$5:$D$29,2,0),0)</f>
        <v>3900</v>
      </c>
      <c r="AN14" s="999">
        <f>IFERROR(VLOOKUP($D14,'MEMBERS SHARES HOLDING'!$C$7:$G$26,5,0),0)</f>
        <v>68</v>
      </c>
      <c r="AO14" s="998">
        <f>IFERROR(VLOOKUP($D14,'MEMBERS SHARES HOLDING'!$C$7:$G$26,2,0),0)</f>
        <v>3439.4958054711246</v>
      </c>
      <c r="AP14" s="998">
        <f>IFERROR(VLOOKUP('MEMBERS LIST'!$D14,'MEMBERS SHARES HOLDING'!$C$7:$G$26,3,0),0)</f>
        <v>499.82878151260508</v>
      </c>
      <c r="AQ14" s="998">
        <f t="shared" si="1"/>
        <v>3939.3245869837297</v>
      </c>
      <c r="AR14" s="995" t="s">
        <v>918</v>
      </c>
      <c r="AS14" s="995" t="s">
        <v>1233</v>
      </c>
      <c r="AT14" s="1002" t="str">
        <f>VLOOKUP($C14,'CHRCK YOUR DUES BALANCE'!$C$8:$E$32,3,0)</f>
        <v>ACTIVE</v>
      </c>
    </row>
    <row r="15" spans="1:46" s="215" customFormat="1" ht="26.1" customHeight="1" thickTop="1" thickBot="1" x14ac:dyDescent="0.3">
      <c r="B15" s="991">
        <v>11</v>
      </c>
      <c r="C15" s="992" t="s">
        <v>410</v>
      </c>
      <c r="D15" s="1001" t="s">
        <v>506</v>
      </c>
      <c r="E15" s="996" t="s">
        <v>132</v>
      </c>
      <c r="F15" s="1003" t="s">
        <v>63</v>
      </c>
      <c r="G15" s="995" t="s">
        <v>115</v>
      </c>
      <c r="H15" s="996">
        <v>44927</v>
      </c>
      <c r="I15" s="996" t="s">
        <v>552</v>
      </c>
      <c r="J15" s="996"/>
      <c r="K15" s="995" t="s">
        <v>566</v>
      </c>
      <c r="L15" s="994" t="s">
        <v>569</v>
      </c>
      <c r="M15" s="995" t="s">
        <v>115</v>
      </c>
      <c r="N15" s="995" t="s">
        <v>567</v>
      </c>
      <c r="O15" s="995" t="s">
        <v>568</v>
      </c>
      <c r="P15" s="995" t="s">
        <v>759</v>
      </c>
      <c r="Q15" s="995" t="s">
        <v>115</v>
      </c>
      <c r="R15" s="997">
        <v>29082</v>
      </c>
      <c r="S15" s="995" t="s">
        <v>842</v>
      </c>
      <c r="T15" s="995" t="s">
        <v>843</v>
      </c>
      <c r="U15" s="995" t="s">
        <v>844</v>
      </c>
      <c r="V15" s="995" t="s">
        <v>361</v>
      </c>
      <c r="W15" s="995" t="s">
        <v>794</v>
      </c>
      <c r="X15" s="995" t="s">
        <v>570</v>
      </c>
      <c r="Y15" s="995" t="s">
        <v>564</v>
      </c>
      <c r="Z15" s="994" t="s">
        <v>571</v>
      </c>
      <c r="AA15" s="995" t="s">
        <v>561</v>
      </c>
      <c r="AB15" s="995" t="s">
        <v>570</v>
      </c>
      <c r="AC15" s="994" t="s">
        <v>571</v>
      </c>
      <c r="AD15" s="994"/>
      <c r="AE15" s="995" t="s">
        <v>845</v>
      </c>
      <c r="AF15" s="994" t="s">
        <v>572</v>
      </c>
      <c r="AG15" s="995" t="s">
        <v>846</v>
      </c>
      <c r="AH15" s="994" t="s">
        <v>573</v>
      </c>
      <c r="AI15" s="998">
        <v>200</v>
      </c>
      <c r="AJ15" s="998">
        <f>IFERROR(VLOOKUP($D15,'YEARLY DUES'!$C$5:$D$29,2),0)</f>
        <v>3500</v>
      </c>
      <c r="AK15" s="998">
        <f>IFERROR(VLOOKUP($D15,'SPECIAL LEVY'!$C$4:$D$28,2,0),0)</f>
        <v>1000</v>
      </c>
      <c r="AL15" s="998">
        <f t="shared" si="0"/>
        <v>4700</v>
      </c>
      <c r="AM15" s="998">
        <f>IFERROR(VLOOKUP($D15,'YEARLY DUES FEES'!$C$5:$D$29,2,0),0)</f>
        <v>3900</v>
      </c>
      <c r="AN15" s="999">
        <f>IFERROR(VLOOKUP($D15,'MEMBERS SHARES HOLDING'!$C$7:$G$26,5,0),0)</f>
        <v>70</v>
      </c>
      <c r="AO15" s="998">
        <f>IFERROR(VLOOKUP($D15,'MEMBERS SHARES HOLDING'!$C$7:$G$26,2,0),0)</f>
        <v>3540.6574468085105</v>
      </c>
      <c r="AP15" s="998">
        <f>IFERROR(VLOOKUP('MEMBERS LIST'!$D15,'MEMBERS SHARES HOLDING'!$C$7:$G$26,3,0),0)</f>
        <v>828.35525802261668</v>
      </c>
      <c r="AQ15" s="998">
        <f t="shared" si="1"/>
        <v>4369.0127048311269</v>
      </c>
      <c r="AR15" s="995" t="s">
        <v>1233</v>
      </c>
      <c r="AS15" s="995" t="s">
        <v>1233</v>
      </c>
      <c r="AT15" s="1002" t="str">
        <f>VLOOKUP($C15,'CHRCK YOUR DUES BALANCE'!$C$8:$E$32,3,0)</f>
        <v>ACTIVE</v>
      </c>
    </row>
    <row r="16" spans="1:46" ht="26.1" customHeight="1" thickTop="1" thickBot="1" x14ac:dyDescent="0.3">
      <c r="B16" s="991">
        <v>12</v>
      </c>
      <c r="C16" s="992" t="s">
        <v>346</v>
      </c>
      <c r="D16" s="1001" t="s">
        <v>507</v>
      </c>
      <c r="E16" s="996" t="s">
        <v>132</v>
      </c>
      <c r="F16" s="1003" t="s">
        <v>191</v>
      </c>
      <c r="G16" s="995" t="s">
        <v>87</v>
      </c>
      <c r="H16" s="996">
        <v>44927</v>
      </c>
      <c r="I16" s="996" t="s">
        <v>348</v>
      </c>
      <c r="J16" s="996"/>
      <c r="K16" s="995"/>
      <c r="L16" s="994"/>
      <c r="M16" s="995"/>
      <c r="N16" s="995"/>
      <c r="O16" s="995"/>
      <c r="P16" s="995" t="s">
        <v>349</v>
      </c>
      <c r="Q16" s="995"/>
      <c r="R16" s="997"/>
      <c r="S16" s="995"/>
      <c r="T16" s="995"/>
      <c r="U16" s="995"/>
      <c r="V16" s="995"/>
      <c r="W16" s="995"/>
      <c r="X16" s="995"/>
      <c r="Y16" s="995"/>
      <c r="Z16" s="994"/>
      <c r="AA16" s="995"/>
      <c r="AB16" s="995"/>
      <c r="AC16" s="994"/>
      <c r="AD16" s="994"/>
      <c r="AE16" s="995"/>
      <c r="AF16" s="994"/>
      <c r="AG16" s="995"/>
      <c r="AH16" s="994"/>
      <c r="AI16" s="998">
        <v>200</v>
      </c>
      <c r="AJ16" s="998">
        <f>IFERROR(VLOOKUP($D16,'YEARLY DUES'!$C$5:$D$29,2),0)</f>
        <v>3600</v>
      </c>
      <c r="AK16" s="998">
        <f>IFERROR(VLOOKUP($D16,'SPECIAL LEVY'!$C$4:$D$28,2,0),0)</f>
        <v>1000</v>
      </c>
      <c r="AL16" s="998">
        <f t="shared" si="0"/>
        <v>4800</v>
      </c>
      <c r="AM16" s="998">
        <f>IFERROR(VLOOKUP($D16,'YEARLY DUES FEES'!$C$5:$D$29,2,0),0)</f>
        <v>3900</v>
      </c>
      <c r="AN16" s="999">
        <f>IFERROR(VLOOKUP($D16,'MEMBERS SHARES HOLDING'!$C$7:$G$26,5,0),0)</f>
        <v>72</v>
      </c>
      <c r="AO16" s="998">
        <f>IFERROR(VLOOKUP($D16,'MEMBERS SHARES HOLDING'!$C$7:$G$26,2,0),0)</f>
        <v>3641.8190881458968</v>
      </c>
      <c r="AP16" s="998">
        <f>IFERROR(VLOOKUP('MEMBERS LIST'!$D16,'MEMBERS SHARES HOLDING'!$C$7:$G$26,3,0),0)</f>
        <v>2.1460892049127342</v>
      </c>
      <c r="AQ16" s="998">
        <f t="shared" si="1"/>
        <v>3643.9651773508094</v>
      </c>
      <c r="AR16" s="995" t="s">
        <v>1233</v>
      </c>
      <c r="AS16" s="995" t="s">
        <v>1233</v>
      </c>
      <c r="AT16" s="1002" t="str">
        <f>VLOOKUP($C16,'CHRCK YOUR DUES BALANCE'!$C$8:$E$32,3,0)</f>
        <v>ACTIVE</v>
      </c>
    </row>
    <row r="17" spans="2:46" ht="26.1" customHeight="1" thickTop="1" thickBot="1" x14ac:dyDescent="0.3">
      <c r="B17" s="991">
        <v>13</v>
      </c>
      <c r="C17" s="1004" t="s">
        <v>62</v>
      </c>
      <c r="D17" s="1001" t="s">
        <v>508</v>
      </c>
      <c r="E17" s="996" t="s">
        <v>132</v>
      </c>
      <c r="F17" s="1003" t="s">
        <v>63</v>
      </c>
      <c r="G17" s="995" t="s">
        <v>79</v>
      </c>
      <c r="H17" s="996">
        <v>44927</v>
      </c>
      <c r="I17" s="996" t="s">
        <v>533</v>
      </c>
      <c r="J17" s="996" t="s">
        <v>577</v>
      </c>
      <c r="K17" s="995" t="s">
        <v>1244</v>
      </c>
      <c r="L17" s="994" t="s">
        <v>565</v>
      </c>
      <c r="M17" s="995" t="s">
        <v>560</v>
      </c>
      <c r="N17" s="1005" t="s">
        <v>558</v>
      </c>
      <c r="O17" s="995" t="s">
        <v>559</v>
      </c>
      <c r="P17" s="995" t="s">
        <v>339</v>
      </c>
      <c r="Q17" s="995" t="s">
        <v>1249</v>
      </c>
      <c r="R17" s="997">
        <v>15504</v>
      </c>
      <c r="S17" s="995" t="s">
        <v>1249</v>
      </c>
      <c r="T17" s="995" t="s">
        <v>1249</v>
      </c>
      <c r="U17" s="995" t="s">
        <v>811</v>
      </c>
      <c r="V17" s="995" t="s">
        <v>364</v>
      </c>
      <c r="W17" s="995" t="s">
        <v>812</v>
      </c>
      <c r="X17" s="995" t="s">
        <v>815</v>
      </c>
      <c r="Y17" s="995" t="s">
        <v>564</v>
      </c>
      <c r="Z17" s="994" t="s">
        <v>1250</v>
      </c>
      <c r="AA17" s="995" t="s">
        <v>561</v>
      </c>
      <c r="AB17" s="995" t="s">
        <v>815</v>
      </c>
      <c r="AC17" s="994" t="s">
        <v>562</v>
      </c>
      <c r="AD17" s="994" t="s">
        <v>1226</v>
      </c>
      <c r="AE17" s="995" t="s">
        <v>847</v>
      </c>
      <c r="AF17" s="994" t="s">
        <v>1293</v>
      </c>
      <c r="AG17" s="995" t="s">
        <v>1251</v>
      </c>
      <c r="AH17" s="994" t="s">
        <v>563</v>
      </c>
      <c r="AI17" s="998">
        <v>200</v>
      </c>
      <c r="AJ17" s="998">
        <f>IFERROR(VLOOKUP($D17,'YEARLY DUES'!$C$5:$D$29,2),0)</f>
        <v>3900</v>
      </c>
      <c r="AK17" s="998">
        <f>IFERROR(VLOOKUP($D17,'SPECIAL LEVY'!$C$4:$D$28,2,0),0)</f>
        <v>800</v>
      </c>
      <c r="AL17" s="998">
        <f t="shared" si="0"/>
        <v>4900</v>
      </c>
      <c r="AM17" s="998">
        <f>IFERROR(VLOOKUP($D17,'YEARLY DUES FEES'!$C$5:$D$29,2,0),0)</f>
        <v>3900</v>
      </c>
      <c r="AN17" s="999">
        <f>IFERROR(VLOOKUP($D17,'MEMBERS SHARES HOLDING'!$C$7:$G$26,5,0),0)</f>
        <v>118</v>
      </c>
      <c r="AO17" s="998">
        <f>IFERROR(VLOOKUP($D17,'MEMBERS SHARES HOLDING'!$C$7:$G$26,2,0),0)</f>
        <v>5968.5368389057749</v>
      </c>
      <c r="AP17" s="998">
        <f>IFERROR(VLOOKUP('MEMBERS LIST'!$D17,'MEMBERS SHARES HOLDING'!$C$7:$G$26,3,0),0)</f>
        <v>828.35525802261668</v>
      </c>
      <c r="AQ17" s="998">
        <f t="shared" si="1"/>
        <v>6796.8920969283918</v>
      </c>
      <c r="AR17" s="995" t="s">
        <v>918</v>
      </c>
      <c r="AS17" s="995" t="s">
        <v>1233</v>
      </c>
      <c r="AT17" s="1002" t="str">
        <f>VLOOKUP($C17,'CHRCK YOUR DUES BALANCE'!$C$8:$E$32,3,0)</f>
        <v>ACTIVE</v>
      </c>
    </row>
    <row r="18" spans="2:46" s="129" customFormat="1" ht="26.1" customHeight="1" thickTop="1" thickBot="1" x14ac:dyDescent="0.3">
      <c r="B18" s="991">
        <v>14</v>
      </c>
      <c r="C18" s="1004" t="s">
        <v>68</v>
      </c>
      <c r="D18" s="1001" t="s">
        <v>509</v>
      </c>
      <c r="E18" s="996" t="s">
        <v>132</v>
      </c>
      <c r="F18" s="1003" t="s">
        <v>369</v>
      </c>
      <c r="G18" s="995" t="s">
        <v>108</v>
      </c>
      <c r="H18" s="996">
        <v>44927</v>
      </c>
      <c r="I18" s="996" t="s">
        <v>1289</v>
      </c>
      <c r="J18" s="996"/>
      <c r="K18" s="995"/>
      <c r="L18" s="994"/>
      <c r="M18" s="995"/>
      <c r="N18" s="995"/>
      <c r="O18" s="995"/>
      <c r="P18" s="995"/>
      <c r="Q18" s="995"/>
      <c r="R18" s="997"/>
      <c r="S18" s="995"/>
      <c r="T18" s="995"/>
      <c r="U18" s="995"/>
      <c r="V18" s="995"/>
      <c r="W18" s="995"/>
      <c r="X18" s="995"/>
      <c r="Y18" s="995"/>
      <c r="Z18" s="994"/>
      <c r="AA18" s="995"/>
      <c r="AB18" s="995"/>
      <c r="AC18" s="994"/>
      <c r="AD18" s="994"/>
      <c r="AE18" s="995"/>
      <c r="AF18" s="994"/>
      <c r="AG18" s="995"/>
      <c r="AH18" s="994"/>
      <c r="AI18" s="998">
        <v>200</v>
      </c>
      <c r="AJ18" s="998">
        <f>IFERROR(VLOOKUP($D18,'YEARLY DUES'!$C$5:$D$29,2),0)</f>
        <v>1000</v>
      </c>
      <c r="AK18" s="998">
        <f>IFERROR(VLOOKUP($D18,'SPECIAL LEVY'!$C$4:$D$28,2,0),0)</f>
        <v>1000</v>
      </c>
      <c r="AL18" s="998">
        <f t="shared" si="0"/>
        <v>2200</v>
      </c>
      <c r="AM18" s="998">
        <f>IFERROR(VLOOKUP($D18,'YEARLY DUES FEES'!$C$5:$D$29,2,0),0)</f>
        <v>3900</v>
      </c>
      <c r="AN18" s="999">
        <f>IFERROR(VLOOKUP($D18,'MEMBERS SHARES HOLDING'!$C$7:$G$26,5,0),0)</f>
        <v>0</v>
      </c>
      <c r="AO18" s="998">
        <f>IFERROR(VLOOKUP($D18,'MEMBERS SHARES HOLDING'!$C$7:$G$26,2,0),0)</f>
        <v>0</v>
      </c>
      <c r="AP18" s="998">
        <f>IFERROR(VLOOKUP('MEMBERS LIST'!$D18,'MEMBERS SHARES HOLDING'!$C$7:$G$26,3,0),0)</f>
        <v>0</v>
      </c>
      <c r="AQ18" s="998">
        <f t="shared" si="1"/>
        <v>0</v>
      </c>
      <c r="AR18" s="995" t="s">
        <v>1233</v>
      </c>
      <c r="AS18" s="995" t="s">
        <v>1233</v>
      </c>
      <c r="AT18" s="1002" t="str">
        <f>VLOOKUP($C18,'CHRCK YOUR DUES BALANCE'!$C$8:$E$32,3,0)</f>
        <v>REMOVED</v>
      </c>
    </row>
    <row r="19" spans="2:46" s="70" customFormat="1" ht="26.1" customHeight="1" thickTop="1" thickBot="1" x14ac:dyDescent="0.3">
      <c r="B19" s="991">
        <v>15</v>
      </c>
      <c r="C19" s="1004" t="s">
        <v>158</v>
      </c>
      <c r="D19" s="1001" t="s">
        <v>510</v>
      </c>
      <c r="E19" s="996" t="s">
        <v>132</v>
      </c>
      <c r="F19" s="1003" t="s">
        <v>629</v>
      </c>
      <c r="G19" s="995" t="s">
        <v>97</v>
      </c>
      <c r="H19" s="996">
        <v>44927</v>
      </c>
      <c r="I19" s="996" t="s">
        <v>549</v>
      </c>
      <c r="J19" s="996"/>
      <c r="K19" s="995"/>
      <c r="L19" s="994"/>
      <c r="M19" s="995" t="s">
        <v>97</v>
      </c>
      <c r="N19" s="1005" t="s">
        <v>1252</v>
      </c>
      <c r="O19" s="995" t="s">
        <v>791</v>
      </c>
      <c r="P19" s="995" t="s">
        <v>201</v>
      </c>
      <c r="Q19" s="995" t="s">
        <v>97</v>
      </c>
      <c r="R19" s="997">
        <v>28291</v>
      </c>
      <c r="S19" s="995" t="s">
        <v>792</v>
      </c>
      <c r="T19" s="995" t="s">
        <v>792</v>
      </c>
      <c r="U19" s="995" t="s">
        <v>793</v>
      </c>
      <c r="V19" s="995" t="s">
        <v>361</v>
      </c>
      <c r="W19" s="995" t="s">
        <v>1253</v>
      </c>
      <c r="X19" s="995" t="s">
        <v>795</v>
      </c>
      <c r="Y19" s="995" t="s">
        <v>584</v>
      </c>
      <c r="Z19" s="994" t="s">
        <v>796</v>
      </c>
      <c r="AA19" s="995" t="s">
        <v>561</v>
      </c>
      <c r="AB19" s="995" t="s">
        <v>797</v>
      </c>
      <c r="AC19" s="994" t="s">
        <v>798</v>
      </c>
      <c r="AD19" s="994" t="s">
        <v>1226</v>
      </c>
      <c r="AE19" s="995" t="s">
        <v>799</v>
      </c>
      <c r="AF19" s="994" t="s">
        <v>800</v>
      </c>
      <c r="AG19" s="995" t="s">
        <v>801</v>
      </c>
      <c r="AH19" s="994" t="s">
        <v>802</v>
      </c>
      <c r="AI19" s="998">
        <v>200</v>
      </c>
      <c r="AJ19" s="998">
        <f>IFERROR(VLOOKUP($D19,'YEARLY DUES'!$C$5:$D$29,2),0)</f>
        <v>3000</v>
      </c>
      <c r="AK19" s="998">
        <f>IFERROR(VLOOKUP($D19,'SPECIAL LEVY'!$C$4:$D$28,2,0),0)</f>
        <v>1000</v>
      </c>
      <c r="AL19" s="998">
        <f t="shared" si="0"/>
        <v>4200</v>
      </c>
      <c r="AM19" s="998">
        <f>IFERROR(VLOOKUP($D19,'YEARLY DUES FEES'!$C$5:$D$29,2,0),0)</f>
        <v>3900</v>
      </c>
      <c r="AN19" s="999">
        <f>IFERROR(VLOOKUP($D19,'MEMBERS SHARES HOLDING'!$C$7:$G$26,5,0),0)</f>
        <v>60</v>
      </c>
      <c r="AO19" s="998">
        <f>IFERROR(VLOOKUP($D19,'MEMBERS SHARES HOLDING'!$C$7:$G$26,2,0),0)</f>
        <v>3034.8492401215804</v>
      </c>
      <c r="AP19" s="998">
        <f>IFERROR(VLOOKUP('MEMBERS LIST'!$D19,'MEMBERS SHARES HOLDING'!$C$7:$G$26,3,0),0)</f>
        <v>772.18617642548077</v>
      </c>
      <c r="AQ19" s="998">
        <f t="shared" si="1"/>
        <v>3807.0354165470612</v>
      </c>
      <c r="AR19" s="995" t="s">
        <v>1233</v>
      </c>
      <c r="AS19" s="995" t="s">
        <v>1233</v>
      </c>
      <c r="AT19" s="1002" t="str">
        <f>VLOOKUP($C19,'CHRCK YOUR DUES BALANCE'!$C$8:$E$32,3,0)</f>
        <v>PROBATION</v>
      </c>
    </row>
    <row r="20" spans="2:46" ht="26.1" customHeight="1" thickTop="1" thickBot="1" x14ac:dyDescent="0.3">
      <c r="B20" s="991">
        <v>16</v>
      </c>
      <c r="C20" s="992" t="s">
        <v>212</v>
      </c>
      <c r="D20" s="1001" t="s">
        <v>511</v>
      </c>
      <c r="E20" s="996" t="s">
        <v>132</v>
      </c>
      <c r="F20" s="1003" t="s">
        <v>63</v>
      </c>
      <c r="G20" s="995" t="s">
        <v>85</v>
      </c>
      <c r="H20" s="996">
        <v>44927</v>
      </c>
      <c r="I20" s="996" t="s">
        <v>545</v>
      </c>
      <c r="J20" s="996" t="s">
        <v>608</v>
      </c>
      <c r="K20" s="995" t="s">
        <v>610</v>
      </c>
      <c r="L20" s="994" t="s">
        <v>609</v>
      </c>
      <c r="M20" s="995" t="s">
        <v>85</v>
      </c>
      <c r="N20" s="995" t="s">
        <v>611</v>
      </c>
      <c r="O20" s="995" t="s">
        <v>615</v>
      </c>
      <c r="P20" s="995" t="s">
        <v>246</v>
      </c>
      <c r="Q20" s="995" t="s">
        <v>85</v>
      </c>
      <c r="R20" s="997">
        <v>29088</v>
      </c>
      <c r="S20" s="995" t="s">
        <v>848</v>
      </c>
      <c r="T20" s="995" t="s">
        <v>848</v>
      </c>
      <c r="U20" s="995" t="s">
        <v>849</v>
      </c>
      <c r="V20" s="995" t="s">
        <v>361</v>
      </c>
      <c r="W20" s="995" t="s">
        <v>794</v>
      </c>
      <c r="X20" s="995" t="s">
        <v>612</v>
      </c>
      <c r="Y20" s="995" t="s">
        <v>584</v>
      </c>
      <c r="Z20" s="994"/>
      <c r="AA20" s="995" t="s">
        <v>561</v>
      </c>
      <c r="AB20" s="995" t="s">
        <v>850</v>
      </c>
      <c r="AC20" s="994" t="s">
        <v>851</v>
      </c>
      <c r="AD20" s="994"/>
      <c r="AE20" s="995" t="s">
        <v>852</v>
      </c>
      <c r="AF20" s="994" t="s">
        <v>613</v>
      </c>
      <c r="AG20" s="995" t="s">
        <v>853</v>
      </c>
      <c r="AH20" s="994" t="s">
        <v>614</v>
      </c>
      <c r="AI20" s="998">
        <v>200</v>
      </c>
      <c r="AJ20" s="998">
        <f>IFERROR(VLOOKUP($D20,'YEARLY DUES'!$C$5:$D$29,2),0)</f>
        <v>3000</v>
      </c>
      <c r="AK20" s="998">
        <f>IFERROR(VLOOKUP($D20,'SPECIAL LEVY'!$C$4:$D$28,2,0),0)</f>
        <v>1000</v>
      </c>
      <c r="AL20" s="998">
        <f t="shared" si="0"/>
        <v>4200</v>
      </c>
      <c r="AM20" s="998">
        <f>IFERROR(VLOOKUP($D20,'YEARLY DUES FEES'!$C$5:$D$29,2,0),0)</f>
        <v>3900</v>
      </c>
      <c r="AN20" s="999">
        <f>IFERROR(VLOOKUP($D20,'MEMBERS SHARES HOLDING'!$C$7:$G$26,5,0),0)</f>
        <v>60</v>
      </c>
      <c r="AO20" s="998">
        <f>IFERROR(VLOOKUP($D20,'MEMBERS SHARES HOLDING'!$C$7:$G$26,2,0),0)</f>
        <v>3034.8492401215804</v>
      </c>
      <c r="AP20" s="998">
        <f>IFERROR(VLOOKUP('MEMBERS LIST'!$D20,'MEMBERS SHARES HOLDING'!$C$7:$G$26,3,0),0)</f>
        <v>828.35525802261668</v>
      </c>
      <c r="AQ20" s="998">
        <f t="shared" si="1"/>
        <v>3863.2044981441968</v>
      </c>
      <c r="AR20" s="995" t="s">
        <v>1233</v>
      </c>
      <c r="AS20" s="995" t="s">
        <v>1233</v>
      </c>
      <c r="AT20" s="1002" t="str">
        <f>VLOOKUP($C20,'CHRCK YOUR DUES BALANCE'!$C$8:$E$32,3,0)</f>
        <v>PROBATION</v>
      </c>
    </row>
    <row r="21" spans="2:46" ht="26.1" customHeight="1" thickTop="1" thickBot="1" x14ac:dyDescent="0.3">
      <c r="B21" s="991">
        <v>17</v>
      </c>
      <c r="C21" s="1004" t="s">
        <v>75</v>
      </c>
      <c r="D21" s="1001" t="s">
        <v>512</v>
      </c>
      <c r="E21" s="996" t="s">
        <v>132</v>
      </c>
      <c r="F21" s="1003" t="s">
        <v>63</v>
      </c>
      <c r="G21" s="995" t="s">
        <v>117</v>
      </c>
      <c r="H21" s="996">
        <v>44927</v>
      </c>
      <c r="I21" s="996" t="s">
        <v>553</v>
      </c>
      <c r="J21" s="996" t="s">
        <v>616</v>
      </c>
      <c r="K21" s="995" t="s">
        <v>1256</v>
      </c>
      <c r="L21" s="994" t="s">
        <v>618</v>
      </c>
      <c r="M21" s="995" t="s">
        <v>1255</v>
      </c>
      <c r="N21" s="995" t="s">
        <v>617</v>
      </c>
      <c r="O21" s="995" t="s">
        <v>619</v>
      </c>
      <c r="P21" s="995" t="s">
        <v>198</v>
      </c>
      <c r="Q21" s="995" t="s">
        <v>574</v>
      </c>
      <c r="R21" s="997">
        <v>30096</v>
      </c>
      <c r="S21" s="995" t="s">
        <v>115</v>
      </c>
      <c r="T21" s="995" t="s">
        <v>1249</v>
      </c>
      <c r="U21" s="995" t="s">
        <v>811</v>
      </c>
      <c r="V21" s="995" t="s">
        <v>364</v>
      </c>
      <c r="W21" s="995" t="s">
        <v>812</v>
      </c>
      <c r="X21" s="995" t="s">
        <v>575</v>
      </c>
      <c r="Y21" s="995" t="s">
        <v>564</v>
      </c>
      <c r="Z21" s="994" t="s">
        <v>576</v>
      </c>
      <c r="AA21" s="995" t="s">
        <v>561</v>
      </c>
      <c r="AB21" s="995" t="s">
        <v>575</v>
      </c>
      <c r="AC21" s="994" t="s">
        <v>576</v>
      </c>
      <c r="AD21" s="994" t="s">
        <v>1226</v>
      </c>
      <c r="AE21" s="995" t="s">
        <v>62</v>
      </c>
      <c r="AF21" s="994" t="s">
        <v>1254</v>
      </c>
      <c r="AG21" s="995" t="s">
        <v>815</v>
      </c>
      <c r="AH21" s="994" t="s">
        <v>562</v>
      </c>
      <c r="AI21" s="998">
        <v>200</v>
      </c>
      <c r="AJ21" s="998">
        <f>IFERROR(VLOOKUP($D21,'YEARLY DUES'!$C$5:$D$29,2),0)</f>
        <v>3700</v>
      </c>
      <c r="AK21" s="998">
        <f>IFERROR(VLOOKUP($D21,'SPECIAL LEVY'!$C$4:$D$28,2,0),0)</f>
        <v>1000</v>
      </c>
      <c r="AL21" s="998">
        <f t="shared" si="0"/>
        <v>4900</v>
      </c>
      <c r="AM21" s="998">
        <f>IFERROR(VLOOKUP($D21,'YEARLY DUES FEES'!$C$5:$D$29,2,0),0)</f>
        <v>3900</v>
      </c>
      <c r="AN21" s="999">
        <f>IFERROR(VLOOKUP($D21,'MEMBERS SHARES HOLDING'!$C$7:$G$26,5,0),0)</f>
        <v>74</v>
      </c>
      <c r="AO21" s="998">
        <f>IFERROR(VLOOKUP($D21,'MEMBERS SHARES HOLDING'!$C$7:$G$26,2,0),0)</f>
        <v>3742.9807294832826</v>
      </c>
      <c r="AP21" s="998">
        <f>IFERROR(VLOOKUP('MEMBERS LIST'!$D21,'MEMBERS SHARES HOLDING'!$C$7:$G$26,3,0),0)</f>
        <v>828.35525802261668</v>
      </c>
      <c r="AQ21" s="998">
        <f t="shared" si="1"/>
        <v>4571.3359875058995</v>
      </c>
      <c r="AR21" s="995" t="s">
        <v>1233</v>
      </c>
      <c r="AS21" s="995" t="s">
        <v>1233</v>
      </c>
      <c r="AT21" s="1002" t="str">
        <f>VLOOKUP($C21,'CHRCK YOUR DUES BALANCE'!$C$8:$E$32,3,0)</f>
        <v>ACTIVE</v>
      </c>
    </row>
    <row r="22" spans="2:46" ht="26.1" customHeight="1" thickTop="1" thickBot="1" x14ac:dyDescent="0.3">
      <c r="B22" s="991">
        <v>18</v>
      </c>
      <c r="C22" s="992" t="s">
        <v>134</v>
      </c>
      <c r="D22" s="1001" t="s">
        <v>513</v>
      </c>
      <c r="E22" s="996" t="s">
        <v>132</v>
      </c>
      <c r="F22" s="1003" t="s">
        <v>63</v>
      </c>
      <c r="G22" s="995" t="s">
        <v>104</v>
      </c>
      <c r="H22" s="996">
        <v>44927</v>
      </c>
      <c r="I22" s="996" t="s">
        <v>551</v>
      </c>
      <c r="J22" s="996" t="s">
        <v>586</v>
      </c>
      <c r="K22" s="995" t="s">
        <v>704</v>
      </c>
      <c r="L22" s="994" t="s">
        <v>703</v>
      </c>
      <c r="M22" s="995" t="s">
        <v>26</v>
      </c>
      <c r="N22" s="1005" t="s">
        <v>705</v>
      </c>
      <c r="O22" s="995" t="s">
        <v>706</v>
      </c>
      <c r="P22" s="995" t="s">
        <v>757</v>
      </c>
      <c r="Q22" s="995" t="s">
        <v>104</v>
      </c>
      <c r="R22" s="997">
        <v>22959</v>
      </c>
      <c r="S22" s="995" t="s">
        <v>104</v>
      </c>
      <c r="T22" s="995" t="s">
        <v>104</v>
      </c>
      <c r="U22" s="995" t="s">
        <v>854</v>
      </c>
      <c r="V22" s="995" t="s">
        <v>364</v>
      </c>
      <c r="W22" s="995" t="s">
        <v>837</v>
      </c>
      <c r="X22" s="995" t="s">
        <v>707</v>
      </c>
      <c r="Y22" s="995" t="s">
        <v>584</v>
      </c>
      <c r="Z22" s="994"/>
      <c r="AA22" s="995" t="s">
        <v>561</v>
      </c>
      <c r="AB22" s="995" t="s">
        <v>855</v>
      </c>
      <c r="AC22" s="994"/>
      <c r="AD22" s="994" t="s">
        <v>1257</v>
      </c>
      <c r="AE22" s="995" t="s">
        <v>856</v>
      </c>
      <c r="AF22" s="994"/>
      <c r="AG22" s="995" t="s">
        <v>857</v>
      </c>
      <c r="AH22" s="994"/>
      <c r="AI22" s="998">
        <v>200</v>
      </c>
      <c r="AJ22" s="998">
        <f>IFERROR(VLOOKUP($D22,'YEARLY DUES'!$C$5:$D$29,2),0)</f>
        <v>3900</v>
      </c>
      <c r="AK22" s="998">
        <f>IFERROR(VLOOKUP($D22,'SPECIAL LEVY'!$C$4:$D$28,2,0),0)</f>
        <v>1000</v>
      </c>
      <c r="AL22" s="998">
        <f t="shared" si="0"/>
        <v>5100</v>
      </c>
      <c r="AM22" s="998">
        <f>IFERROR(VLOOKUP($D22,'YEARLY DUES FEES'!$C$5:$D$29,2,0),0)</f>
        <v>3900</v>
      </c>
      <c r="AN22" s="999">
        <f>IFERROR(VLOOKUP($D22,'MEMBERS SHARES HOLDING'!$C$7:$G$26,5,0),0)</f>
        <v>78</v>
      </c>
      <c r="AO22" s="998">
        <f>IFERROR(VLOOKUP($D22,'MEMBERS SHARES HOLDING'!$C$7:$G$26,2,0),0)</f>
        <v>3945.3040121580548</v>
      </c>
      <c r="AP22" s="998">
        <f>IFERROR(VLOOKUP('MEMBERS LIST'!$D22,'MEMBERS SHARES HOLDING'!$C$7:$G$26,3,0),0)</f>
        <v>828.35525802261668</v>
      </c>
      <c r="AQ22" s="998">
        <f t="shared" si="1"/>
        <v>4773.6592701806712</v>
      </c>
      <c r="AR22" s="995" t="s">
        <v>1233</v>
      </c>
      <c r="AS22" s="995" t="s">
        <v>1233</v>
      </c>
      <c r="AT22" s="1002" t="str">
        <f>VLOOKUP($C22,'CHRCK YOUR DUES BALANCE'!$C$8:$E$32,3,0)</f>
        <v>ACTIVE</v>
      </c>
    </row>
    <row r="23" spans="2:46" ht="26.1" customHeight="1" thickTop="1" thickBot="1" x14ac:dyDescent="0.3">
      <c r="B23" s="991">
        <v>19</v>
      </c>
      <c r="C23" s="1004" t="s">
        <v>524</v>
      </c>
      <c r="D23" s="1001" t="s">
        <v>557</v>
      </c>
      <c r="E23" s="996" t="s">
        <v>132</v>
      </c>
      <c r="F23" s="1003" t="s">
        <v>65</v>
      </c>
      <c r="G23" s="995" t="s">
        <v>97</v>
      </c>
      <c r="H23" s="996">
        <v>44927</v>
      </c>
      <c r="I23" s="996" t="s">
        <v>77</v>
      </c>
      <c r="J23" s="996"/>
      <c r="K23" s="995" t="s">
        <v>1259</v>
      </c>
      <c r="L23" s="994" t="s">
        <v>587</v>
      </c>
      <c r="M23" s="995" t="s">
        <v>1258</v>
      </c>
      <c r="N23" s="995" t="s">
        <v>589</v>
      </c>
      <c r="O23" s="995" t="s">
        <v>590</v>
      </c>
      <c r="P23" s="995" t="s">
        <v>200</v>
      </c>
      <c r="Q23" s="995" t="s">
        <v>588</v>
      </c>
      <c r="R23" s="997">
        <v>26331</v>
      </c>
      <c r="S23" s="995" t="s">
        <v>858</v>
      </c>
      <c r="T23" s="995" t="s">
        <v>859</v>
      </c>
      <c r="U23" s="995" t="s">
        <v>860</v>
      </c>
      <c r="V23" s="995" t="s">
        <v>365</v>
      </c>
      <c r="W23" s="995" t="s">
        <v>365</v>
      </c>
      <c r="X23" s="995" t="s">
        <v>591</v>
      </c>
      <c r="Y23" s="995" t="s">
        <v>584</v>
      </c>
      <c r="Z23" s="994" t="s">
        <v>592</v>
      </c>
      <c r="AA23" s="995" t="s">
        <v>561</v>
      </c>
      <c r="AB23" s="995" t="s">
        <v>861</v>
      </c>
      <c r="AC23" s="994" t="s">
        <v>862</v>
      </c>
      <c r="AD23" s="994"/>
      <c r="AE23" s="995" t="s">
        <v>863</v>
      </c>
      <c r="AF23" s="994"/>
      <c r="AG23" s="995" t="s">
        <v>864</v>
      </c>
      <c r="AH23" s="994"/>
      <c r="AI23" s="998">
        <v>200</v>
      </c>
      <c r="AJ23" s="998">
        <f>IFERROR(VLOOKUP($D23,'YEARLY DUES'!$C$5:$D$29,2),0)</f>
        <v>3500</v>
      </c>
      <c r="AK23" s="998">
        <f>IFERROR(VLOOKUP($D23,'SPECIAL LEVY'!$C$4:$D$28,2,0),0)</f>
        <v>1000</v>
      </c>
      <c r="AL23" s="998">
        <f t="shared" si="0"/>
        <v>4700</v>
      </c>
      <c r="AM23" s="998">
        <f>IFERROR(VLOOKUP($D23,'YEARLY DUES FEES'!$C$5:$D$29,2,0),0)</f>
        <v>3900</v>
      </c>
      <c r="AN23" s="999">
        <f>IFERROR(VLOOKUP($D23,'MEMBERS SHARES HOLDING'!$C$7:$G$26,5,0),0)</f>
        <v>110</v>
      </c>
      <c r="AO23" s="998">
        <f>IFERROR(VLOOKUP($D23,'MEMBERS SHARES HOLDING'!$C$7:$G$26,2,0),0)</f>
        <v>5563.8902735562306</v>
      </c>
      <c r="AP23" s="998">
        <f>IFERROR(VLOOKUP('MEMBERS LIST'!$D23,'MEMBERS SHARES HOLDING'!$C$7:$G$26,3,0),0)</f>
        <v>828.35525802261668</v>
      </c>
      <c r="AQ23" s="998">
        <f t="shared" si="1"/>
        <v>6392.2455315788475</v>
      </c>
      <c r="AR23" s="995" t="s">
        <v>1233</v>
      </c>
      <c r="AS23" s="995" t="s">
        <v>1233</v>
      </c>
      <c r="AT23" s="1002" t="str">
        <f>VLOOKUP($C23,'CHRCK YOUR DUES BALANCE'!$C$8:$E$32,3,0)</f>
        <v>ACTIVE</v>
      </c>
    </row>
    <row r="24" spans="2:46" ht="26.1" customHeight="1" thickTop="1" thickBot="1" x14ac:dyDescent="0.3">
      <c r="B24" s="991">
        <v>20</v>
      </c>
      <c r="C24" s="1004" t="s">
        <v>76</v>
      </c>
      <c r="D24" s="1001" t="s">
        <v>514</v>
      </c>
      <c r="E24" s="996" t="s">
        <v>132</v>
      </c>
      <c r="F24" s="1003" t="s">
        <v>63</v>
      </c>
      <c r="G24" s="995" t="s">
        <v>97</v>
      </c>
      <c r="H24" s="996">
        <v>44927</v>
      </c>
      <c r="I24" s="996" t="s">
        <v>550</v>
      </c>
      <c r="J24" s="996"/>
      <c r="K24" s="995" t="s">
        <v>1261</v>
      </c>
      <c r="L24" s="994" t="s">
        <v>595</v>
      </c>
      <c r="M24" s="995" t="s">
        <v>1260</v>
      </c>
      <c r="N24" s="995" t="s">
        <v>593</v>
      </c>
      <c r="O24" s="995" t="s">
        <v>594</v>
      </c>
      <c r="P24" s="995" t="s">
        <v>339</v>
      </c>
      <c r="Q24" s="995" t="s">
        <v>97</v>
      </c>
      <c r="R24" s="997">
        <v>22590</v>
      </c>
      <c r="S24" s="995" t="s">
        <v>865</v>
      </c>
      <c r="T24" s="995" t="s">
        <v>865</v>
      </c>
      <c r="U24" s="995" t="s">
        <v>866</v>
      </c>
      <c r="V24" s="995" t="s">
        <v>361</v>
      </c>
      <c r="W24" s="995" t="s">
        <v>794</v>
      </c>
      <c r="X24" s="995" t="s">
        <v>596</v>
      </c>
      <c r="Y24" s="995" t="s">
        <v>564</v>
      </c>
      <c r="Z24" s="994" t="s">
        <v>597</v>
      </c>
      <c r="AA24" s="995" t="s">
        <v>561</v>
      </c>
      <c r="AB24" s="995" t="s">
        <v>596</v>
      </c>
      <c r="AC24" s="994" t="s">
        <v>597</v>
      </c>
      <c r="AD24" s="994"/>
      <c r="AE24" s="995" t="s">
        <v>867</v>
      </c>
      <c r="AF24" s="994" t="s">
        <v>598</v>
      </c>
      <c r="AG24" s="995" t="s">
        <v>868</v>
      </c>
      <c r="AH24" s="994"/>
      <c r="AI24" s="998">
        <v>200</v>
      </c>
      <c r="AJ24" s="998">
        <f>IFERROR(VLOOKUP($D24,'YEARLY DUES'!$C$5:$D$29,2),0)</f>
        <v>900</v>
      </c>
      <c r="AK24" s="998">
        <f>IFERROR(VLOOKUP($D24,'SPECIAL LEVY'!$C$4:$D$28,2,0),0)</f>
        <v>1000</v>
      </c>
      <c r="AL24" s="998">
        <f t="shared" si="0"/>
        <v>2100</v>
      </c>
      <c r="AM24" s="998">
        <f>IFERROR(VLOOKUP($D24,'YEARLY DUES FEES'!$C$5:$D$29,2,0),0)</f>
        <v>3900</v>
      </c>
      <c r="AN24" s="999">
        <f>IFERROR(VLOOKUP($D24,'MEMBERS SHARES HOLDING'!$C$7:$G$26,5,0),0)</f>
        <v>0</v>
      </c>
      <c r="AO24" s="998">
        <f>IFERROR(VLOOKUP($D24,'MEMBERS SHARES HOLDING'!$C$7:$G$26,2,0),0)</f>
        <v>0</v>
      </c>
      <c r="AP24" s="998">
        <f>IFERROR(VLOOKUP('MEMBERS LIST'!$D24,'MEMBERS SHARES HOLDING'!$C$7:$G$26,3,0),0)</f>
        <v>0</v>
      </c>
      <c r="AQ24" s="998">
        <f t="shared" si="1"/>
        <v>0</v>
      </c>
      <c r="AR24" s="995" t="s">
        <v>1233</v>
      </c>
      <c r="AS24" s="995" t="s">
        <v>1233</v>
      </c>
      <c r="AT24" s="1002" t="str">
        <f>VLOOKUP($C24,'CHRCK YOUR DUES BALANCE'!$C$8:$E$32,3,0)</f>
        <v>REMOVED</v>
      </c>
    </row>
    <row r="25" spans="2:46" ht="26.1" customHeight="1" thickTop="1" thickBot="1" x14ac:dyDescent="0.3">
      <c r="B25" s="991">
        <v>21</v>
      </c>
      <c r="C25" s="1004" t="s">
        <v>66</v>
      </c>
      <c r="D25" s="1001" t="s">
        <v>515</v>
      </c>
      <c r="E25" s="996" t="s">
        <v>132</v>
      </c>
      <c r="F25" s="1003" t="s">
        <v>65</v>
      </c>
      <c r="G25" s="995" t="s">
        <v>79</v>
      </c>
      <c r="H25" s="996">
        <v>44927</v>
      </c>
      <c r="I25" s="996" t="s">
        <v>547</v>
      </c>
      <c r="J25" s="996"/>
      <c r="K25" s="995" t="s">
        <v>1263</v>
      </c>
      <c r="L25" s="994" t="s">
        <v>708</v>
      </c>
      <c r="M25" s="995" t="s">
        <v>79</v>
      </c>
      <c r="N25" s="1005" t="s">
        <v>1262</v>
      </c>
      <c r="O25" s="995" t="s">
        <v>709</v>
      </c>
      <c r="P25" s="995" t="s">
        <v>162</v>
      </c>
      <c r="Q25" s="995" t="s">
        <v>79</v>
      </c>
      <c r="R25" s="997">
        <v>34456</v>
      </c>
      <c r="S25" s="995" t="s">
        <v>869</v>
      </c>
      <c r="T25" s="995" t="s">
        <v>79</v>
      </c>
      <c r="U25" s="995" t="s">
        <v>870</v>
      </c>
      <c r="V25" s="995" t="s">
        <v>364</v>
      </c>
      <c r="W25" s="995" t="s">
        <v>812</v>
      </c>
      <c r="X25" s="995" t="s">
        <v>710</v>
      </c>
      <c r="Y25" s="995" t="s">
        <v>711</v>
      </c>
      <c r="Z25" s="994" t="s">
        <v>1264</v>
      </c>
      <c r="AA25" s="995" t="s">
        <v>561</v>
      </c>
      <c r="AB25" s="995" t="s">
        <v>871</v>
      </c>
      <c r="AC25" s="994" t="s">
        <v>1265</v>
      </c>
      <c r="AD25" s="994" t="s">
        <v>1266</v>
      </c>
      <c r="AE25" s="995" t="s">
        <v>872</v>
      </c>
      <c r="AF25" s="994"/>
      <c r="AG25" s="995" t="s">
        <v>873</v>
      </c>
      <c r="AH25" s="994" t="s">
        <v>1267</v>
      </c>
      <c r="AI25" s="998">
        <v>200</v>
      </c>
      <c r="AJ25" s="998">
        <f>IFERROR(VLOOKUP($D25,'YEARLY DUES'!$C$5:$D$29,2),0)</f>
        <v>3300</v>
      </c>
      <c r="AK25" s="998">
        <f>IFERROR(VLOOKUP($D25,'SPECIAL LEVY'!$C$4:$D$28,2,0),0)</f>
        <v>900</v>
      </c>
      <c r="AL25" s="998">
        <f t="shared" si="0"/>
        <v>4400</v>
      </c>
      <c r="AM25" s="998">
        <f>IFERROR(VLOOKUP($D25,'YEARLY DUES FEES'!$C$5:$D$29,2,0),0)</f>
        <v>3900</v>
      </c>
      <c r="AN25" s="999">
        <f>IFERROR(VLOOKUP($D25,'MEMBERS SHARES HOLDING'!$C$7:$G$26,5,0),0)</f>
        <v>66</v>
      </c>
      <c r="AO25" s="998">
        <f>IFERROR(VLOOKUP($D25,'MEMBERS SHARES HOLDING'!$C$7:$G$26,2,0),0)</f>
        <v>3338.3341641337383</v>
      </c>
      <c r="AP25" s="998">
        <f>IFERROR(VLOOKUP('MEMBERS LIST'!$D25,'MEMBERS SHARES HOLDING'!$C$7:$G$26,3,0),0)</f>
        <v>828.35525802261668</v>
      </c>
      <c r="AQ25" s="998">
        <f t="shared" si="1"/>
        <v>4166.6894221563552</v>
      </c>
      <c r="AR25" s="995" t="s">
        <v>1233</v>
      </c>
      <c r="AS25" s="995" t="s">
        <v>1233</v>
      </c>
      <c r="AT25" s="1002" t="str">
        <f>VLOOKUP($C25,'CHRCK YOUR DUES BALANCE'!$C$8:$E$32,3,0)</f>
        <v>PROBATION</v>
      </c>
    </row>
    <row r="26" spans="2:46" ht="26.1" customHeight="1" thickTop="1" thickBot="1" x14ac:dyDescent="0.3">
      <c r="B26" s="991">
        <v>22</v>
      </c>
      <c r="C26" s="992" t="s">
        <v>469</v>
      </c>
      <c r="D26" s="1001" t="s">
        <v>516</v>
      </c>
      <c r="E26" s="996" t="s">
        <v>132</v>
      </c>
      <c r="F26" s="1003" t="s">
        <v>629</v>
      </c>
      <c r="G26" s="995" t="s">
        <v>297</v>
      </c>
      <c r="H26" s="996">
        <v>44927</v>
      </c>
      <c r="I26" s="996" t="s">
        <v>298</v>
      </c>
      <c r="J26" s="996"/>
      <c r="K26" s="995"/>
      <c r="L26" s="994"/>
      <c r="M26" s="995"/>
      <c r="N26" s="995"/>
      <c r="O26" s="995"/>
      <c r="P26" s="995" t="s">
        <v>299</v>
      </c>
      <c r="Q26" s="995"/>
      <c r="R26" s="997"/>
      <c r="S26" s="995"/>
      <c r="T26" s="995"/>
      <c r="U26" s="995"/>
      <c r="V26" s="995"/>
      <c r="W26" s="995"/>
      <c r="X26" s="995"/>
      <c r="Y26" s="995"/>
      <c r="Z26" s="994"/>
      <c r="AA26" s="995"/>
      <c r="AB26" s="995"/>
      <c r="AC26" s="994"/>
      <c r="AD26" s="994"/>
      <c r="AE26" s="995"/>
      <c r="AF26" s="994"/>
      <c r="AG26" s="995"/>
      <c r="AH26" s="994"/>
      <c r="AI26" s="998">
        <v>200</v>
      </c>
      <c r="AJ26" s="998">
        <f>IFERROR(VLOOKUP($D26,'YEARLY DUES'!$C$5:$D$29,2),0)</f>
        <v>1700</v>
      </c>
      <c r="AK26" s="998">
        <f>IFERROR(VLOOKUP($D26,'SPECIAL LEVY'!$C$4:$D$28,2,0),0)</f>
        <v>700</v>
      </c>
      <c r="AL26" s="998">
        <f t="shared" si="0"/>
        <v>2600</v>
      </c>
      <c r="AM26" s="998">
        <f>IFERROR(VLOOKUP($D26,'YEARLY DUES FEES'!$C$5:$D$29,2,0),0)</f>
        <v>3900</v>
      </c>
      <c r="AN26" s="999">
        <f>IFERROR(VLOOKUP($D26,'MEMBERS SHARES HOLDING'!$C$7:$G$26,5,0),0)</f>
        <v>0</v>
      </c>
      <c r="AO26" s="998">
        <f>IFERROR(VLOOKUP($D26,'MEMBERS SHARES HOLDING'!$C$7:$G$26,2,0),0)</f>
        <v>0</v>
      </c>
      <c r="AP26" s="998">
        <f>IFERROR(VLOOKUP('MEMBERS LIST'!$D26,'MEMBERS SHARES HOLDING'!$C$7:$G$26,3,0),0)</f>
        <v>0</v>
      </c>
      <c r="AQ26" s="998">
        <f t="shared" si="1"/>
        <v>0</v>
      </c>
      <c r="AR26" s="995" t="s">
        <v>1233</v>
      </c>
      <c r="AS26" s="995" t="s">
        <v>1233</v>
      </c>
      <c r="AT26" s="1000" t="str">
        <f>VLOOKUP($C26,'CHRCK YOUR DUES BALANCE'!$C$8:$E$32,3,0)</f>
        <v>REMOVED</v>
      </c>
    </row>
    <row r="27" spans="2:46" ht="26.1" customHeight="1" thickTop="1" thickBot="1" x14ac:dyDescent="0.3">
      <c r="B27" s="991">
        <v>23</v>
      </c>
      <c r="C27" s="992" t="s">
        <v>758</v>
      </c>
      <c r="D27" s="1001" t="s">
        <v>763</v>
      </c>
      <c r="E27" s="996" t="s">
        <v>132</v>
      </c>
      <c r="F27" s="1003" t="s">
        <v>65</v>
      </c>
      <c r="G27" s="995" t="s">
        <v>98</v>
      </c>
      <c r="H27" s="996">
        <v>44927</v>
      </c>
      <c r="I27" s="996" t="s">
        <v>172</v>
      </c>
      <c r="J27" s="996"/>
      <c r="K27" s="995" t="s">
        <v>600</v>
      </c>
      <c r="L27" s="994" t="s">
        <v>599</v>
      </c>
      <c r="M27" s="995" t="s">
        <v>98</v>
      </c>
      <c r="N27" s="995" t="s">
        <v>601</v>
      </c>
      <c r="O27" s="995" t="s">
        <v>602</v>
      </c>
      <c r="P27" s="995" t="s">
        <v>173</v>
      </c>
      <c r="Q27" s="995" t="s">
        <v>98</v>
      </c>
      <c r="R27" s="997">
        <v>28627</v>
      </c>
      <c r="S27" s="995" t="s">
        <v>874</v>
      </c>
      <c r="T27" s="995" t="s">
        <v>603</v>
      </c>
      <c r="U27" s="995" t="s">
        <v>875</v>
      </c>
      <c r="V27" s="995" t="s">
        <v>364</v>
      </c>
      <c r="W27" s="995" t="s">
        <v>825</v>
      </c>
      <c r="X27" s="995" t="s">
        <v>604</v>
      </c>
      <c r="Y27" s="995" t="s">
        <v>564</v>
      </c>
      <c r="Z27" s="994" t="s">
        <v>605</v>
      </c>
      <c r="AA27" s="995" t="s">
        <v>561</v>
      </c>
      <c r="AB27" s="995" t="s">
        <v>604</v>
      </c>
      <c r="AC27" s="994" t="s">
        <v>605</v>
      </c>
      <c r="AD27" s="994"/>
      <c r="AE27" s="995" t="s">
        <v>876</v>
      </c>
      <c r="AF27" s="994" t="s">
        <v>606</v>
      </c>
      <c r="AG27" s="995" t="s">
        <v>877</v>
      </c>
      <c r="AH27" s="994" t="s">
        <v>607</v>
      </c>
      <c r="AI27" s="998">
        <v>200</v>
      </c>
      <c r="AJ27" s="998">
        <f>IFERROR(VLOOKUP($D27,'YEARLY DUES'!$C$5:$D$29,2),0)</f>
        <v>3700</v>
      </c>
      <c r="AK27" s="998">
        <f>IFERROR(VLOOKUP($D27,'SPECIAL LEVY'!$C$4:$D$28,2,0),0)</f>
        <v>1000</v>
      </c>
      <c r="AL27" s="998">
        <f t="shared" si="0"/>
        <v>4900</v>
      </c>
      <c r="AM27" s="998">
        <f>IFERROR(VLOOKUP($D27,'YEARLY DUES FEES'!$C$5:$D$29,2,0),0)</f>
        <v>3900</v>
      </c>
      <c r="AN27" s="999">
        <f>IFERROR(VLOOKUP($D27,'MEMBERS SHARES HOLDING'!$C$7:$G$26,5,0),0)</f>
        <v>74</v>
      </c>
      <c r="AO27" s="998">
        <f>IFERROR(VLOOKUP($D27,'MEMBERS SHARES HOLDING'!$C$7:$G$26,2,0),0)</f>
        <v>3742.9807294832826</v>
      </c>
      <c r="AP27" s="998">
        <f>IFERROR(VLOOKUP('MEMBERS LIST'!$D27,'MEMBERS SHARES HOLDING'!$C$7:$G$26,3,0),0)</f>
        <v>828.35525802261668</v>
      </c>
      <c r="AQ27" s="998">
        <f t="shared" si="1"/>
        <v>4571.3359875058995</v>
      </c>
      <c r="AR27" s="995" t="s">
        <v>1233</v>
      </c>
      <c r="AS27" s="995" t="s">
        <v>1233</v>
      </c>
      <c r="AT27" s="1002" t="str">
        <f>VLOOKUP($C27,'CHRCK YOUR DUES BALANCE'!$C$8:$E$32,3,0)</f>
        <v>ACTIVE</v>
      </c>
    </row>
    <row r="28" spans="2:46" ht="26.1" customHeight="1" thickTop="1" thickBot="1" x14ac:dyDescent="0.3">
      <c r="B28" s="991">
        <v>24</v>
      </c>
      <c r="C28" s="992" t="s">
        <v>213</v>
      </c>
      <c r="D28" s="1001" t="s">
        <v>517</v>
      </c>
      <c r="E28" s="996" t="s">
        <v>132</v>
      </c>
      <c r="F28" s="1003" t="s">
        <v>629</v>
      </c>
      <c r="G28" s="995" t="s">
        <v>85</v>
      </c>
      <c r="H28" s="996">
        <v>44927</v>
      </c>
      <c r="I28" s="996" t="s">
        <v>546</v>
      </c>
      <c r="J28" s="996" t="s">
        <v>656</v>
      </c>
      <c r="K28" s="995" t="s">
        <v>1269</v>
      </c>
      <c r="L28" s="994" t="s">
        <v>659</v>
      </c>
      <c r="M28" s="995" t="s">
        <v>1268</v>
      </c>
      <c r="N28" s="995" t="s">
        <v>660</v>
      </c>
      <c r="O28" s="995" t="s">
        <v>661</v>
      </c>
      <c r="P28" s="995" t="s">
        <v>657</v>
      </c>
      <c r="Q28" s="995" t="s">
        <v>658</v>
      </c>
      <c r="R28" s="997">
        <v>28784</v>
      </c>
      <c r="S28" s="995" t="s">
        <v>878</v>
      </c>
      <c r="T28" s="995" t="s">
        <v>878</v>
      </c>
      <c r="U28" s="995" t="s">
        <v>879</v>
      </c>
      <c r="V28" s="995" t="s">
        <v>364</v>
      </c>
      <c r="W28" s="995" t="s">
        <v>812</v>
      </c>
      <c r="X28" s="995" t="s">
        <v>662</v>
      </c>
      <c r="Y28" s="995" t="s">
        <v>564</v>
      </c>
      <c r="Z28" s="994" t="s">
        <v>663</v>
      </c>
      <c r="AA28" s="995" t="s">
        <v>561</v>
      </c>
      <c r="AB28" s="995" t="s">
        <v>662</v>
      </c>
      <c r="AC28" s="994" t="s">
        <v>663</v>
      </c>
      <c r="AD28" s="994" t="s">
        <v>1270</v>
      </c>
      <c r="AE28" s="995" t="s">
        <v>880</v>
      </c>
      <c r="AF28" s="994" t="s">
        <v>665</v>
      </c>
      <c r="AG28" s="995" t="s">
        <v>881</v>
      </c>
      <c r="AH28" s="994" t="s">
        <v>664</v>
      </c>
      <c r="AI28" s="998">
        <v>200</v>
      </c>
      <c r="AJ28" s="998">
        <f>IFERROR(VLOOKUP($D28,'YEARLY DUES'!$C$5:$D$29,2),0)</f>
        <v>3900</v>
      </c>
      <c r="AK28" s="998">
        <f>IFERROR(VLOOKUP($D28,'SPECIAL LEVY'!$C$4:$D$28,2,0),0)</f>
        <v>1000</v>
      </c>
      <c r="AL28" s="998">
        <f t="shared" si="0"/>
        <v>5100</v>
      </c>
      <c r="AM28" s="998">
        <f>IFERROR(VLOOKUP($D28,'YEARLY DUES FEES'!$C$5:$D$29,2,0),0)</f>
        <v>3900</v>
      </c>
      <c r="AN28" s="999">
        <f>IFERROR(VLOOKUP($D28,'MEMBERS SHARES HOLDING'!$C$7:$G$26,5,0),0)</f>
        <v>78</v>
      </c>
      <c r="AO28" s="998">
        <f>IFERROR(VLOOKUP($D28,'MEMBERS SHARES HOLDING'!$C$7:$G$26,2,0),0)</f>
        <v>3945.3040121580548</v>
      </c>
      <c r="AP28" s="998">
        <f>IFERROR(VLOOKUP('MEMBERS LIST'!$D28,'MEMBERS SHARES HOLDING'!$C$7:$G$26,3,0),0)</f>
        <v>828.35525802261668</v>
      </c>
      <c r="AQ28" s="998">
        <f t="shared" si="1"/>
        <v>4773.6592701806712</v>
      </c>
      <c r="AR28" s="995" t="s">
        <v>1233</v>
      </c>
      <c r="AS28" s="995" t="s">
        <v>1233</v>
      </c>
      <c r="AT28" s="1002" t="str">
        <f>VLOOKUP($C28,'CHRCK YOUR DUES BALANCE'!$C$8:$E$32,3,0)</f>
        <v>ACTIVE</v>
      </c>
    </row>
    <row r="29" spans="2:46" ht="26.1" customHeight="1" thickTop="1" thickBot="1" x14ac:dyDescent="0.3">
      <c r="B29" s="1006"/>
      <c r="C29" s="1007"/>
      <c r="D29" s="1007"/>
      <c r="E29" s="995"/>
      <c r="F29" s="995"/>
      <c r="G29" s="995"/>
      <c r="H29" s="995"/>
      <c r="I29" s="994"/>
      <c r="J29" s="994"/>
      <c r="K29" s="995"/>
      <c r="L29" s="994"/>
      <c r="M29" s="995"/>
      <c r="N29" s="995"/>
      <c r="O29" s="995"/>
      <c r="P29" s="995"/>
      <c r="Q29" s="995"/>
      <c r="R29" s="997"/>
      <c r="S29" s="995"/>
      <c r="T29" s="995"/>
      <c r="U29" s="995"/>
      <c r="V29" s="995"/>
      <c r="W29" s="995"/>
      <c r="X29" s="995"/>
      <c r="Y29" s="995"/>
      <c r="Z29" s="994"/>
      <c r="AA29" s="995"/>
      <c r="AB29" s="995"/>
      <c r="AC29" s="994"/>
      <c r="AD29" s="994"/>
      <c r="AE29" s="995"/>
      <c r="AF29" s="994"/>
      <c r="AG29" s="995"/>
      <c r="AH29" s="994"/>
      <c r="AI29" s="1008"/>
      <c r="AJ29" s="1008"/>
      <c r="AK29" s="1008"/>
      <c r="AL29" s="1008"/>
      <c r="AM29" s="1008"/>
      <c r="AN29" s="1009"/>
      <c r="AO29" s="1008"/>
      <c r="AP29" s="1008"/>
      <c r="AQ29" s="1008"/>
      <c r="AR29" s="995"/>
      <c r="AS29" s="995"/>
      <c r="AT29" s="1010"/>
    </row>
    <row r="30" spans="2:46" s="81" customFormat="1" ht="32.25" customHeight="1" thickTop="1" thickBot="1" x14ac:dyDescent="0.45">
      <c r="B30" s="116">
        <f t="shared" ref="B30:AT30" si="2">SUBTOTAL(3,B5:B29)</f>
        <v>24</v>
      </c>
      <c r="C30" s="116">
        <f t="shared" si="2"/>
        <v>24</v>
      </c>
      <c r="D30" s="116"/>
      <c r="E30" s="116">
        <f t="shared" si="2"/>
        <v>24</v>
      </c>
      <c r="F30" s="116">
        <f t="shared" si="2"/>
        <v>24</v>
      </c>
      <c r="G30" s="116">
        <f t="shared" si="2"/>
        <v>24</v>
      </c>
      <c r="H30" s="116">
        <f t="shared" si="2"/>
        <v>24</v>
      </c>
      <c r="I30" s="116">
        <f t="shared" si="2"/>
        <v>24</v>
      </c>
      <c r="J30" s="116">
        <f t="shared" si="2"/>
        <v>9</v>
      </c>
      <c r="K30" s="116">
        <f t="shared" si="2"/>
        <v>16</v>
      </c>
      <c r="L30" s="116">
        <f t="shared" si="2"/>
        <v>16</v>
      </c>
      <c r="M30" s="116">
        <f t="shared" si="2"/>
        <v>20</v>
      </c>
      <c r="N30" s="116">
        <f t="shared" si="2"/>
        <v>18</v>
      </c>
      <c r="O30" s="116">
        <f t="shared" si="2"/>
        <v>20</v>
      </c>
      <c r="P30" s="116">
        <f t="shared" si="2"/>
        <v>22</v>
      </c>
      <c r="Q30" s="116">
        <f t="shared" si="2"/>
        <v>20</v>
      </c>
      <c r="R30" s="116">
        <f t="shared" si="2"/>
        <v>20</v>
      </c>
      <c r="S30" s="116">
        <f t="shared" si="2"/>
        <v>20</v>
      </c>
      <c r="T30" s="116">
        <f t="shared" si="2"/>
        <v>20</v>
      </c>
      <c r="U30" s="116">
        <f t="shared" si="2"/>
        <v>20</v>
      </c>
      <c r="V30" s="116">
        <f t="shared" si="2"/>
        <v>20</v>
      </c>
      <c r="W30" s="116">
        <f t="shared" si="2"/>
        <v>20</v>
      </c>
      <c r="X30" s="116">
        <f t="shared" si="2"/>
        <v>20</v>
      </c>
      <c r="Y30" s="116">
        <f t="shared" si="2"/>
        <v>19</v>
      </c>
      <c r="Z30" s="116">
        <f t="shared" si="2"/>
        <v>14</v>
      </c>
      <c r="AA30" s="116">
        <f t="shared" si="2"/>
        <v>20</v>
      </c>
      <c r="AB30" s="116">
        <f t="shared" si="2"/>
        <v>20</v>
      </c>
      <c r="AC30" s="116">
        <f t="shared" si="2"/>
        <v>18</v>
      </c>
      <c r="AD30" s="116">
        <f t="shared" si="2"/>
        <v>10</v>
      </c>
      <c r="AE30" s="116">
        <f t="shared" si="2"/>
        <v>20</v>
      </c>
      <c r="AF30" s="116">
        <f t="shared" si="2"/>
        <v>13</v>
      </c>
      <c r="AG30" s="116">
        <f t="shared" si="2"/>
        <v>20</v>
      </c>
      <c r="AH30" s="116">
        <f t="shared" si="2"/>
        <v>14</v>
      </c>
      <c r="AI30" s="947">
        <f>SUBTOTAL(9,AI5:AI29)</f>
        <v>4800</v>
      </c>
      <c r="AJ30" s="947">
        <f t="shared" ref="AJ30:AQ30" si="3">SUBTOTAL(9,AJ5:AJ29)</f>
        <v>65950</v>
      </c>
      <c r="AK30" s="947">
        <f t="shared" si="3"/>
        <v>18100</v>
      </c>
      <c r="AL30" s="947">
        <f t="shared" si="3"/>
        <v>88850</v>
      </c>
      <c r="AM30" s="947">
        <f t="shared" si="3"/>
        <v>85200</v>
      </c>
      <c r="AN30" s="947">
        <f t="shared" si="3"/>
        <v>1316</v>
      </c>
      <c r="AO30" s="947">
        <f t="shared" si="3"/>
        <v>66564.359999999986</v>
      </c>
      <c r="AP30" s="947">
        <f t="shared" si="3"/>
        <v>10502.699226995881</v>
      </c>
      <c r="AQ30" s="947">
        <f t="shared" si="3"/>
        <v>77067.059226995872</v>
      </c>
      <c r="AR30" s="116"/>
      <c r="AS30" s="116"/>
      <c r="AT30" s="116">
        <f t="shared" si="2"/>
        <v>24</v>
      </c>
    </row>
    <row r="31" spans="2:46" ht="19.5" customHeight="1" x14ac:dyDescent="0.25"/>
    <row r="36" spans="6:6" x14ac:dyDescent="0.25">
      <c r="F36" s="216"/>
    </row>
    <row r="37" spans="6:6" x14ac:dyDescent="0.25">
      <c r="F37" s="382"/>
    </row>
    <row r="38" spans="6:6" x14ac:dyDescent="0.25">
      <c r="F38" s="216"/>
    </row>
  </sheetData>
  <autoFilter ref="B4:AT28" xr:uid="{00000000-0001-0000-0500-000000000000}"/>
  <sortState xmlns:xlrd2="http://schemas.microsoft.com/office/spreadsheetml/2017/richdata2" ref="C5:AQ28">
    <sortCondition ref="C5:C28"/>
  </sortState>
  <mergeCells count="1">
    <mergeCell ref="B3:E3"/>
  </mergeCells>
  <phoneticPr fontId="27" type="noConversion"/>
  <conditionalFormatting sqref="AR5:AT29">
    <cfRule type="containsText" dxfId="5" priority="1" operator="containsText" text="REMOVED">
      <formula>NOT(ISERROR(SEARCH("REMOVED",AR5)))</formula>
    </cfRule>
    <cfRule type="containsText" dxfId="4" priority="2" operator="containsText" text="INACTIVE">
      <formula>NOT(ISERROR(SEARCH("INACTIVE",AR5)))</formula>
    </cfRule>
    <cfRule type="containsText" dxfId="3" priority="3" operator="containsText" text="INACTIVE">
      <formula>NOT(ISERROR(SEARCH("INACTIVE",AR5)))</formula>
    </cfRule>
    <cfRule type="containsText" dxfId="2" priority="4" operator="containsText" text="PROBATION">
      <formula>NOT(ISERROR(SEARCH("PROBATION",AR5)))</formula>
    </cfRule>
    <cfRule type="containsText" dxfId="1" priority="5" operator="containsText" text="INACTIVE">
      <formula>NOT(ISERROR(SEARCH("INACTIVE",AR5)))</formula>
    </cfRule>
    <cfRule type="containsText" dxfId="0" priority="6" operator="containsText" text="ACTIVE">
      <formula>NOT(ISERROR(SEARCH("ACTIVE",AR5)))</formula>
    </cfRule>
  </conditionalFormatting>
  <hyperlinks>
    <hyperlink ref="N19" r:id="rId1" xr:uid="{F035A8AC-2F24-462D-B9D4-77693250D03B}"/>
    <hyperlink ref="N22" r:id="rId2" xr:uid="{5AE1BBEC-049F-487E-98FA-889CBCAD6DA0}"/>
    <hyperlink ref="N25" r:id="rId3" xr:uid="{7D4AEE8F-DF0D-4CAE-94CB-CBE8F46FE9F2}"/>
  </hyperlinks>
  <pageMargins left="0.7" right="0.7" top="0.75" bottom="0.75" header="0.3" footer="0.3"/>
  <pageSetup orientation="portrait" r:id="rId4"/>
  <drawing r:id="rId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8BAC9-72D9-47F6-B8AA-5E25612CCB8F}">
  <sheetPr>
    <tabColor theme="5" tint="-0.249977111117893"/>
  </sheetPr>
  <dimension ref="B1:M33"/>
  <sheetViews>
    <sheetView tabSelected="1" workbookViewId="0">
      <selection activeCell="E4" sqref="E4"/>
    </sheetView>
  </sheetViews>
  <sheetFormatPr defaultRowHeight="26.1" customHeight="1" x14ac:dyDescent="0.2"/>
  <cols>
    <col min="1" max="1" width="2.42578125" style="370" customWidth="1"/>
    <col min="2" max="2" width="50.7109375" style="962" customWidth="1"/>
    <col min="3" max="3" width="31.42578125" style="370" customWidth="1"/>
    <col min="4" max="4" width="9.140625" style="370"/>
    <col min="5" max="5" width="28.28515625" style="370" customWidth="1"/>
    <col min="6" max="6" width="9.140625" style="370"/>
    <col min="7" max="7" width="31.5703125" style="370" customWidth="1"/>
    <col min="8" max="16384" width="9.140625" style="370"/>
  </cols>
  <sheetData>
    <row r="1" spans="2:13" s="216" customFormat="1" ht="40.5" customHeight="1" thickBot="1" x14ac:dyDescent="0.3">
      <c r="B1" s="371"/>
    </row>
    <row r="2" spans="2:13" s="12" customFormat="1" ht="44.25" customHeight="1" thickTop="1" thickBot="1" x14ac:dyDescent="0.35">
      <c r="B2" s="960" t="s">
        <v>57</v>
      </c>
      <c r="C2" s="960" t="s">
        <v>1223</v>
      </c>
      <c r="D2" s="963"/>
    </row>
    <row r="3" spans="2:13" ht="159.94999999999999" customHeight="1" thickTop="1" thickBot="1" x14ac:dyDescent="0.25">
      <c r="B3" s="964" t="s">
        <v>621</v>
      </c>
      <c r="C3" s="961"/>
      <c r="D3" s="963"/>
    </row>
    <row r="4" spans="2:13" ht="159.94999999999999" customHeight="1" thickTop="1" thickBot="1" x14ac:dyDescent="0.25">
      <c r="B4" s="964" t="s">
        <v>691</v>
      </c>
      <c r="C4" s="961"/>
      <c r="D4" s="963"/>
      <c r="E4" s="1026"/>
    </row>
    <row r="5" spans="2:13" ht="159.94999999999999" customHeight="1" thickTop="1" thickBot="1" x14ac:dyDescent="0.25">
      <c r="B5" s="964" t="s">
        <v>502</v>
      </c>
      <c r="C5" s="961"/>
      <c r="D5" s="963"/>
    </row>
    <row r="6" spans="2:13" ht="159.94999999999999" customHeight="1" thickTop="1" thickBot="1" x14ac:dyDescent="0.25">
      <c r="B6" s="964" t="s">
        <v>504</v>
      </c>
      <c r="C6" s="961"/>
      <c r="D6" s="963"/>
    </row>
    <row r="7" spans="2:13" ht="159.94999999999999" customHeight="1" thickTop="1" thickBot="1" x14ac:dyDescent="0.25">
      <c r="B7" s="964" t="s">
        <v>667</v>
      </c>
      <c r="C7" s="961"/>
      <c r="D7" s="963"/>
    </row>
    <row r="8" spans="2:13" ht="159.94999999999999" customHeight="1" thickTop="1" thickBot="1" x14ac:dyDescent="0.3">
      <c r="B8" s="964" t="s">
        <v>518</v>
      </c>
      <c r="C8" s="961"/>
      <c r="D8" s="963"/>
      <c r="M8"/>
    </row>
    <row r="9" spans="2:13" ht="159.94999999999999" customHeight="1" thickTop="1" thickBot="1" x14ac:dyDescent="0.25">
      <c r="B9" s="964" t="s">
        <v>686</v>
      </c>
      <c r="C9" s="961"/>
      <c r="D9" s="963"/>
    </row>
    <row r="10" spans="2:13" ht="159.94999999999999" customHeight="1" thickTop="1" thickBot="1" x14ac:dyDescent="0.25">
      <c r="B10" s="964" t="s">
        <v>1141</v>
      </c>
      <c r="C10" s="961"/>
      <c r="D10" s="963"/>
    </row>
    <row r="11" spans="2:13" ht="159.94999999999999" customHeight="1" thickTop="1" thickBot="1" x14ac:dyDescent="0.25">
      <c r="B11" s="964" t="s">
        <v>775</v>
      </c>
      <c r="C11" s="961"/>
      <c r="D11" s="963"/>
    </row>
    <row r="12" spans="2:13" ht="159.94999999999999" customHeight="1" thickTop="1" thickBot="1" x14ac:dyDescent="0.25">
      <c r="B12" s="964" t="s">
        <v>505</v>
      </c>
      <c r="C12" s="961"/>
      <c r="D12" s="963"/>
    </row>
    <row r="13" spans="2:13" ht="159.94999999999999" customHeight="1" thickTop="1" thickBot="1" x14ac:dyDescent="0.25">
      <c r="B13" s="964" t="s">
        <v>506</v>
      </c>
      <c r="C13" s="961"/>
      <c r="D13" s="963"/>
    </row>
    <row r="14" spans="2:13" ht="159.94999999999999" customHeight="1" thickTop="1" thickBot="1" x14ac:dyDescent="0.25">
      <c r="B14" s="964" t="s">
        <v>507</v>
      </c>
      <c r="C14" s="961"/>
      <c r="D14" s="963"/>
    </row>
    <row r="15" spans="2:13" ht="159.94999999999999" customHeight="1" thickTop="1" thickBot="1" x14ac:dyDescent="0.25">
      <c r="B15" s="964" t="s">
        <v>508</v>
      </c>
      <c r="C15" s="961"/>
      <c r="D15" s="963"/>
    </row>
    <row r="16" spans="2:13" ht="159.94999999999999" customHeight="1" thickTop="1" thickBot="1" x14ac:dyDescent="0.25">
      <c r="B16" s="964" t="s">
        <v>509</v>
      </c>
      <c r="C16" s="961"/>
      <c r="D16" s="963"/>
    </row>
    <row r="17" spans="2:4" ht="159.94999999999999" customHeight="1" thickTop="1" thickBot="1" x14ac:dyDescent="0.25">
      <c r="B17" s="964" t="s">
        <v>510</v>
      </c>
      <c r="C17" s="961"/>
      <c r="D17" s="963"/>
    </row>
    <row r="18" spans="2:4" ht="159.94999999999999" customHeight="1" thickTop="1" thickBot="1" x14ac:dyDescent="0.25">
      <c r="B18" s="964" t="s">
        <v>511</v>
      </c>
      <c r="C18" s="961"/>
      <c r="D18" s="963"/>
    </row>
    <row r="19" spans="2:4" ht="159.94999999999999" customHeight="1" thickTop="1" thickBot="1" x14ac:dyDescent="0.25">
      <c r="B19" s="964" t="s">
        <v>512</v>
      </c>
      <c r="C19" s="961"/>
      <c r="D19" s="963"/>
    </row>
    <row r="20" spans="2:4" ht="159.94999999999999" customHeight="1" thickTop="1" thickBot="1" x14ac:dyDescent="0.25">
      <c r="B20" s="964" t="s">
        <v>513</v>
      </c>
      <c r="C20" s="961"/>
      <c r="D20" s="963"/>
    </row>
    <row r="21" spans="2:4" ht="159.94999999999999" customHeight="1" thickTop="1" thickBot="1" x14ac:dyDescent="0.25">
      <c r="B21" s="964" t="s">
        <v>557</v>
      </c>
      <c r="C21" s="961"/>
      <c r="D21" s="963"/>
    </row>
    <row r="22" spans="2:4" ht="159.94999999999999" customHeight="1" thickTop="1" thickBot="1" x14ac:dyDescent="0.25">
      <c r="B22" s="964" t="s">
        <v>514</v>
      </c>
      <c r="C22" s="961"/>
      <c r="D22" s="963"/>
    </row>
    <row r="23" spans="2:4" ht="159.94999999999999" customHeight="1" thickTop="1" thickBot="1" x14ac:dyDescent="0.25">
      <c r="B23" s="964" t="s">
        <v>515</v>
      </c>
      <c r="C23" s="961"/>
      <c r="D23" s="963"/>
    </row>
    <row r="24" spans="2:4" ht="159.94999999999999" customHeight="1" thickTop="1" thickBot="1" x14ac:dyDescent="0.25">
      <c r="B24" s="964" t="s">
        <v>516</v>
      </c>
      <c r="C24" s="961"/>
      <c r="D24" s="963"/>
    </row>
    <row r="25" spans="2:4" ht="159.94999999999999" customHeight="1" thickTop="1" thickBot="1" x14ac:dyDescent="0.25">
      <c r="B25" s="964" t="s">
        <v>763</v>
      </c>
      <c r="C25" s="961"/>
      <c r="D25" s="963"/>
    </row>
    <row r="26" spans="2:4" ht="159.94999999999999" customHeight="1" thickTop="1" thickBot="1" x14ac:dyDescent="0.25">
      <c r="B26" s="964" t="s">
        <v>517</v>
      </c>
      <c r="C26" s="961"/>
      <c r="D26" s="963"/>
    </row>
    <row r="27" spans="2:4" ht="159.94999999999999" customHeight="1" thickTop="1" thickBot="1" x14ac:dyDescent="0.25">
      <c r="B27" s="964"/>
      <c r="C27" s="961"/>
      <c r="D27" s="963"/>
    </row>
    <row r="28" spans="2:4" ht="159.94999999999999" customHeight="1" thickTop="1" thickBot="1" x14ac:dyDescent="0.25">
      <c r="B28" s="964"/>
      <c r="C28" s="961"/>
      <c r="D28" s="963"/>
    </row>
    <row r="29" spans="2:4" ht="159.94999999999999" customHeight="1" thickTop="1" thickBot="1" x14ac:dyDescent="0.25">
      <c r="B29" s="964"/>
      <c r="C29" s="961"/>
      <c r="D29" s="963"/>
    </row>
    <row r="30" spans="2:4" ht="159.94999999999999" customHeight="1" thickTop="1" thickBot="1" x14ac:dyDescent="0.25">
      <c r="B30" s="964"/>
      <c r="C30" s="961"/>
      <c r="D30" s="963"/>
    </row>
    <row r="31" spans="2:4" ht="159.94999999999999" customHeight="1" thickTop="1" thickBot="1" x14ac:dyDescent="0.25">
      <c r="B31" s="964"/>
      <c r="C31" s="961"/>
      <c r="D31" s="963"/>
    </row>
    <row r="32" spans="2:4" ht="159.94999999999999" customHeight="1" thickTop="1" thickBot="1" x14ac:dyDescent="0.25">
      <c r="B32" s="964"/>
      <c r="C32" s="961"/>
      <c r="D32" s="963"/>
    </row>
    <row r="33" ht="26.1" customHeight="1" thickTop="1" x14ac:dyDescent="0.2"/>
  </sheetData>
  <dataValidations count="1">
    <dataValidation type="list" allowBlank="1" showInputMessage="1" showErrorMessage="1" sqref="E4" xr:uid="{649F9FE5-8A19-43BF-B129-A28DC93B9C26}">
      <formula1>$B$3:$B$27</formula1>
    </dataValidation>
  </dataValidations>
  <pageMargins left="0.7" right="0.7" top="0.75" bottom="0.75" header="0.3" footer="0.3"/>
  <pageSetup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4761-FB79-4C98-9331-4FEFCAFE90E8}">
  <sheetPr>
    <tabColor theme="5" tint="-0.249977111117893"/>
  </sheetPr>
  <dimension ref="A1:C35"/>
  <sheetViews>
    <sheetView workbookViewId="0"/>
  </sheetViews>
  <sheetFormatPr defaultRowHeight="15" x14ac:dyDescent="0.25"/>
  <cols>
    <col min="1" max="1" width="3.140625" customWidth="1"/>
    <col min="2" max="2" width="35.5703125" bestFit="1" customWidth="1"/>
    <col min="3" max="3" width="60.85546875" customWidth="1"/>
  </cols>
  <sheetData>
    <row r="1" spans="1:3" s="77" customFormat="1" ht="18" x14ac:dyDescent="0.25">
      <c r="A1" s="89"/>
      <c r="B1" s="76"/>
    </row>
    <row r="2" spans="1:3" ht="41.25" customHeight="1" x14ac:dyDescent="0.55000000000000004">
      <c r="B2" s="1131" t="s">
        <v>917</v>
      </c>
      <c r="C2" s="1131"/>
    </row>
    <row r="3" spans="1:3" ht="30" x14ac:dyDescent="0.25">
      <c r="B3" s="1024" t="s">
        <v>57</v>
      </c>
      <c r="C3" s="1016"/>
    </row>
    <row r="4" spans="1:3" ht="30" x14ac:dyDescent="0.25">
      <c r="B4" s="1024" t="s">
        <v>544</v>
      </c>
      <c r="C4" s="1016"/>
    </row>
    <row r="5" spans="1:3" ht="30" x14ac:dyDescent="0.25">
      <c r="B5" s="1024" t="s">
        <v>1164</v>
      </c>
      <c r="C5" s="1017"/>
    </row>
    <row r="6" spans="1:3" ht="30" x14ac:dyDescent="0.25">
      <c r="B6" s="1024" t="s">
        <v>50</v>
      </c>
      <c r="C6" s="1017"/>
    </row>
    <row r="7" spans="1:3" ht="30" x14ac:dyDescent="0.25">
      <c r="B7" s="1025" t="s">
        <v>1167</v>
      </c>
      <c r="C7" s="1017"/>
    </row>
    <row r="8" spans="1:3" ht="30" x14ac:dyDescent="0.25">
      <c r="B8" s="1024" t="s">
        <v>1165</v>
      </c>
      <c r="C8" s="1017"/>
    </row>
    <row r="9" spans="1:3" ht="30" x14ac:dyDescent="0.25">
      <c r="B9" s="1024" t="s">
        <v>1166</v>
      </c>
      <c r="C9" s="1017"/>
    </row>
    <row r="10" spans="1:3" ht="30" x14ac:dyDescent="0.25">
      <c r="B10" s="1024" t="s">
        <v>1196</v>
      </c>
      <c r="C10" s="1017"/>
    </row>
    <row r="11" spans="1:3" ht="30" x14ac:dyDescent="0.25">
      <c r="B11" s="1024" t="s">
        <v>1271</v>
      </c>
      <c r="C11" s="1017"/>
    </row>
    <row r="12" spans="1:3" ht="30" x14ac:dyDescent="0.25">
      <c r="B12" s="1024" t="s">
        <v>1185</v>
      </c>
      <c r="C12" s="1018"/>
    </row>
    <row r="13" spans="1:3" ht="26.25" x14ac:dyDescent="0.25">
      <c r="B13" s="1024" t="s">
        <v>1169</v>
      </c>
      <c r="C13" s="1019"/>
    </row>
    <row r="14" spans="1:3" ht="30" x14ac:dyDescent="0.25">
      <c r="B14" s="1024" t="s">
        <v>1273</v>
      </c>
      <c r="C14" s="1017"/>
    </row>
    <row r="15" spans="1:3" ht="30" x14ac:dyDescent="0.25">
      <c r="B15" s="1024" t="s">
        <v>157</v>
      </c>
      <c r="C15" s="1017"/>
    </row>
    <row r="16" spans="1:3" ht="30" x14ac:dyDescent="0.25">
      <c r="B16" s="1024" t="s">
        <v>1168</v>
      </c>
      <c r="C16" s="1017"/>
    </row>
    <row r="17" spans="2:3" ht="30" x14ac:dyDescent="0.25">
      <c r="B17" s="1024" t="s">
        <v>1170</v>
      </c>
      <c r="C17" s="1020"/>
    </row>
    <row r="18" spans="2:3" ht="30" x14ac:dyDescent="0.25">
      <c r="B18" s="1024" t="s">
        <v>1171</v>
      </c>
      <c r="C18" s="1021"/>
    </row>
    <row r="19" spans="2:3" ht="30" x14ac:dyDescent="0.25">
      <c r="B19" s="1024" t="s">
        <v>1172</v>
      </c>
      <c r="C19" s="1022"/>
    </row>
    <row r="20" spans="2:3" ht="30" x14ac:dyDescent="0.25">
      <c r="B20" s="1024" t="s">
        <v>1173</v>
      </c>
      <c r="C20" s="1022"/>
    </row>
    <row r="21" spans="2:3" ht="30" x14ac:dyDescent="0.25">
      <c r="B21" s="1024" t="s">
        <v>1202</v>
      </c>
      <c r="C21" s="1022"/>
    </row>
    <row r="22" spans="2:3" ht="30" x14ac:dyDescent="0.25">
      <c r="B22" s="1024" t="s">
        <v>1174</v>
      </c>
      <c r="C22" s="1022"/>
    </row>
    <row r="23" spans="2:3" ht="30" x14ac:dyDescent="0.25">
      <c r="B23" s="1024" t="s">
        <v>1175</v>
      </c>
      <c r="C23" s="1017"/>
    </row>
    <row r="24" spans="2:3" ht="30" x14ac:dyDescent="0.25">
      <c r="B24" s="1024" t="s">
        <v>1176</v>
      </c>
      <c r="C24" s="1017"/>
    </row>
    <row r="25" spans="2:3" ht="30" x14ac:dyDescent="0.25">
      <c r="B25" s="1024" t="s">
        <v>1272</v>
      </c>
      <c r="C25" s="1017"/>
    </row>
    <row r="26" spans="2:3" ht="30" x14ac:dyDescent="0.25">
      <c r="B26" s="1024" t="s">
        <v>1178</v>
      </c>
      <c r="C26" s="1022"/>
    </row>
    <row r="27" spans="2:3" ht="30" x14ac:dyDescent="0.25">
      <c r="B27" s="1024" t="s">
        <v>1179</v>
      </c>
      <c r="C27" s="1017"/>
    </row>
    <row r="28" spans="2:3" ht="30" x14ac:dyDescent="0.25">
      <c r="B28" s="1024" t="s">
        <v>654</v>
      </c>
      <c r="C28" s="1017"/>
    </row>
    <row r="29" spans="2:3" ht="30" x14ac:dyDescent="0.25">
      <c r="B29" s="1024" t="s">
        <v>1180</v>
      </c>
      <c r="C29" s="1017" t="s">
        <v>808</v>
      </c>
    </row>
    <row r="30" spans="2:3" ht="30" x14ac:dyDescent="0.25">
      <c r="B30" s="1024" t="s">
        <v>1181</v>
      </c>
      <c r="C30" s="1017"/>
    </row>
    <row r="31" spans="2:3" ht="30" x14ac:dyDescent="0.25">
      <c r="B31" s="1024" t="s">
        <v>654</v>
      </c>
      <c r="C31" s="1017"/>
    </row>
    <row r="32" spans="2:3" ht="30" x14ac:dyDescent="0.25">
      <c r="B32" s="1024" t="s">
        <v>1182</v>
      </c>
      <c r="C32" s="1017"/>
    </row>
    <row r="33" spans="2:3" ht="30" x14ac:dyDescent="0.25">
      <c r="B33" s="1024" t="s">
        <v>654</v>
      </c>
      <c r="C33" s="1017"/>
    </row>
    <row r="35" spans="2:3" ht="20.25" x14ac:dyDescent="0.3">
      <c r="B35" s="1132" t="s">
        <v>916</v>
      </c>
      <c r="C35" s="1132"/>
    </row>
  </sheetData>
  <mergeCells count="2">
    <mergeCell ref="B2:C2"/>
    <mergeCell ref="B35:C35"/>
  </mergeCells>
  <pageMargins left="0.31496062992125984" right="0.31496062992125984" top="0.55118110236220474" bottom="0.35433070866141736" header="0.31496062992125984" footer="0.31496062992125984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9" tint="-0.499984740745262"/>
  </sheetPr>
  <dimension ref="A3:U67"/>
  <sheetViews>
    <sheetView zoomScale="110" zoomScaleNormal="110" workbookViewId="0">
      <pane xSplit="5" ySplit="7" topLeftCell="F8" activePane="bottomRight" state="frozen"/>
      <selection activeCell="T7" sqref="T7"/>
      <selection pane="topRight" activeCell="T7" sqref="T7"/>
      <selection pane="bottomLeft" activeCell="T7" sqref="T7"/>
      <selection pane="bottomRight" activeCell="L22" sqref="L22"/>
    </sheetView>
  </sheetViews>
  <sheetFormatPr defaultColWidth="9.140625" defaultRowHeight="18" x14ac:dyDescent="0.25"/>
  <cols>
    <col min="1" max="1" width="2.85546875" style="2" customWidth="1"/>
    <col min="2" max="2" width="7.42578125" style="1" customWidth="1"/>
    <col min="3" max="3" width="28.5703125" style="2" customWidth="1"/>
    <col min="4" max="4" width="20" style="29" bestFit="1" customWidth="1"/>
    <col min="5" max="5" width="17" style="2" bestFit="1" customWidth="1"/>
    <col min="6" max="6" width="14.5703125" style="2" bestFit="1" customWidth="1"/>
    <col min="7" max="7" width="31.42578125" style="2" customWidth="1"/>
    <col min="8" max="8" width="40.42578125" style="29" bestFit="1" customWidth="1"/>
    <col min="9" max="18" width="9.140625" style="2"/>
    <col min="19" max="19" width="20.85546875" style="2" bestFit="1" customWidth="1"/>
    <col min="20" max="20" width="9.85546875" style="2" bestFit="1" customWidth="1"/>
    <col min="21" max="16384" width="9.140625" style="2"/>
  </cols>
  <sheetData>
    <row r="3" spans="1:21" ht="9" customHeight="1" x14ac:dyDescent="0.25">
      <c r="C3" s="1133" t="s">
        <v>163</v>
      </c>
      <c r="D3" s="1133"/>
      <c r="E3" s="1133"/>
    </row>
    <row r="4" spans="1:21" ht="26.25" x14ac:dyDescent="0.4">
      <c r="A4" s="12"/>
      <c r="B4" s="48"/>
      <c r="C4" s="1133"/>
      <c r="D4" s="1133"/>
      <c r="E4" s="1133"/>
    </row>
    <row r="5" spans="1:21" ht="9" customHeight="1" thickBot="1" x14ac:dyDescent="0.3"/>
    <row r="6" spans="1:21" ht="21.95" customHeight="1" thickBot="1" x14ac:dyDescent="0.3">
      <c r="B6" s="3" t="s">
        <v>0</v>
      </c>
      <c r="C6" s="4" t="s">
        <v>41</v>
      </c>
      <c r="D6" s="3" t="s">
        <v>363</v>
      </c>
      <c r="E6" s="3" t="s">
        <v>2</v>
      </c>
      <c r="F6" s="3" t="s">
        <v>58</v>
      </c>
      <c r="G6" s="20" t="s">
        <v>57</v>
      </c>
      <c r="H6" s="3" t="s">
        <v>128</v>
      </c>
    </row>
    <row r="7" spans="1:21" ht="21.95" customHeight="1" thickBot="1" x14ac:dyDescent="0.3">
      <c r="B7" s="5"/>
      <c r="C7" s="6"/>
      <c r="D7" s="3"/>
      <c r="E7" s="5" t="s">
        <v>45</v>
      </c>
      <c r="F7" s="28"/>
      <c r="G7" s="21"/>
      <c r="H7" s="5" t="s">
        <v>129</v>
      </c>
      <c r="S7" s="125">
        <f>IFERROR(VLOOKUP($C7,'B O G SHARES DEVIDENT '!#REF!,2,0),0)</f>
        <v>0</v>
      </c>
      <c r="T7" s="123">
        <f>IFERROR(VLOOKUP($C7,'B O G SHARES DEVIDENT '!#REF!,3,0),0)</f>
        <v>0</v>
      </c>
      <c r="U7" s="124">
        <f>IFERROR(VLOOKUP($C7,'B O G SHARES DEVIDENT '!#REF!,4,0),0)</f>
        <v>0</v>
      </c>
    </row>
    <row r="8" spans="1:21" ht="21.95" customHeight="1" x14ac:dyDescent="0.25">
      <c r="B8" s="14">
        <v>1</v>
      </c>
      <c r="C8" s="15" t="s">
        <v>3</v>
      </c>
      <c r="D8" s="50" t="s">
        <v>361</v>
      </c>
      <c r="E8" s="55">
        <v>3</v>
      </c>
      <c r="F8" s="26" t="s">
        <v>160</v>
      </c>
      <c r="G8" s="22" t="s">
        <v>247</v>
      </c>
      <c r="H8" s="33" t="s">
        <v>248</v>
      </c>
    </row>
    <row r="9" spans="1:21" ht="21.95" customHeight="1" x14ac:dyDescent="0.25">
      <c r="B9" s="16">
        <v>2</v>
      </c>
      <c r="C9" s="13" t="s">
        <v>120</v>
      </c>
      <c r="D9" s="51" t="s">
        <v>362</v>
      </c>
      <c r="E9" s="53">
        <v>3</v>
      </c>
      <c r="F9" s="25" t="s">
        <v>160</v>
      </c>
      <c r="G9" s="23" t="s">
        <v>436</v>
      </c>
      <c r="H9" s="34" t="s">
        <v>437</v>
      </c>
    </row>
    <row r="10" spans="1:21" ht="21.95" customHeight="1" x14ac:dyDescent="0.25">
      <c r="B10" s="16">
        <v>3</v>
      </c>
      <c r="C10" s="13" t="s">
        <v>43</v>
      </c>
      <c r="D10" s="51" t="s">
        <v>364</v>
      </c>
      <c r="E10" s="53">
        <v>1</v>
      </c>
      <c r="F10" s="25"/>
      <c r="G10" s="23"/>
      <c r="H10" s="34"/>
    </row>
    <row r="11" spans="1:21" ht="21.95" customHeight="1" x14ac:dyDescent="0.25">
      <c r="B11" s="16">
        <v>4</v>
      </c>
      <c r="C11" s="13" t="s">
        <v>4</v>
      </c>
      <c r="D11" s="51" t="s">
        <v>364</v>
      </c>
      <c r="E11" s="53">
        <v>3</v>
      </c>
      <c r="F11" s="25" t="s">
        <v>132</v>
      </c>
      <c r="G11" s="23" t="s">
        <v>135</v>
      </c>
      <c r="H11" s="34" t="s">
        <v>154</v>
      </c>
    </row>
    <row r="12" spans="1:21" ht="21.95" customHeight="1" x14ac:dyDescent="0.25">
      <c r="B12" s="16">
        <v>5</v>
      </c>
      <c r="C12" s="13" t="s">
        <v>37</v>
      </c>
      <c r="D12" s="51" t="s">
        <v>361</v>
      </c>
      <c r="E12" s="53">
        <v>2</v>
      </c>
      <c r="F12" s="25" t="s">
        <v>160</v>
      </c>
      <c r="G12" s="23" t="s">
        <v>462</v>
      </c>
      <c r="H12" s="34" t="s">
        <v>464</v>
      </c>
    </row>
    <row r="13" spans="1:21" ht="21.95" customHeight="1" x14ac:dyDescent="0.25">
      <c r="B13" s="16">
        <v>6</v>
      </c>
      <c r="C13" s="13" t="s">
        <v>39</v>
      </c>
      <c r="D13" s="51" t="s">
        <v>364</v>
      </c>
      <c r="E13" s="53">
        <v>1</v>
      </c>
      <c r="F13" s="25"/>
      <c r="G13" s="23"/>
      <c r="H13" s="34"/>
    </row>
    <row r="14" spans="1:21" ht="21.95" customHeight="1" x14ac:dyDescent="0.25">
      <c r="B14" s="16">
        <v>7</v>
      </c>
      <c r="C14" s="13" t="s">
        <v>5</v>
      </c>
      <c r="D14" s="51" t="s">
        <v>364</v>
      </c>
      <c r="E14" s="53">
        <v>2</v>
      </c>
      <c r="F14" s="25" t="s">
        <v>160</v>
      </c>
      <c r="G14" s="23" t="s">
        <v>397</v>
      </c>
      <c r="H14" s="34" t="s">
        <v>399</v>
      </c>
    </row>
    <row r="15" spans="1:21" ht="21.95" customHeight="1" x14ac:dyDescent="0.25">
      <c r="B15" s="16">
        <v>8</v>
      </c>
      <c r="C15" s="13" t="s">
        <v>126</v>
      </c>
      <c r="D15" s="51" t="s">
        <v>364</v>
      </c>
      <c r="E15" s="53"/>
      <c r="F15" s="25" t="s">
        <v>160</v>
      </c>
      <c r="G15" s="23" t="s">
        <v>427</v>
      </c>
      <c r="H15" s="34" t="s">
        <v>428</v>
      </c>
    </row>
    <row r="16" spans="1:21" ht="21.95" customHeight="1" x14ac:dyDescent="0.25">
      <c r="B16" s="16">
        <v>9</v>
      </c>
      <c r="C16" s="13" t="s">
        <v>6</v>
      </c>
      <c r="D16" s="51" t="s">
        <v>362</v>
      </c>
      <c r="E16" s="53">
        <v>2</v>
      </c>
      <c r="F16" s="25" t="s">
        <v>160</v>
      </c>
      <c r="G16" s="23" t="s">
        <v>144</v>
      </c>
      <c r="H16" s="34" t="s">
        <v>278</v>
      </c>
    </row>
    <row r="17" spans="1:8" ht="21.95" customHeight="1" x14ac:dyDescent="0.25">
      <c r="B17" s="16">
        <v>10</v>
      </c>
      <c r="C17" s="13" t="s">
        <v>40</v>
      </c>
      <c r="D17" s="51" t="s">
        <v>364</v>
      </c>
      <c r="E17" s="53">
        <v>2</v>
      </c>
      <c r="F17" s="25"/>
      <c r="G17" s="23"/>
      <c r="H17" s="34"/>
    </row>
    <row r="18" spans="1:8" ht="21.95" customHeight="1" x14ac:dyDescent="0.25">
      <c r="A18" s="2">
        <v>1</v>
      </c>
      <c r="B18" s="16">
        <v>11</v>
      </c>
      <c r="C18" s="13" t="s">
        <v>67</v>
      </c>
      <c r="D18" s="51" t="s">
        <v>364</v>
      </c>
      <c r="E18" s="53">
        <v>2</v>
      </c>
      <c r="F18" s="25"/>
      <c r="G18" s="23"/>
      <c r="H18" s="34"/>
    </row>
    <row r="19" spans="1:8" ht="21.95" customHeight="1" x14ac:dyDescent="0.25">
      <c r="B19" s="16">
        <v>12</v>
      </c>
      <c r="C19" s="13" t="s">
        <v>214</v>
      </c>
      <c r="D19" s="51" t="s">
        <v>364</v>
      </c>
      <c r="E19" s="53">
        <v>3</v>
      </c>
      <c r="F19" s="25" t="s">
        <v>132</v>
      </c>
      <c r="G19" s="23" t="s">
        <v>215</v>
      </c>
      <c r="H19" s="34" t="s">
        <v>216</v>
      </c>
    </row>
    <row r="20" spans="1:8" ht="21.95" customHeight="1" x14ac:dyDescent="0.25">
      <c r="B20" s="16">
        <v>13</v>
      </c>
      <c r="C20" s="13" t="s">
        <v>49</v>
      </c>
      <c r="D20" s="51" t="s">
        <v>365</v>
      </c>
      <c r="E20" s="53">
        <v>3</v>
      </c>
      <c r="F20" s="25" t="s">
        <v>160</v>
      </c>
      <c r="G20" s="23" t="s">
        <v>148</v>
      </c>
      <c r="H20" s="34" t="s">
        <v>316</v>
      </c>
    </row>
    <row r="21" spans="1:8" ht="21.95" customHeight="1" x14ac:dyDescent="0.25">
      <c r="A21" s="2">
        <v>1</v>
      </c>
      <c r="B21" s="16">
        <v>14</v>
      </c>
      <c r="C21" s="13" t="s">
        <v>7</v>
      </c>
      <c r="D21" s="51" t="s">
        <v>364</v>
      </c>
      <c r="E21" s="53">
        <v>3</v>
      </c>
      <c r="F21" s="25" t="s">
        <v>132</v>
      </c>
      <c r="G21" s="23" t="s">
        <v>149</v>
      </c>
      <c r="H21" s="34" t="s">
        <v>179</v>
      </c>
    </row>
    <row r="22" spans="1:8" ht="21.95" customHeight="1" x14ac:dyDescent="0.25">
      <c r="B22" s="16">
        <v>15</v>
      </c>
      <c r="C22" s="13" t="s">
        <v>8</v>
      </c>
      <c r="D22" s="51" t="s">
        <v>362</v>
      </c>
      <c r="E22" s="53">
        <v>3</v>
      </c>
      <c r="F22" s="25" t="s">
        <v>160</v>
      </c>
      <c r="G22" s="23" t="s">
        <v>151</v>
      </c>
      <c r="H22" s="34" t="s">
        <v>210</v>
      </c>
    </row>
    <row r="23" spans="1:8" ht="21.95" customHeight="1" x14ac:dyDescent="0.25">
      <c r="B23" s="16">
        <v>16</v>
      </c>
      <c r="C23" s="13" t="s">
        <v>36</v>
      </c>
      <c r="D23" s="51" t="s">
        <v>362</v>
      </c>
      <c r="E23" s="53">
        <v>3</v>
      </c>
      <c r="F23" s="25" t="s">
        <v>132</v>
      </c>
      <c r="G23" s="23" t="s">
        <v>452</v>
      </c>
      <c r="H23" s="34" t="s">
        <v>453</v>
      </c>
    </row>
    <row r="24" spans="1:8" ht="21.95" customHeight="1" x14ac:dyDescent="0.25">
      <c r="B24" s="16">
        <v>17</v>
      </c>
      <c r="C24" s="13" t="s">
        <v>20</v>
      </c>
      <c r="D24" s="51" t="s">
        <v>365</v>
      </c>
      <c r="E24" s="53">
        <v>3</v>
      </c>
      <c r="F24" s="25" t="s">
        <v>160</v>
      </c>
      <c r="G24" s="23" t="s">
        <v>320</v>
      </c>
      <c r="H24" s="34" t="s">
        <v>321</v>
      </c>
    </row>
    <row r="25" spans="1:8" ht="21.95" customHeight="1" x14ac:dyDescent="0.25">
      <c r="B25" s="16">
        <v>18</v>
      </c>
      <c r="C25" s="13" t="s">
        <v>9</v>
      </c>
      <c r="D25" s="51" t="s">
        <v>362</v>
      </c>
      <c r="E25" s="53">
        <v>3</v>
      </c>
      <c r="F25" s="25" t="s">
        <v>160</v>
      </c>
      <c r="G25" s="23" t="s">
        <v>235</v>
      </c>
      <c r="H25" s="34" t="s">
        <v>236</v>
      </c>
    </row>
    <row r="26" spans="1:8" ht="21.95" customHeight="1" x14ac:dyDescent="0.25">
      <c r="B26" s="16">
        <v>19</v>
      </c>
      <c r="C26" s="13" t="s">
        <v>375</v>
      </c>
      <c r="D26" s="51" t="s">
        <v>361</v>
      </c>
      <c r="E26" s="53">
        <v>2</v>
      </c>
      <c r="F26" s="25" t="s">
        <v>132</v>
      </c>
      <c r="G26" s="23" t="s">
        <v>376</v>
      </c>
      <c r="H26" s="34" t="s">
        <v>226</v>
      </c>
    </row>
    <row r="27" spans="1:8" ht="21.95" customHeight="1" x14ac:dyDescent="0.25">
      <c r="B27" s="16">
        <v>20</v>
      </c>
      <c r="C27" s="13" t="s">
        <v>10</v>
      </c>
      <c r="D27" s="51" t="s">
        <v>364</v>
      </c>
      <c r="E27" s="53">
        <v>2</v>
      </c>
      <c r="F27" s="25" t="s">
        <v>160</v>
      </c>
      <c r="G27" s="23" t="s">
        <v>398</v>
      </c>
      <c r="H27" s="34" t="s">
        <v>399</v>
      </c>
    </row>
    <row r="28" spans="1:8" ht="21.95" customHeight="1" x14ac:dyDescent="0.25">
      <c r="B28" s="16">
        <v>21</v>
      </c>
      <c r="C28" s="13" t="s">
        <v>11</v>
      </c>
      <c r="D28" s="51" t="s">
        <v>361</v>
      </c>
      <c r="E28" s="53">
        <v>2</v>
      </c>
      <c r="F28" s="25" t="s">
        <v>160</v>
      </c>
      <c r="G28" s="23" t="s">
        <v>265</v>
      </c>
      <c r="H28" s="34" t="s">
        <v>266</v>
      </c>
    </row>
    <row r="29" spans="1:8" ht="21.95" customHeight="1" x14ac:dyDescent="0.25">
      <c r="B29" s="16">
        <v>22</v>
      </c>
      <c r="C29" s="13" t="s">
        <v>12</v>
      </c>
      <c r="D29" s="51" t="s">
        <v>364</v>
      </c>
      <c r="E29" s="53">
        <v>3</v>
      </c>
      <c r="F29" s="25" t="s">
        <v>132</v>
      </c>
      <c r="G29" s="23" t="s">
        <v>215</v>
      </c>
      <c r="H29" s="34" t="s">
        <v>216</v>
      </c>
    </row>
    <row r="30" spans="1:8" ht="21.95" customHeight="1" x14ac:dyDescent="0.25">
      <c r="B30" s="16">
        <v>23</v>
      </c>
      <c r="C30" s="13" t="s">
        <v>224</v>
      </c>
      <c r="D30" s="51" t="s">
        <v>361</v>
      </c>
      <c r="E30" s="53">
        <v>2</v>
      </c>
      <c r="F30" s="25" t="s">
        <v>132</v>
      </c>
      <c r="G30" s="23" t="s">
        <v>225</v>
      </c>
      <c r="H30" s="34" t="s">
        <v>226</v>
      </c>
    </row>
    <row r="31" spans="1:8" ht="21.95" customHeight="1" x14ac:dyDescent="0.25">
      <c r="B31" s="16">
        <v>24</v>
      </c>
      <c r="C31" s="13" t="s">
        <v>13</v>
      </c>
      <c r="D31" s="51" t="s">
        <v>362</v>
      </c>
      <c r="E31" s="53">
        <v>3</v>
      </c>
      <c r="F31" s="25" t="s">
        <v>160</v>
      </c>
      <c r="G31" s="23" t="s">
        <v>147</v>
      </c>
      <c r="H31" s="34" t="s">
        <v>409</v>
      </c>
    </row>
    <row r="32" spans="1:8" ht="21.95" customHeight="1" x14ac:dyDescent="0.25">
      <c r="B32" s="16">
        <v>25</v>
      </c>
      <c r="C32" s="13" t="s">
        <v>14</v>
      </c>
      <c r="D32" s="51" t="s">
        <v>362</v>
      </c>
      <c r="E32" s="53">
        <v>3</v>
      </c>
      <c r="F32" s="25" t="s">
        <v>160</v>
      </c>
      <c r="G32" s="23" t="s">
        <v>146</v>
      </c>
      <c r="H32" s="34"/>
    </row>
    <row r="33" spans="1:8" ht="21.95" customHeight="1" x14ac:dyDescent="0.25">
      <c r="B33" s="16">
        <v>26</v>
      </c>
      <c r="C33" s="13" t="s">
        <v>303</v>
      </c>
      <c r="D33" s="51" t="s">
        <v>362</v>
      </c>
      <c r="E33" s="53">
        <v>3</v>
      </c>
      <c r="F33" s="25" t="s">
        <v>160</v>
      </c>
      <c r="G33" s="23" t="s">
        <v>302</v>
      </c>
      <c r="H33" s="34" t="s">
        <v>304</v>
      </c>
    </row>
    <row r="34" spans="1:8" ht="21.95" customHeight="1" x14ac:dyDescent="0.25">
      <c r="B34" s="16">
        <v>27</v>
      </c>
      <c r="C34" s="13" t="s">
        <v>15</v>
      </c>
      <c r="D34" s="51" t="s">
        <v>362</v>
      </c>
      <c r="E34" s="53">
        <v>2</v>
      </c>
      <c r="F34" s="25" t="s">
        <v>160</v>
      </c>
      <c r="G34" s="23" t="s">
        <v>141</v>
      </c>
      <c r="H34" s="34"/>
    </row>
    <row r="35" spans="1:8" ht="21.95" customHeight="1" x14ac:dyDescent="0.25">
      <c r="B35" s="16">
        <v>28</v>
      </c>
      <c r="C35" s="13" t="s">
        <v>38</v>
      </c>
      <c r="D35" s="51" t="s">
        <v>361</v>
      </c>
      <c r="E35" s="53">
        <v>1</v>
      </c>
      <c r="F35" s="25" t="s">
        <v>160</v>
      </c>
      <c r="G35" s="23" t="s">
        <v>247</v>
      </c>
      <c r="H35" s="34" t="s">
        <v>248</v>
      </c>
    </row>
    <row r="36" spans="1:8" ht="21.95" customHeight="1" x14ac:dyDescent="0.25">
      <c r="B36" s="16">
        <v>29</v>
      </c>
      <c r="C36" s="13" t="s">
        <v>16</v>
      </c>
      <c r="D36" s="51" t="s">
        <v>361</v>
      </c>
      <c r="E36" s="53">
        <v>2</v>
      </c>
      <c r="F36" s="25" t="s">
        <v>160</v>
      </c>
      <c r="G36" s="23" t="s">
        <v>142</v>
      </c>
      <c r="H36" s="34" t="s">
        <v>366</v>
      </c>
    </row>
    <row r="37" spans="1:8" ht="21.95" customHeight="1" x14ac:dyDescent="0.25">
      <c r="A37" s="2">
        <v>1</v>
      </c>
      <c r="B37" s="16">
        <v>30</v>
      </c>
      <c r="C37" s="13" t="s">
        <v>17</v>
      </c>
      <c r="D37" s="51" t="s">
        <v>361</v>
      </c>
      <c r="E37" s="53">
        <v>3</v>
      </c>
      <c r="F37" s="25" t="s">
        <v>160</v>
      </c>
      <c r="G37" s="23" t="s">
        <v>143</v>
      </c>
      <c r="H37" s="34" t="s">
        <v>159</v>
      </c>
    </row>
    <row r="38" spans="1:8" ht="21.95" customHeight="1" x14ac:dyDescent="0.25">
      <c r="B38" s="16">
        <v>31</v>
      </c>
      <c r="C38" s="13" t="s">
        <v>18</v>
      </c>
      <c r="D38" s="51" t="s">
        <v>364</v>
      </c>
      <c r="E38" s="53">
        <v>3</v>
      </c>
      <c r="F38" s="25" t="s">
        <v>160</v>
      </c>
      <c r="G38" s="23" t="s">
        <v>197</v>
      </c>
      <c r="H38" s="34" t="s">
        <v>178</v>
      </c>
    </row>
    <row r="39" spans="1:8" ht="21.95" customHeight="1" x14ac:dyDescent="0.25">
      <c r="B39" s="16">
        <v>32</v>
      </c>
      <c r="C39" s="13" t="s">
        <v>42</v>
      </c>
      <c r="D39" s="51" t="s">
        <v>365</v>
      </c>
      <c r="E39" s="53">
        <v>2</v>
      </c>
      <c r="F39" s="25" t="s">
        <v>132</v>
      </c>
      <c r="G39" s="23" t="s">
        <v>150</v>
      </c>
      <c r="H39" s="34"/>
    </row>
    <row r="40" spans="1:8" ht="21.95" customHeight="1" x14ac:dyDescent="0.25">
      <c r="B40" s="16">
        <v>33</v>
      </c>
      <c r="C40" s="13" t="s">
        <v>19</v>
      </c>
      <c r="D40" s="51" t="s">
        <v>362</v>
      </c>
      <c r="E40" s="53">
        <v>3</v>
      </c>
      <c r="F40" s="25" t="s">
        <v>160</v>
      </c>
      <c r="G40" s="23" t="s">
        <v>228</v>
      </c>
      <c r="H40" s="34" t="s">
        <v>229</v>
      </c>
    </row>
    <row r="41" spans="1:8" ht="21.95" customHeight="1" x14ac:dyDescent="0.25">
      <c r="B41" s="16">
        <v>34</v>
      </c>
      <c r="C41" s="13" t="s">
        <v>21</v>
      </c>
      <c r="D41" s="51" t="s">
        <v>365</v>
      </c>
      <c r="E41" s="53">
        <v>2</v>
      </c>
      <c r="F41" s="25" t="s">
        <v>160</v>
      </c>
      <c r="G41" s="23" t="s">
        <v>368</v>
      </c>
      <c r="H41" s="34" t="s">
        <v>319</v>
      </c>
    </row>
    <row r="42" spans="1:8" ht="21.95" customHeight="1" x14ac:dyDescent="0.25">
      <c r="B42" s="16">
        <v>35</v>
      </c>
      <c r="C42" s="13" t="s">
        <v>24</v>
      </c>
      <c r="D42" s="51" t="s">
        <v>362</v>
      </c>
      <c r="E42" s="53">
        <v>3</v>
      </c>
      <c r="F42" s="25" t="s">
        <v>160</v>
      </c>
      <c r="G42" s="23" t="s">
        <v>140</v>
      </c>
      <c r="H42" s="34" t="s">
        <v>305</v>
      </c>
    </row>
    <row r="43" spans="1:8" ht="21.95" customHeight="1" x14ac:dyDescent="0.25">
      <c r="A43" s="2">
        <v>1</v>
      </c>
      <c r="B43" s="16">
        <v>36</v>
      </c>
      <c r="C43" s="13" t="s">
        <v>25</v>
      </c>
      <c r="D43" s="51" t="s">
        <v>361</v>
      </c>
      <c r="E43" s="53">
        <v>3</v>
      </c>
      <c r="F43" s="25" t="s">
        <v>160</v>
      </c>
      <c r="G43" s="23" t="s">
        <v>142</v>
      </c>
      <c r="H43" s="34" t="s">
        <v>366</v>
      </c>
    </row>
    <row r="44" spans="1:8" ht="21.95" customHeight="1" x14ac:dyDescent="0.25">
      <c r="B44" s="16">
        <v>37</v>
      </c>
      <c r="C44" s="13" t="s">
        <v>26</v>
      </c>
      <c r="D44" s="51" t="s">
        <v>364</v>
      </c>
      <c r="E44" s="53">
        <v>4</v>
      </c>
      <c r="F44" s="25" t="s">
        <v>132</v>
      </c>
      <c r="G44" s="23" t="s">
        <v>152</v>
      </c>
      <c r="H44" s="34" t="s">
        <v>153</v>
      </c>
    </row>
    <row r="45" spans="1:8" ht="21.95" customHeight="1" x14ac:dyDescent="0.25">
      <c r="B45" s="16">
        <v>38</v>
      </c>
      <c r="C45" s="13" t="s">
        <v>27</v>
      </c>
      <c r="D45" s="51" t="s">
        <v>364</v>
      </c>
      <c r="E45" s="53">
        <v>3</v>
      </c>
      <c r="F45" s="25" t="s">
        <v>160</v>
      </c>
      <c r="G45" s="23" t="s">
        <v>145</v>
      </c>
      <c r="H45" s="34" t="s">
        <v>180</v>
      </c>
    </row>
    <row r="46" spans="1:8" ht="21.95" customHeight="1" x14ac:dyDescent="0.25">
      <c r="B46" s="16">
        <v>39</v>
      </c>
      <c r="C46" s="13" t="s">
        <v>28</v>
      </c>
      <c r="D46" s="51" t="s">
        <v>362</v>
      </c>
      <c r="E46" s="53">
        <v>3</v>
      </c>
      <c r="F46" s="25" t="s">
        <v>160</v>
      </c>
      <c r="G46" s="23" t="s">
        <v>138</v>
      </c>
      <c r="H46" s="34"/>
    </row>
    <row r="47" spans="1:8" ht="21.95" customHeight="1" x14ac:dyDescent="0.25">
      <c r="B47" s="16">
        <v>40</v>
      </c>
      <c r="C47" s="13" t="s">
        <v>130</v>
      </c>
      <c r="D47" s="51" t="s">
        <v>361</v>
      </c>
      <c r="E47" s="53">
        <v>2</v>
      </c>
      <c r="F47" s="25" t="s">
        <v>160</v>
      </c>
      <c r="G47" s="23" t="s">
        <v>461</v>
      </c>
      <c r="H47" s="34" t="s">
        <v>463</v>
      </c>
    </row>
    <row r="48" spans="1:8" ht="21.95" customHeight="1" x14ac:dyDescent="0.25">
      <c r="B48" s="16">
        <v>41</v>
      </c>
      <c r="C48" s="13" t="s">
        <v>29</v>
      </c>
      <c r="D48" s="51" t="s">
        <v>365</v>
      </c>
      <c r="E48" s="53">
        <v>2</v>
      </c>
      <c r="F48" s="25" t="s">
        <v>160</v>
      </c>
      <c r="G48" s="23" t="s">
        <v>295</v>
      </c>
      <c r="H48" s="34" t="s">
        <v>296</v>
      </c>
    </row>
    <row r="49" spans="1:8" ht="21.95" customHeight="1" x14ac:dyDescent="0.25">
      <c r="B49" s="16">
        <v>42</v>
      </c>
      <c r="C49" s="13" t="s">
        <v>30</v>
      </c>
      <c r="D49" s="51" t="s">
        <v>362</v>
      </c>
      <c r="E49" s="53">
        <v>7</v>
      </c>
      <c r="F49" s="25" t="s">
        <v>160</v>
      </c>
      <c r="G49" s="23" t="s">
        <v>136</v>
      </c>
      <c r="H49" s="34"/>
    </row>
    <row r="50" spans="1:8" ht="21.95" customHeight="1" x14ac:dyDescent="0.25">
      <c r="B50" s="16">
        <v>43</v>
      </c>
      <c r="C50" s="13" t="s">
        <v>22</v>
      </c>
      <c r="D50" s="51" t="s">
        <v>365</v>
      </c>
      <c r="E50" s="53">
        <v>5</v>
      </c>
      <c r="F50" s="25" t="s">
        <v>160</v>
      </c>
      <c r="G50" s="23" t="s">
        <v>317</v>
      </c>
      <c r="H50" s="34" t="s">
        <v>318</v>
      </c>
    </row>
    <row r="51" spans="1:8" ht="21.95" customHeight="1" x14ac:dyDescent="0.3">
      <c r="B51" s="16">
        <v>44</v>
      </c>
      <c r="C51" s="13" t="s">
        <v>127</v>
      </c>
      <c r="D51" s="51" t="s">
        <v>364</v>
      </c>
      <c r="E51" s="53"/>
      <c r="F51" s="25" t="s">
        <v>160</v>
      </c>
      <c r="G51" s="59" t="s">
        <v>427</v>
      </c>
      <c r="H51" s="34" t="s">
        <v>429</v>
      </c>
    </row>
    <row r="52" spans="1:8" ht="21.95" customHeight="1" x14ac:dyDescent="0.25">
      <c r="B52" s="16">
        <v>45</v>
      </c>
      <c r="C52" s="13" t="s">
        <v>46</v>
      </c>
      <c r="D52" s="51" t="s">
        <v>365</v>
      </c>
      <c r="E52" s="53">
        <v>3</v>
      </c>
      <c r="F52" s="25" t="s">
        <v>160</v>
      </c>
      <c r="G52" s="23" t="s">
        <v>377</v>
      </c>
      <c r="H52" s="34" t="s">
        <v>378</v>
      </c>
    </row>
    <row r="53" spans="1:8" ht="21.95" customHeight="1" x14ac:dyDescent="0.25">
      <c r="B53" s="16">
        <v>46</v>
      </c>
      <c r="C53" s="13" t="s">
        <v>47</v>
      </c>
      <c r="D53" s="51" t="s">
        <v>365</v>
      </c>
      <c r="E53" s="53">
        <v>3</v>
      </c>
      <c r="F53" s="25" t="s">
        <v>160</v>
      </c>
      <c r="G53" s="23" t="s">
        <v>377</v>
      </c>
      <c r="H53" s="34" t="s">
        <v>378</v>
      </c>
    </row>
    <row r="54" spans="1:8" ht="21.95" customHeight="1" x14ac:dyDescent="0.25">
      <c r="B54" s="16">
        <v>47</v>
      </c>
      <c r="C54" s="13" t="s">
        <v>23</v>
      </c>
      <c r="D54" s="51" t="s">
        <v>365</v>
      </c>
      <c r="E54" s="53">
        <v>3</v>
      </c>
      <c r="F54" s="25" t="s">
        <v>132</v>
      </c>
      <c r="G54" s="23" t="s">
        <v>322</v>
      </c>
      <c r="H54" s="34" t="s">
        <v>323</v>
      </c>
    </row>
    <row r="55" spans="1:8" ht="21.95" customHeight="1" x14ac:dyDescent="0.25">
      <c r="A55" s="2">
        <v>1</v>
      </c>
      <c r="B55" s="16">
        <v>48</v>
      </c>
      <c r="C55" s="13" t="s">
        <v>31</v>
      </c>
      <c r="D55" s="51" t="s">
        <v>364</v>
      </c>
      <c r="E55" s="53">
        <v>2</v>
      </c>
      <c r="F55" s="25"/>
      <c r="G55" s="23"/>
      <c r="H55" s="34"/>
    </row>
    <row r="56" spans="1:8" ht="21.95" customHeight="1" x14ac:dyDescent="0.25">
      <c r="B56" s="16">
        <v>49</v>
      </c>
      <c r="C56" s="13" t="s">
        <v>32</v>
      </c>
      <c r="D56" s="51" t="s">
        <v>361</v>
      </c>
      <c r="E56" s="53">
        <v>2</v>
      </c>
      <c r="F56" s="25" t="s">
        <v>160</v>
      </c>
      <c r="G56" s="23" t="s">
        <v>267</v>
      </c>
      <c r="H56" s="34" t="s">
        <v>268</v>
      </c>
    </row>
    <row r="57" spans="1:8" ht="21.95" customHeight="1" x14ac:dyDescent="0.25">
      <c r="B57" s="16">
        <v>50</v>
      </c>
      <c r="C57" s="13" t="s">
        <v>33</v>
      </c>
      <c r="D57" s="51" t="s">
        <v>361</v>
      </c>
      <c r="E57" s="53">
        <v>2</v>
      </c>
      <c r="F57" s="25" t="s">
        <v>160</v>
      </c>
      <c r="G57" s="23" t="s">
        <v>139</v>
      </c>
      <c r="H57" s="34" t="s">
        <v>367</v>
      </c>
    </row>
    <row r="58" spans="1:8" ht="21.95" customHeight="1" x14ac:dyDescent="0.25">
      <c r="B58" s="16">
        <v>51</v>
      </c>
      <c r="C58" s="13" t="s">
        <v>34</v>
      </c>
      <c r="D58" s="51" t="s">
        <v>362</v>
      </c>
      <c r="E58" s="53">
        <v>3</v>
      </c>
      <c r="F58" s="25" t="s">
        <v>160</v>
      </c>
      <c r="G58" s="23" t="s">
        <v>137</v>
      </c>
      <c r="H58" s="34"/>
    </row>
    <row r="59" spans="1:8" ht="21.95" customHeight="1" x14ac:dyDescent="0.25">
      <c r="B59" s="16">
        <v>52</v>
      </c>
      <c r="C59" s="13" t="s">
        <v>44</v>
      </c>
      <c r="D59" s="51" t="s">
        <v>362</v>
      </c>
      <c r="E59" s="53">
        <v>2</v>
      </c>
      <c r="F59" s="25" t="s">
        <v>160</v>
      </c>
      <c r="G59" s="23" t="s">
        <v>138</v>
      </c>
      <c r="H59" s="34"/>
    </row>
    <row r="60" spans="1:8" ht="21.95" customHeight="1" x14ac:dyDescent="0.25">
      <c r="B60" s="16">
        <v>53</v>
      </c>
      <c r="C60" s="13" t="s">
        <v>35</v>
      </c>
      <c r="D60" s="51" t="s">
        <v>361</v>
      </c>
      <c r="E60" s="53">
        <v>2</v>
      </c>
      <c r="F60" s="25" t="s">
        <v>160</v>
      </c>
      <c r="G60" s="23" t="s">
        <v>164</v>
      </c>
      <c r="H60" s="34" t="s">
        <v>165</v>
      </c>
    </row>
    <row r="61" spans="1:8" ht="21.95" customHeight="1" x14ac:dyDescent="0.25">
      <c r="B61" s="16">
        <v>54</v>
      </c>
      <c r="C61" s="13" t="s">
        <v>48</v>
      </c>
      <c r="D61" s="51" t="s">
        <v>364</v>
      </c>
      <c r="E61" s="53">
        <v>2</v>
      </c>
      <c r="F61" s="25" t="s">
        <v>160</v>
      </c>
      <c r="G61" s="23" t="s">
        <v>385</v>
      </c>
      <c r="H61" s="34" t="s">
        <v>421</v>
      </c>
    </row>
    <row r="62" spans="1:8" ht="21.95" customHeight="1" thickBot="1" x14ac:dyDescent="0.3">
      <c r="B62" s="17"/>
      <c r="C62" s="18"/>
      <c r="D62" s="52"/>
      <c r="E62" s="54"/>
      <c r="F62" s="27"/>
      <c r="G62" s="24"/>
      <c r="H62" s="35"/>
    </row>
    <row r="63" spans="1:8" ht="24.75" customHeight="1" thickBot="1" x14ac:dyDescent="0.4">
      <c r="B63" s="37">
        <f t="shared" ref="B63:H63" si="0">SUBTOTAL(3,B8:B61)</f>
        <v>54</v>
      </c>
      <c r="C63" s="38">
        <f t="shared" si="0"/>
        <v>54</v>
      </c>
      <c r="D63" s="38">
        <f t="shared" si="0"/>
        <v>54</v>
      </c>
      <c r="E63" s="38">
        <f t="shared" si="0"/>
        <v>52</v>
      </c>
      <c r="F63" s="38">
        <f t="shared" si="0"/>
        <v>49</v>
      </c>
      <c r="G63" s="38">
        <f t="shared" si="0"/>
        <v>49</v>
      </c>
      <c r="H63" s="38">
        <f t="shared" si="0"/>
        <v>42</v>
      </c>
    </row>
    <row r="64" spans="1:8" ht="21.75" customHeight="1" x14ac:dyDescent="0.35">
      <c r="C64" s="36">
        <f>C63-E63</f>
        <v>2</v>
      </c>
      <c r="D64" s="49"/>
      <c r="E64" s="36">
        <f>SUM(E8:E61)</f>
        <v>136</v>
      </c>
    </row>
    <row r="65" spans="3:8" ht="19.5" customHeight="1" x14ac:dyDescent="0.3">
      <c r="C65" s="7"/>
      <c r="F65" s="11"/>
      <c r="G65" s="11"/>
      <c r="H65" s="30"/>
    </row>
    <row r="67" spans="3:8" x14ac:dyDescent="0.25">
      <c r="C67" s="19"/>
    </row>
  </sheetData>
  <autoFilter ref="B7:G61" xr:uid="{00000000-0009-0000-0000-000040000000}"/>
  <sortState xmlns:xlrd2="http://schemas.microsoft.com/office/spreadsheetml/2017/richdata2" ref="B8:H61">
    <sortCondition ref="C8:C61"/>
  </sortState>
  <mergeCells count="1">
    <mergeCell ref="C3:E4"/>
  </mergeCells>
  <pageMargins left="0.7" right="0.7" top="0.75" bottom="0.75" header="0.3" footer="0.3"/>
  <pageSetup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9" tint="-0.499984740745262"/>
  </sheetPr>
  <dimension ref="A3:U106"/>
  <sheetViews>
    <sheetView workbookViewId="0">
      <pane xSplit="4" ySplit="6" topLeftCell="E34" activePane="bottomRight" state="frozen"/>
      <selection activeCell="T7" sqref="T7"/>
      <selection pane="topRight" activeCell="T7" sqref="T7"/>
      <selection pane="bottomLeft" activeCell="T7" sqref="T7"/>
      <selection pane="bottomRight"/>
    </sheetView>
  </sheetViews>
  <sheetFormatPr defaultColWidth="9.140625" defaultRowHeight="20.100000000000001" customHeight="1" x14ac:dyDescent="0.25"/>
  <cols>
    <col min="1" max="1" width="2.85546875" style="1" customWidth="1"/>
    <col min="2" max="2" width="8.7109375" style="1" customWidth="1"/>
    <col min="3" max="3" width="42.7109375" style="2" bestFit="1" customWidth="1"/>
    <col min="4" max="4" width="20.28515625" style="2" bestFit="1" customWidth="1"/>
    <col min="5" max="5" width="25.28515625" style="2" bestFit="1" customWidth="1"/>
    <col min="6" max="6" width="42.7109375" style="29" bestFit="1" customWidth="1"/>
    <col min="7" max="7" width="38" style="29" bestFit="1" customWidth="1"/>
    <col min="8" max="8" width="24.28515625" style="29" customWidth="1"/>
    <col min="9" max="18" width="9.140625" style="2"/>
    <col min="19" max="19" width="20.85546875" style="2" bestFit="1" customWidth="1"/>
    <col min="20" max="20" width="9.85546875" style="2" bestFit="1" customWidth="1"/>
    <col min="21" max="16384" width="9.140625" style="2"/>
  </cols>
  <sheetData>
    <row r="3" spans="2:21" ht="11.25" customHeight="1" x14ac:dyDescent="0.25"/>
    <row r="4" spans="2:21" ht="30" customHeight="1" x14ac:dyDescent="0.4">
      <c r="B4" s="1134" t="s">
        <v>133</v>
      </c>
      <c r="C4" s="1134"/>
      <c r="D4" s="1134"/>
    </row>
    <row r="5" spans="2:21" ht="10.5" customHeight="1" thickBot="1" x14ac:dyDescent="0.3"/>
    <row r="6" spans="2:21" s="1" customFormat="1" ht="24" customHeight="1" thickBot="1" x14ac:dyDescent="0.3">
      <c r="B6" s="43" t="s">
        <v>0</v>
      </c>
      <c r="C6" s="43" t="s">
        <v>57</v>
      </c>
      <c r="D6" s="43" t="s">
        <v>50</v>
      </c>
      <c r="E6" s="44" t="s">
        <v>58</v>
      </c>
      <c r="F6" s="43" t="s">
        <v>59</v>
      </c>
      <c r="G6" s="43" t="s">
        <v>157</v>
      </c>
      <c r="H6" s="43" t="s">
        <v>60</v>
      </c>
    </row>
    <row r="7" spans="2:21" ht="21.95" customHeight="1" x14ac:dyDescent="0.3">
      <c r="B7" s="56">
        <v>1</v>
      </c>
      <c r="C7" s="57" t="s">
        <v>450</v>
      </c>
      <c r="D7" s="58" t="s">
        <v>86</v>
      </c>
      <c r="E7" s="60" t="s">
        <v>64</v>
      </c>
      <c r="F7" s="61" t="s">
        <v>451</v>
      </c>
      <c r="G7" s="62" t="s">
        <v>183</v>
      </c>
      <c r="H7" s="63"/>
      <c r="S7" s="125">
        <f>IFERROR(VLOOKUP($C7,'B O G SHARES DEVIDENT '!#REF!,2,0),0)</f>
        <v>0</v>
      </c>
      <c r="T7" s="123">
        <f>IFERROR(VLOOKUP($C7,'B O G SHARES DEVIDENT '!#REF!,3,0),0)</f>
        <v>0</v>
      </c>
      <c r="U7" s="124">
        <f>IFERROR(VLOOKUP($C7,'B O G SHARES DEVIDENT '!#REF!,4,0),0)</f>
        <v>0</v>
      </c>
    </row>
    <row r="8" spans="2:21" ht="21.95" customHeight="1" x14ac:dyDescent="0.3">
      <c r="B8" s="41">
        <v>2</v>
      </c>
      <c r="C8" s="39" t="s">
        <v>327</v>
      </c>
      <c r="D8" s="42" t="s">
        <v>109</v>
      </c>
      <c r="E8" s="45" t="s">
        <v>191</v>
      </c>
      <c r="F8" s="46" t="s">
        <v>328</v>
      </c>
      <c r="G8" s="47" t="s">
        <v>227</v>
      </c>
      <c r="H8" s="31"/>
    </row>
    <row r="9" spans="2:21" ht="21.95" customHeight="1" x14ac:dyDescent="0.3">
      <c r="B9" s="41">
        <v>3</v>
      </c>
      <c r="C9" s="39" t="s">
        <v>275</v>
      </c>
      <c r="D9" s="42" t="s">
        <v>93</v>
      </c>
      <c r="E9" s="45" t="s">
        <v>63</v>
      </c>
      <c r="F9" s="46" t="s">
        <v>277</v>
      </c>
      <c r="G9" s="47" t="s">
        <v>276</v>
      </c>
      <c r="H9" s="31"/>
    </row>
    <row r="10" spans="2:21" ht="21.95" customHeight="1" x14ac:dyDescent="0.3">
      <c r="B10" s="41">
        <v>4</v>
      </c>
      <c r="C10" s="39" t="s">
        <v>395</v>
      </c>
      <c r="D10" s="42" t="s">
        <v>81</v>
      </c>
      <c r="E10" s="45" t="s">
        <v>64</v>
      </c>
      <c r="F10" s="46" t="s">
        <v>396</v>
      </c>
      <c r="G10" s="47" t="s">
        <v>193</v>
      </c>
      <c r="H10" s="31"/>
    </row>
    <row r="11" spans="2:21" ht="21.95" customHeight="1" x14ac:dyDescent="0.3">
      <c r="B11" s="41">
        <v>5</v>
      </c>
      <c r="C11" s="40" t="s">
        <v>70</v>
      </c>
      <c r="D11" s="42" t="s">
        <v>113</v>
      </c>
      <c r="E11" s="45"/>
      <c r="F11" s="46" t="s">
        <v>434</v>
      </c>
      <c r="G11" s="47" t="s">
        <v>335</v>
      </c>
      <c r="H11" s="31"/>
    </row>
    <row r="12" spans="2:21" ht="21.95" customHeight="1" x14ac:dyDescent="0.3">
      <c r="B12" s="41">
        <v>6</v>
      </c>
      <c r="C12" s="126" t="s">
        <v>620</v>
      </c>
      <c r="D12" s="42" t="s">
        <v>115</v>
      </c>
      <c r="E12" s="45" t="s">
        <v>64</v>
      </c>
      <c r="F12" s="46" t="s">
        <v>460</v>
      </c>
      <c r="G12" s="47" t="s">
        <v>183</v>
      </c>
      <c r="H12" s="31"/>
    </row>
    <row r="13" spans="2:21" ht="21.95" customHeight="1" x14ac:dyDescent="0.3">
      <c r="B13" s="41">
        <v>7</v>
      </c>
      <c r="C13" s="39" t="s">
        <v>188</v>
      </c>
      <c r="D13" s="42" t="s">
        <v>84</v>
      </c>
      <c r="E13" s="45" t="s">
        <v>63</v>
      </c>
      <c r="F13" s="46" t="s">
        <v>190</v>
      </c>
      <c r="G13" s="47" t="s">
        <v>189</v>
      </c>
      <c r="H13" s="31"/>
    </row>
    <row r="14" spans="2:21" ht="21.95" customHeight="1" x14ac:dyDescent="0.3">
      <c r="B14" s="41">
        <v>8</v>
      </c>
      <c r="C14" s="39" t="s">
        <v>202</v>
      </c>
      <c r="D14" s="42" t="s">
        <v>91</v>
      </c>
      <c r="E14" s="45" t="s">
        <v>191</v>
      </c>
      <c r="F14" s="46" t="s">
        <v>203</v>
      </c>
      <c r="G14" s="47" t="s">
        <v>193</v>
      </c>
      <c r="H14" s="31"/>
    </row>
    <row r="15" spans="2:21" ht="21.95" customHeight="1" x14ac:dyDescent="0.3">
      <c r="B15" s="41">
        <v>9</v>
      </c>
      <c r="C15" s="39" t="s">
        <v>400</v>
      </c>
      <c r="D15" s="42" t="s">
        <v>89</v>
      </c>
      <c r="E15" s="45" t="s">
        <v>64</v>
      </c>
      <c r="F15" s="46" t="s">
        <v>401</v>
      </c>
      <c r="G15" s="47" t="s">
        <v>193</v>
      </c>
      <c r="H15" s="31"/>
    </row>
    <row r="16" spans="2:21" ht="21.95" customHeight="1" x14ac:dyDescent="0.3">
      <c r="B16" s="41">
        <v>10</v>
      </c>
      <c r="C16" s="39" t="s">
        <v>324</v>
      </c>
      <c r="D16" s="42" t="s">
        <v>109</v>
      </c>
      <c r="E16" s="45" t="s">
        <v>65</v>
      </c>
      <c r="F16" s="46" t="s">
        <v>325</v>
      </c>
      <c r="G16" s="47" t="s">
        <v>326</v>
      </c>
      <c r="H16" s="31"/>
    </row>
    <row r="17" spans="2:8" ht="21.95" customHeight="1" x14ac:dyDescent="0.3">
      <c r="B17" s="41">
        <v>11</v>
      </c>
      <c r="C17" s="39" t="s">
        <v>385</v>
      </c>
      <c r="D17" s="42" t="s">
        <v>111</v>
      </c>
      <c r="E17" s="45" t="s">
        <v>63</v>
      </c>
      <c r="F17" s="46" t="s">
        <v>386</v>
      </c>
      <c r="G17" s="47" t="s">
        <v>384</v>
      </c>
      <c r="H17" s="31"/>
    </row>
    <row r="18" spans="2:8" ht="21.95" customHeight="1" x14ac:dyDescent="0.3">
      <c r="B18" s="41">
        <v>12</v>
      </c>
      <c r="C18" s="39" t="s">
        <v>372</v>
      </c>
      <c r="D18" s="42" t="s">
        <v>370</v>
      </c>
      <c r="E18" s="45" t="s">
        <v>65</v>
      </c>
      <c r="F18" s="46" t="s">
        <v>373</v>
      </c>
      <c r="G18" s="47" t="s">
        <v>374</v>
      </c>
      <c r="H18" s="31"/>
    </row>
    <row r="19" spans="2:8" ht="21.95" customHeight="1" x14ac:dyDescent="0.3">
      <c r="B19" s="41">
        <v>13</v>
      </c>
      <c r="C19" s="39" t="s">
        <v>392</v>
      </c>
      <c r="D19" s="42" t="s">
        <v>110</v>
      </c>
      <c r="E19" s="45" t="s">
        <v>64</v>
      </c>
      <c r="F19" s="46"/>
      <c r="G19" s="47" t="s">
        <v>183</v>
      </c>
      <c r="H19" s="31"/>
    </row>
    <row r="20" spans="2:8" ht="21.95" customHeight="1" x14ac:dyDescent="0.3">
      <c r="B20" s="41">
        <v>14</v>
      </c>
      <c r="C20" s="39" t="s">
        <v>311</v>
      </c>
      <c r="D20" s="42" t="s">
        <v>80</v>
      </c>
      <c r="E20" s="45" t="s">
        <v>191</v>
      </c>
      <c r="F20" s="46" t="s">
        <v>312</v>
      </c>
      <c r="G20" s="47" t="s">
        <v>307</v>
      </c>
      <c r="H20" s="31"/>
    </row>
    <row r="21" spans="2:8" ht="21.95" customHeight="1" x14ac:dyDescent="0.3">
      <c r="B21" s="41">
        <v>15</v>
      </c>
      <c r="C21" s="39" t="s">
        <v>280</v>
      </c>
      <c r="D21" s="42" t="s">
        <v>82</v>
      </c>
      <c r="E21" s="45" t="s">
        <v>64</v>
      </c>
      <c r="F21" s="46" t="s">
        <v>480</v>
      </c>
      <c r="G21" s="47" t="s">
        <v>264</v>
      </c>
      <c r="H21" s="31"/>
    </row>
    <row r="22" spans="2:8" ht="21.95" customHeight="1" x14ac:dyDescent="0.3">
      <c r="B22" s="41">
        <v>16</v>
      </c>
      <c r="C22" s="39" t="s">
        <v>350</v>
      </c>
      <c r="D22" s="42" t="s">
        <v>112</v>
      </c>
      <c r="E22" s="45" t="s">
        <v>64</v>
      </c>
      <c r="F22" s="46" t="s">
        <v>353</v>
      </c>
      <c r="G22" s="47" t="s">
        <v>354</v>
      </c>
      <c r="H22" s="31"/>
    </row>
    <row r="23" spans="2:8" ht="21.95" customHeight="1" x14ac:dyDescent="0.3">
      <c r="B23" s="41">
        <v>17</v>
      </c>
      <c r="C23" s="39" t="s">
        <v>155</v>
      </c>
      <c r="D23" s="42" t="s">
        <v>104</v>
      </c>
      <c r="E23" s="45" t="s">
        <v>65</v>
      </c>
      <c r="F23" s="46" t="s">
        <v>472</v>
      </c>
      <c r="G23" s="47"/>
      <c r="H23" s="31"/>
    </row>
    <row r="24" spans="2:8" ht="21.95" customHeight="1" x14ac:dyDescent="0.3">
      <c r="B24" s="41">
        <v>18</v>
      </c>
      <c r="C24" s="39" t="s">
        <v>422</v>
      </c>
      <c r="D24" s="42" t="s">
        <v>119</v>
      </c>
      <c r="E24" s="45" t="s">
        <v>64</v>
      </c>
      <c r="F24" s="46" t="s">
        <v>423</v>
      </c>
      <c r="G24" s="47" t="s">
        <v>426</v>
      </c>
      <c r="H24" s="31"/>
    </row>
    <row r="25" spans="2:8" ht="21.95" customHeight="1" x14ac:dyDescent="0.3">
      <c r="B25" s="41">
        <v>19</v>
      </c>
      <c r="C25" s="39" t="s">
        <v>181</v>
      </c>
      <c r="D25" s="42" t="s">
        <v>105</v>
      </c>
      <c r="E25" s="45" t="s">
        <v>191</v>
      </c>
      <c r="F25" s="46" t="s">
        <v>182</v>
      </c>
      <c r="G25" s="47" t="s">
        <v>183</v>
      </c>
      <c r="H25" s="31"/>
    </row>
    <row r="26" spans="2:8" ht="21.95" customHeight="1" x14ac:dyDescent="0.3">
      <c r="B26" s="41">
        <v>20</v>
      </c>
      <c r="C26" s="39" t="s">
        <v>230</v>
      </c>
      <c r="D26" s="42" t="s">
        <v>100</v>
      </c>
      <c r="E26" s="45" t="s">
        <v>191</v>
      </c>
      <c r="F26" s="46" t="s">
        <v>231</v>
      </c>
      <c r="G26" s="47" t="s">
        <v>183</v>
      </c>
      <c r="H26" s="31"/>
    </row>
    <row r="27" spans="2:8" ht="21.95" customHeight="1" x14ac:dyDescent="0.3">
      <c r="B27" s="41">
        <v>21</v>
      </c>
      <c r="C27" s="40" t="s">
        <v>61</v>
      </c>
      <c r="D27" s="42" t="s">
        <v>79</v>
      </c>
      <c r="E27" s="45" t="s">
        <v>64</v>
      </c>
      <c r="F27" s="46" t="s">
        <v>474</v>
      </c>
      <c r="G27" s="47" t="s">
        <v>161</v>
      </c>
      <c r="H27" s="31"/>
    </row>
    <row r="28" spans="2:8" ht="21.95" customHeight="1" x14ac:dyDescent="0.3">
      <c r="B28" s="41">
        <v>22</v>
      </c>
      <c r="C28" s="39" t="s">
        <v>199</v>
      </c>
      <c r="D28" s="42" t="s">
        <v>84</v>
      </c>
      <c r="E28" s="45" t="s">
        <v>191</v>
      </c>
      <c r="F28" s="46" t="s">
        <v>195</v>
      </c>
      <c r="G28" s="47" t="s">
        <v>193</v>
      </c>
      <c r="H28" s="31"/>
    </row>
    <row r="29" spans="2:8" ht="21.95" customHeight="1" x14ac:dyDescent="0.3">
      <c r="B29" s="41">
        <v>23</v>
      </c>
      <c r="C29" s="39" t="s">
        <v>121</v>
      </c>
      <c r="D29" s="42" t="s">
        <v>101</v>
      </c>
      <c r="E29" s="45" t="s">
        <v>64</v>
      </c>
      <c r="F29" s="46" t="s">
        <v>343</v>
      </c>
      <c r="G29" s="47" t="s">
        <v>344</v>
      </c>
      <c r="H29" s="31"/>
    </row>
    <row r="30" spans="2:8" ht="21.75" customHeight="1" x14ac:dyDescent="0.3">
      <c r="B30" s="41">
        <v>24</v>
      </c>
      <c r="C30" s="40" t="s">
        <v>69</v>
      </c>
      <c r="D30" s="42" t="s">
        <v>106</v>
      </c>
      <c r="E30" s="45" t="s">
        <v>65</v>
      </c>
      <c r="F30" s="46" t="s">
        <v>74</v>
      </c>
      <c r="G30" s="47" t="s">
        <v>183</v>
      </c>
      <c r="H30" s="31"/>
    </row>
    <row r="31" spans="2:8" ht="20.100000000000001" customHeight="1" x14ac:dyDescent="0.3">
      <c r="B31" s="41">
        <v>25</v>
      </c>
      <c r="C31" s="39" t="s">
        <v>166</v>
      </c>
      <c r="D31" s="42" t="s">
        <v>118</v>
      </c>
      <c r="E31" s="45" t="s">
        <v>64</v>
      </c>
      <c r="F31" s="46" t="s">
        <v>167</v>
      </c>
      <c r="G31" s="47" t="s">
        <v>171</v>
      </c>
      <c r="H31" s="31"/>
    </row>
    <row r="32" spans="2:8" ht="20.100000000000001" customHeight="1" x14ac:dyDescent="0.3">
      <c r="B32" s="41">
        <v>26</v>
      </c>
      <c r="C32" s="39" t="s">
        <v>184</v>
      </c>
      <c r="D32" s="42" t="s">
        <v>105</v>
      </c>
      <c r="E32" s="45" t="s">
        <v>64</v>
      </c>
      <c r="F32" s="46" t="s">
        <v>185</v>
      </c>
      <c r="G32" s="47" t="s">
        <v>183</v>
      </c>
      <c r="H32" s="31"/>
    </row>
    <row r="33" spans="2:8" ht="20.100000000000001" customHeight="1" x14ac:dyDescent="0.3">
      <c r="B33" s="41">
        <v>27</v>
      </c>
      <c r="C33" s="39" t="s">
        <v>342</v>
      </c>
      <c r="D33" s="42" t="s">
        <v>101</v>
      </c>
      <c r="E33" s="45" t="s">
        <v>191</v>
      </c>
      <c r="F33" s="46" t="s">
        <v>345</v>
      </c>
      <c r="G33" s="47" t="s">
        <v>193</v>
      </c>
      <c r="H33" s="31"/>
    </row>
    <row r="34" spans="2:8" ht="20.100000000000001" customHeight="1" x14ac:dyDescent="0.3">
      <c r="B34" s="41">
        <v>28</v>
      </c>
      <c r="C34" s="39" t="s">
        <v>310</v>
      </c>
      <c r="D34" s="42" t="s">
        <v>102</v>
      </c>
      <c r="E34" s="45" t="s">
        <v>191</v>
      </c>
      <c r="F34" s="46" t="s">
        <v>473</v>
      </c>
      <c r="G34" s="47" t="s">
        <v>183</v>
      </c>
      <c r="H34" s="31"/>
    </row>
    <row r="35" spans="2:8" ht="20.100000000000001" customHeight="1" x14ac:dyDescent="0.3">
      <c r="B35" s="41">
        <v>29</v>
      </c>
      <c r="C35" s="40" t="s">
        <v>406</v>
      </c>
      <c r="D35" s="42" t="s">
        <v>106</v>
      </c>
      <c r="E35" s="45" t="s">
        <v>191</v>
      </c>
      <c r="F35" s="46" t="s">
        <v>407</v>
      </c>
      <c r="G35" s="47" t="s">
        <v>183</v>
      </c>
      <c r="H35" s="31"/>
    </row>
    <row r="36" spans="2:8" ht="20.100000000000001" customHeight="1" x14ac:dyDescent="0.3">
      <c r="B36" s="41">
        <v>30</v>
      </c>
      <c r="C36" s="39" t="s">
        <v>412</v>
      </c>
      <c r="D36" s="42" t="s">
        <v>78</v>
      </c>
      <c r="E36" s="45" t="s">
        <v>63</v>
      </c>
      <c r="F36" s="46" t="s">
        <v>411</v>
      </c>
      <c r="G36" s="47"/>
      <c r="H36" s="31"/>
    </row>
    <row r="37" spans="2:8" ht="20.100000000000001" customHeight="1" x14ac:dyDescent="0.3">
      <c r="B37" s="41">
        <v>31</v>
      </c>
      <c r="C37" s="39" t="s">
        <v>336</v>
      </c>
      <c r="D37" s="42" t="s">
        <v>83</v>
      </c>
      <c r="E37" s="45" t="s">
        <v>64</v>
      </c>
      <c r="F37" s="46" t="s">
        <v>478</v>
      </c>
      <c r="G37" s="47" t="s">
        <v>227</v>
      </c>
      <c r="H37" s="31"/>
    </row>
    <row r="38" spans="2:8" ht="20.100000000000001" customHeight="1" x14ac:dyDescent="0.3">
      <c r="B38" s="41">
        <v>32</v>
      </c>
      <c r="C38" s="39" t="s">
        <v>282</v>
      </c>
      <c r="D38" s="42" t="s">
        <v>94</v>
      </c>
      <c r="E38" s="45" t="s">
        <v>191</v>
      </c>
      <c r="F38" s="46" t="s">
        <v>283</v>
      </c>
      <c r="G38" s="47" t="s">
        <v>284</v>
      </c>
      <c r="H38" s="31"/>
    </row>
    <row r="39" spans="2:8" ht="20.100000000000001" customHeight="1" x14ac:dyDescent="0.3">
      <c r="B39" s="41">
        <v>33</v>
      </c>
      <c r="C39" s="39" t="s">
        <v>156</v>
      </c>
      <c r="D39" s="42" t="s">
        <v>104</v>
      </c>
      <c r="E39" s="45" t="s">
        <v>64</v>
      </c>
      <c r="F39" s="46" t="s">
        <v>472</v>
      </c>
      <c r="G39" s="47" t="s">
        <v>227</v>
      </c>
      <c r="H39" s="31"/>
    </row>
    <row r="40" spans="2:8" ht="20.100000000000001" customHeight="1" x14ac:dyDescent="0.3">
      <c r="B40" s="41">
        <v>34</v>
      </c>
      <c r="C40" s="39" t="s">
        <v>417</v>
      </c>
      <c r="D40" s="42" t="s">
        <v>92</v>
      </c>
      <c r="E40" s="45" t="s">
        <v>63</v>
      </c>
      <c r="F40" s="46" t="s">
        <v>418</v>
      </c>
      <c r="G40" s="47" t="s">
        <v>227</v>
      </c>
      <c r="H40" s="31"/>
    </row>
    <row r="41" spans="2:8" ht="20.100000000000001" customHeight="1" x14ac:dyDescent="0.3">
      <c r="B41" s="41">
        <v>35</v>
      </c>
      <c r="C41" s="39" t="s">
        <v>194</v>
      </c>
      <c r="D41" s="42" t="s">
        <v>84</v>
      </c>
      <c r="E41" s="45" t="s">
        <v>64</v>
      </c>
      <c r="F41" s="46" t="s">
        <v>192</v>
      </c>
      <c r="G41" s="47" t="s">
        <v>193</v>
      </c>
      <c r="H41" s="31"/>
    </row>
    <row r="42" spans="2:8" ht="20.100000000000001" customHeight="1" x14ac:dyDescent="0.3">
      <c r="B42" s="41">
        <v>36</v>
      </c>
      <c r="C42" s="39" t="s">
        <v>456</v>
      </c>
      <c r="D42" s="42" t="s">
        <v>78</v>
      </c>
      <c r="E42" s="45" t="s">
        <v>191</v>
      </c>
      <c r="F42" s="46" t="s">
        <v>457</v>
      </c>
      <c r="G42" s="47" t="s">
        <v>262</v>
      </c>
      <c r="H42" s="31"/>
    </row>
    <row r="43" spans="2:8" ht="20.100000000000001" customHeight="1" x14ac:dyDescent="0.3">
      <c r="B43" s="41">
        <v>37</v>
      </c>
      <c r="C43" s="39" t="s">
        <v>260</v>
      </c>
      <c r="D43" s="42" t="s">
        <v>90</v>
      </c>
      <c r="E43" s="45" t="s">
        <v>63</v>
      </c>
      <c r="F43" s="46" t="s">
        <v>261</v>
      </c>
      <c r="G43" s="47" t="s">
        <v>262</v>
      </c>
      <c r="H43" s="31"/>
    </row>
    <row r="44" spans="2:8" ht="20.100000000000001" customHeight="1" x14ac:dyDescent="0.3">
      <c r="B44" s="41">
        <v>38</v>
      </c>
      <c r="C44" s="39" t="s">
        <v>313</v>
      </c>
      <c r="D44" s="42" t="s">
        <v>80</v>
      </c>
      <c r="E44" s="45" t="s">
        <v>63</v>
      </c>
      <c r="F44" s="46" t="s">
        <v>315</v>
      </c>
      <c r="G44" s="47" t="s">
        <v>314</v>
      </c>
      <c r="H44" s="31"/>
    </row>
    <row r="45" spans="2:8" ht="20.100000000000001" customHeight="1" x14ac:dyDescent="0.3">
      <c r="B45" s="41">
        <v>39</v>
      </c>
      <c r="C45" s="39" t="s">
        <v>442</v>
      </c>
      <c r="D45" s="42" t="s">
        <v>122</v>
      </c>
      <c r="E45" s="45" t="s">
        <v>63</v>
      </c>
      <c r="F45" s="46" t="s">
        <v>443</v>
      </c>
      <c r="G45" s="47" t="s">
        <v>183</v>
      </c>
      <c r="H45" s="31"/>
    </row>
    <row r="46" spans="2:8" ht="20.100000000000001" customHeight="1" x14ac:dyDescent="0.3">
      <c r="B46" s="41">
        <v>40</v>
      </c>
      <c r="C46" s="39" t="s">
        <v>424</v>
      </c>
      <c r="D46" s="42" t="s">
        <v>119</v>
      </c>
      <c r="E46" s="45" t="s">
        <v>63</v>
      </c>
      <c r="F46" s="46" t="s">
        <v>425</v>
      </c>
      <c r="G46" s="47" t="s">
        <v>426</v>
      </c>
      <c r="H46" s="31"/>
    </row>
    <row r="47" spans="2:8" ht="20.100000000000001" customHeight="1" x14ac:dyDescent="0.3">
      <c r="B47" s="41">
        <v>41</v>
      </c>
      <c r="C47" s="39" t="s">
        <v>292</v>
      </c>
      <c r="D47" s="42" t="s">
        <v>96</v>
      </c>
      <c r="E47" s="45" t="s">
        <v>63</v>
      </c>
      <c r="F47" s="46" t="s">
        <v>404</v>
      </c>
      <c r="G47" s="47" t="s">
        <v>193</v>
      </c>
      <c r="H47" s="31"/>
    </row>
    <row r="48" spans="2:8" ht="20.100000000000001" customHeight="1" x14ac:dyDescent="0.3">
      <c r="B48" s="41">
        <v>42</v>
      </c>
      <c r="C48" s="40" t="s">
        <v>292</v>
      </c>
      <c r="D48" s="42" t="s">
        <v>107</v>
      </c>
      <c r="E48" s="45" t="s">
        <v>191</v>
      </c>
      <c r="F48" s="46" t="s">
        <v>294</v>
      </c>
      <c r="G48" s="47" t="s">
        <v>193</v>
      </c>
      <c r="H48" s="31"/>
    </row>
    <row r="49" spans="2:8" ht="21.95" customHeight="1" x14ac:dyDescent="0.3">
      <c r="B49" s="41">
        <v>43</v>
      </c>
      <c r="C49" s="39" t="s">
        <v>306</v>
      </c>
      <c r="D49" s="42" t="s">
        <v>102</v>
      </c>
      <c r="E49" s="45" t="s">
        <v>63</v>
      </c>
      <c r="F49" s="46" t="s">
        <v>481</v>
      </c>
      <c r="G49" s="47" t="s">
        <v>307</v>
      </c>
      <c r="H49" s="31"/>
    </row>
    <row r="50" spans="2:8" ht="20.100000000000001" customHeight="1" x14ac:dyDescent="0.3">
      <c r="B50" s="41">
        <v>44</v>
      </c>
      <c r="C50" s="39" t="s">
        <v>414</v>
      </c>
      <c r="D50" s="42" t="s">
        <v>92</v>
      </c>
      <c r="E50" s="45" t="s">
        <v>64</v>
      </c>
      <c r="F50" s="46" t="s">
        <v>415</v>
      </c>
      <c r="G50" s="47" t="s">
        <v>416</v>
      </c>
      <c r="H50" s="31"/>
    </row>
    <row r="51" spans="2:8" ht="20.100000000000001" customHeight="1" x14ac:dyDescent="0.3">
      <c r="B51" s="41">
        <v>45</v>
      </c>
      <c r="C51" s="39" t="s">
        <v>255</v>
      </c>
      <c r="D51" s="42" t="s">
        <v>116</v>
      </c>
      <c r="E51" s="45" t="s">
        <v>191</v>
      </c>
      <c r="F51" s="46" t="s">
        <v>256</v>
      </c>
      <c r="G51" s="47" t="s">
        <v>257</v>
      </c>
      <c r="H51" s="31"/>
    </row>
    <row r="52" spans="2:8" ht="20.100000000000001" customHeight="1" x14ac:dyDescent="0.3">
      <c r="B52" s="41">
        <v>46</v>
      </c>
      <c r="C52" s="39" t="s">
        <v>337</v>
      </c>
      <c r="D52" s="42" t="s">
        <v>83</v>
      </c>
      <c r="E52" s="45" t="s">
        <v>65</v>
      </c>
      <c r="F52" s="46" t="s">
        <v>338</v>
      </c>
      <c r="G52" s="47" t="s">
        <v>339</v>
      </c>
      <c r="H52" s="31"/>
    </row>
    <row r="53" spans="2:8" ht="20.100000000000001" customHeight="1" x14ac:dyDescent="0.3">
      <c r="B53" s="41">
        <v>47</v>
      </c>
      <c r="C53" s="39" t="s">
        <v>408</v>
      </c>
      <c r="D53" s="42" t="s">
        <v>96</v>
      </c>
      <c r="E53" s="45" t="s">
        <v>191</v>
      </c>
      <c r="F53" s="46" t="s">
        <v>405</v>
      </c>
      <c r="G53" s="47" t="s">
        <v>193</v>
      </c>
      <c r="H53" s="31"/>
    </row>
    <row r="54" spans="2:8" ht="20.100000000000001" customHeight="1" x14ac:dyDescent="0.3">
      <c r="B54" s="41">
        <v>48</v>
      </c>
      <c r="C54" s="39" t="s">
        <v>218</v>
      </c>
      <c r="D54" s="42" t="s">
        <v>217</v>
      </c>
      <c r="E54" s="45" t="s">
        <v>64</v>
      </c>
      <c r="F54" s="46" t="s">
        <v>216</v>
      </c>
      <c r="G54" s="47" t="s">
        <v>193</v>
      </c>
      <c r="H54" s="31"/>
    </row>
    <row r="55" spans="2:8" ht="20.100000000000001" customHeight="1" x14ac:dyDescent="0.3">
      <c r="B55" s="41">
        <v>49</v>
      </c>
      <c r="C55" s="39" t="s">
        <v>281</v>
      </c>
      <c r="D55" s="42" t="s">
        <v>114</v>
      </c>
      <c r="E55" s="45" t="s">
        <v>191</v>
      </c>
      <c r="F55" s="46" t="s">
        <v>270</v>
      </c>
      <c r="G55" s="47" t="s">
        <v>193</v>
      </c>
      <c r="H55" s="31"/>
    </row>
    <row r="56" spans="2:8" ht="20.100000000000001" customHeight="1" x14ac:dyDescent="0.3">
      <c r="B56" s="41">
        <v>50</v>
      </c>
      <c r="C56" s="39" t="s">
        <v>237</v>
      </c>
      <c r="D56" s="42" t="s">
        <v>88</v>
      </c>
      <c r="E56" s="45" t="s">
        <v>191</v>
      </c>
      <c r="F56" s="46" t="s">
        <v>476</v>
      </c>
      <c r="G56" s="47" t="s">
        <v>238</v>
      </c>
      <c r="H56" s="31"/>
    </row>
    <row r="57" spans="2:8" ht="20.100000000000001" customHeight="1" x14ac:dyDescent="0.3">
      <c r="B57" s="41">
        <v>51</v>
      </c>
      <c r="C57" s="39" t="s">
        <v>219</v>
      </c>
      <c r="D57" s="42" t="s">
        <v>217</v>
      </c>
      <c r="E57" s="45" t="s">
        <v>65</v>
      </c>
      <c r="F57" s="46" t="s">
        <v>222</v>
      </c>
      <c r="G57" s="47" t="s">
        <v>221</v>
      </c>
      <c r="H57" s="31"/>
    </row>
    <row r="58" spans="2:8" ht="20.100000000000001" customHeight="1" x14ac:dyDescent="0.3">
      <c r="B58" s="41">
        <v>52</v>
      </c>
      <c r="C58" s="39" t="s">
        <v>263</v>
      </c>
      <c r="D58" s="42" t="s">
        <v>90</v>
      </c>
      <c r="E58" s="45" t="s">
        <v>64</v>
      </c>
      <c r="F58" s="46" t="s">
        <v>471</v>
      </c>
      <c r="G58" s="47" t="s">
        <v>264</v>
      </c>
      <c r="H58" s="31"/>
    </row>
    <row r="59" spans="2:8" ht="20.100000000000001" customHeight="1" x14ac:dyDescent="0.3">
      <c r="B59" s="41">
        <v>53</v>
      </c>
      <c r="C59" s="40" t="s">
        <v>72</v>
      </c>
      <c r="D59" s="42" t="s">
        <v>106</v>
      </c>
      <c r="E59" s="45" t="s">
        <v>63</v>
      </c>
      <c r="F59" s="46" t="s">
        <v>73</v>
      </c>
      <c r="G59" s="47"/>
      <c r="H59" s="31"/>
    </row>
    <row r="60" spans="2:8" ht="20.100000000000001" customHeight="1" x14ac:dyDescent="0.3">
      <c r="B60" s="41">
        <v>54</v>
      </c>
      <c r="C60" s="39" t="s">
        <v>308</v>
      </c>
      <c r="D60" s="42" t="s">
        <v>102</v>
      </c>
      <c r="E60" s="45" t="s">
        <v>64</v>
      </c>
      <c r="F60" s="46" t="s">
        <v>309</v>
      </c>
      <c r="G60" s="47" t="s">
        <v>245</v>
      </c>
      <c r="H60" s="31"/>
    </row>
    <row r="61" spans="2:8" ht="20.100000000000001" customHeight="1" x14ac:dyDescent="0.3">
      <c r="B61" s="41">
        <v>55</v>
      </c>
      <c r="C61" s="39" t="s">
        <v>465</v>
      </c>
      <c r="D61" s="42" t="s">
        <v>110</v>
      </c>
      <c r="E61" s="45" t="s">
        <v>191</v>
      </c>
      <c r="F61" s="46" t="s">
        <v>389</v>
      </c>
      <c r="G61" s="47" t="s">
        <v>193</v>
      </c>
      <c r="H61" s="31"/>
    </row>
    <row r="62" spans="2:8" ht="20.100000000000001" customHeight="1" x14ac:dyDescent="0.3">
      <c r="B62" s="41">
        <v>56</v>
      </c>
      <c r="C62" s="39" t="s">
        <v>249</v>
      </c>
      <c r="D62" s="42" t="s">
        <v>95</v>
      </c>
      <c r="E62" s="45" t="s">
        <v>64</v>
      </c>
      <c r="F62" s="46" t="s">
        <v>250</v>
      </c>
      <c r="G62" s="47" t="s">
        <v>251</v>
      </c>
      <c r="H62" s="31"/>
    </row>
    <row r="63" spans="2:8" ht="20.100000000000001" customHeight="1" x14ac:dyDescent="0.3">
      <c r="B63" s="41">
        <v>57</v>
      </c>
      <c r="C63" s="39" t="s">
        <v>393</v>
      </c>
      <c r="D63" s="42" t="s">
        <v>81</v>
      </c>
      <c r="E63" s="45" t="s">
        <v>63</v>
      </c>
      <c r="F63" s="46" t="s">
        <v>394</v>
      </c>
      <c r="G63" s="47" t="s">
        <v>227</v>
      </c>
      <c r="H63" s="31"/>
    </row>
    <row r="64" spans="2:8" ht="20.100000000000001" customHeight="1" x14ac:dyDescent="0.3">
      <c r="B64" s="41">
        <v>58</v>
      </c>
      <c r="C64" s="39" t="s">
        <v>447</v>
      </c>
      <c r="D64" s="42" t="s">
        <v>86</v>
      </c>
      <c r="E64" s="45" t="s">
        <v>191</v>
      </c>
      <c r="F64" s="46" t="s">
        <v>449</v>
      </c>
      <c r="G64" s="47" t="s">
        <v>448</v>
      </c>
      <c r="H64" s="31"/>
    </row>
    <row r="65" spans="2:8" ht="20.100000000000001" customHeight="1" x14ac:dyDescent="0.3">
      <c r="B65" s="41">
        <v>59</v>
      </c>
      <c r="C65" s="39" t="s">
        <v>239</v>
      </c>
      <c r="D65" s="42" t="s">
        <v>88</v>
      </c>
      <c r="E65" s="45" t="s">
        <v>63</v>
      </c>
      <c r="F65" s="46" t="s">
        <v>240</v>
      </c>
      <c r="G65" s="47" t="s">
        <v>241</v>
      </c>
      <c r="H65" s="31"/>
    </row>
    <row r="66" spans="2:8" ht="20.100000000000001" customHeight="1" x14ac:dyDescent="0.3">
      <c r="B66" s="41">
        <v>60</v>
      </c>
      <c r="C66" s="39" t="s">
        <v>357</v>
      </c>
      <c r="D66" s="42" t="s">
        <v>99</v>
      </c>
      <c r="E66" s="45" t="s">
        <v>191</v>
      </c>
      <c r="F66" s="46" t="s">
        <v>360</v>
      </c>
      <c r="G66" s="47" t="s">
        <v>183</v>
      </c>
      <c r="H66" s="31"/>
    </row>
    <row r="67" spans="2:8" ht="20.100000000000001" customHeight="1" x14ac:dyDescent="0.3">
      <c r="B67" s="41">
        <v>61</v>
      </c>
      <c r="C67" s="39" t="s">
        <v>175</v>
      </c>
      <c r="D67" s="42" t="s">
        <v>98</v>
      </c>
      <c r="E67" s="45" t="s">
        <v>191</v>
      </c>
      <c r="F67" s="46" t="s">
        <v>176</v>
      </c>
      <c r="G67" s="47" t="s">
        <v>177</v>
      </c>
      <c r="H67" s="31"/>
    </row>
    <row r="68" spans="2:8" ht="21.95" customHeight="1" x14ac:dyDescent="0.3">
      <c r="B68" s="41">
        <v>62</v>
      </c>
      <c r="C68" s="39" t="s">
        <v>347</v>
      </c>
      <c r="D68" s="42" t="s">
        <v>87</v>
      </c>
      <c r="E68" s="45" t="s">
        <v>64</v>
      </c>
      <c r="F68" s="46" t="s">
        <v>467</v>
      </c>
      <c r="G68" s="47" t="s">
        <v>262</v>
      </c>
      <c r="H68" s="31"/>
    </row>
    <row r="69" spans="2:8" ht="20.100000000000001" customHeight="1" x14ac:dyDescent="0.3">
      <c r="B69" s="41">
        <v>63</v>
      </c>
      <c r="C69" s="39" t="s">
        <v>387</v>
      </c>
      <c r="D69" s="42" t="s">
        <v>111</v>
      </c>
      <c r="E69" s="45" t="s">
        <v>64</v>
      </c>
      <c r="F69" s="46" t="s">
        <v>388</v>
      </c>
      <c r="G69" s="47" t="s">
        <v>193</v>
      </c>
      <c r="H69" s="31"/>
    </row>
    <row r="70" spans="2:8" ht="20.100000000000001" customHeight="1" x14ac:dyDescent="0.3">
      <c r="B70" s="41">
        <v>64</v>
      </c>
      <c r="C70" s="39" t="s">
        <v>242</v>
      </c>
      <c r="D70" s="42" t="s">
        <v>88</v>
      </c>
      <c r="E70" s="45" t="s">
        <v>64</v>
      </c>
      <c r="F70" s="46" t="s">
        <v>243</v>
      </c>
      <c r="G70" s="47" t="s">
        <v>244</v>
      </c>
      <c r="H70" s="31"/>
    </row>
    <row r="71" spans="2:8" ht="20.100000000000001" customHeight="1" x14ac:dyDescent="0.3">
      <c r="B71" s="41">
        <v>65</v>
      </c>
      <c r="C71" s="39" t="s">
        <v>390</v>
      </c>
      <c r="D71" s="42" t="s">
        <v>110</v>
      </c>
      <c r="E71" s="45" t="s">
        <v>63</v>
      </c>
      <c r="F71" s="46" t="s">
        <v>391</v>
      </c>
      <c r="G71" s="47" t="s">
        <v>193</v>
      </c>
      <c r="H71" s="31"/>
    </row>
    <row r="72" spans="2:8" ht="20.100000000000001" customHeight="1" x14ac:dyDescent="0.3">
      <c r="B72" s="41">
        <v>66</v>
      </c>
      <c r="C72" s="40" t="s">
        <v>71</v>
      </c>
      <c r="D72" s="42" t="s">
        <v>113</v>
      </c>
      <c r="E72" s="45"/>
      <c r="F72" s="46" t="s">
        <v>435</v>
      </c>
      <c r="G72" s="47"/>
      <c r="H72" s="31"/>
    </row>
    <row r="73" spans="2:8" ht="20.100000000000001" customHeight="1" x14ac:dyDescent="0.3">
      <c r="B73" s="41">
        <v>67</v>
      </c>
      <c r="C73" s="39" t="s">
        <v>413</v>
      </c>
      <c r="D73" s="42" t="s">
        <v>78</v>
      </c>
      <c r="E73" s="45" t="s">
        <v>64</v>
      </c>
      <c r="F73" s="46" t="s">
        <v>455</v>
      </c>
      <c r="G73" s="47"/>
      <c r="H73" s="31"/>
    </row>
    <row r="74" spans="2:8" ht="20.100000000000001" customHeight="1" x14ac:dyDescent="0.3">
      <c r="B74" s="41">
        <v>68</v>
      </c>
      <c r="C74" s="39" t="s">
        <v>358</v>
      </c>
      <c r="D74" s="42" t="s">
        <v>99</v>
      </c>
      <c r="E74" s="45" t="s">
        <v>63</v>
      </c>
      <c r="F74" s="46" t="s">
        <v>359</v>
      </c>
      <c r="G74" s="47" t="s">
        <v>183</v>
      </c>
      <c r="H74" s="31"/>
    </row>
    <row r="75" spans="2:8" ht="20.100000000000001" customHeight="1" x14ac:dyDescent="0.3">
      <c r="B75" s="41">
        <v>69</v>
      </c>
      <c r="C75" s="39" t="s">
        <v>430</v>
      </c>
      <c r="D75" s="39" t="s">
        <v>123</v>
      </c>
      <c r="E75" s="45" t="s">
        <v>191</v>
      </c>
      <c r="F75" s="46" t="s">
        <v>431</v>
      </c>
      <c r="G75" s="47" t="s">
        <v>264</v>
      </c>
      <c r="H75" s="31"/>
    </row>
    <row r="76" spans="2:8" ht="20.100000000000001" customHeight="1" x14ac:dyDescent="0.3">
      <c r="B76" s="41">
        <v>70</v>
      </c>
      <c r="C76" s="39" t="s">
        <v>381</v>
      </c>
      <c r="D76" s="42" t="s">
        <v>297</v>
      </c>
      <c r="E76" s="45" t="s">
        <v>63</v>
      </c>
      <c r="F76" s="46" t="s">
        <v>482</v>
      </c>
      <c r="G76" s="47" t="s">
        <v>301</v>
      </c>
      <c r="H76" s="31"/>
    </row>
    <row r="77" spans="2:8" ht="20.100000000000001" customHeight="1" x14ac:dyDescent="0.3">
      <c r="B77" s="41">
        <v>71</v>
      </c>
      <c r="C77" s="40" t="s">
        <v>287</v>
      </c>
      <c r="D77" s="42" t="s">
        <v>131</v>
      </c>
      <c r="E77" s="45" t="s">
        <v>63</v>
      </c>
      <c r="F77" s="46" t="s">
        <v>479</v>
      </c>
      <c r="G77" s="47" t="s">
        <v>162</v>
      </c>
      <c r="H77" s="31"/>
    </row>
    <row r="78" spans="2:8" ht="20.100000000000001" customHeight="1" x14ac:dyDescent="0.3">
      <c r="B78" s="41">
        <v>72</v>
      </c>
      <c r="C78" s="39" t="s">
        <v>329</v>
      </c>
      <c r="D78" s="42" t="s">
        <v>109</v>
      </c>
      <c r="E78" s="45" t="s">
        <v>63</v>
      </c>
      <c r="F78" s="46" t="s">
        <v>330</v>
      </c>
      <c r="G78" s="47" t="s">
        <v>307</v>
      </c>
      <c r="H78" s="31"/>
    </row>
    <row r="79" spans="2:8" ht="20.100000000000001" customHeight="1" x14ac:dyDescent="0.3">
      <c r="B79" s="41">
        <v>73</v>
      </c>
      <c r="C79" s="39" t="s">
        <v>331</v>
      </c>
      <c r="D79" s="42" t="s">
        <v>109</v>
      </c>
      <c r="E79" s="45" t="s">
        <v>64</v>
      </c>
      <c r="F79" s="46" t="s">
        <v>332</v>
      </c>
      <c r="G79" s="47" t="s">
        <v>227</v>
      </c>
      <c r="H79" s="31"/>
    </row>
    <row r="80" spans="2:8" ht="20.100000000000001" customHeight="1" x14ac:dyDescent="0.3">
      <c r="B80" s="41">
        <v>74</v>
      </c>
      <c r="C80" s="39" t="s">
        <v>340</v>
      </c>
      <c r="D80" s="42" t="s">
        <v>83</v>
      </c>
      <c r="E80" s="45" t="s">
        <v>63</v>
      </c>
      <c r="F80" s="46" t="s">
        <v>341</v>
      </c>
      <c r="G80" s="47" t="s">
        <v>193</v>
      </c>
      <c r="H80" s="31"/>
    </row>
    <row r="81" spans="2:8" ht="21.95" customHeight="1" x14ac:dyDescent="0.3">
      <c r="B81" s="41">
        <v>75</v>
      </c>
      <c r="C81" s="39" t="s">
        <v>258</v>
      </c>
      <c r="D81" s="42" t="s">
        <v>116</v>
      </c>
      <c r="E81" s="45" t="s">
        <v>64</v>
      </c>
      <c r="F81" s="46" t="s">
        <v>259</v>
      </c>
      <c r="G81" s="47" t="s">
        <v>227</v>
      </c>
      <c r="H81" s="31"/>
    </row>
    <row r="82" spans="2:8" ht="20.100000000000001" customHeight="1" x14ac:dyDescent="0.3">
      <c r="B82" s="41">
        <v>76</v>
      </c>
      <c r="C82" s="40" t="s">
        <v>291</v>
      </c>
      <c r="D82" s="42" t="s">
        <v>107</v>
      </c>
      <c r="E82" s="45" t="s">
        <v>64</v>
      </c>
      <c r="F82" s="46" t="s">
        <v>293</v>
      </c>
      <c r="G82" s="47" t="s">
        <v>262</v>
      </c>
      <c r="H82" s="31"/>
    </row>
    <row r="83" spans="2:8" ht="20.100000000000001" customHeight="1" x14ac:dyDescent="0.3">
      <c r="B83" s="41">
        <v>77</v>
      </c>
      <c r="C83" s="39" t="s">
        <v>432</v>
      </c>
      <c r="D83" s="39" t="s">
        <v>113</v>
      </c>
      <c r="E83" s="45"/>
      <c r="F83" s="46" t="s">
        <v>433</v>
      </c>
      <c r="G83" s="47"/>
      <c r="H83" s="31"/>
    </row>
    <row r="84" spans="2:8" ht="20.100000000000001" customHeight="1" x14ac:dyDescent="0.3">
      <c r="B84" s="41">
        <v>78</v>
      </c>
      <c r="C84" s="39" t="s">
        <v>174</v>
      </c>
      <c r="D84" s="42" t="s">
        <v>98</v>
      </c>
      <c r="E84" s="45" t="s">
        <v>64</v>
      </c>
      <c r="F84" s="46" t="s">
        <v>477</v>
      </c>
      <c r="G84" s="47" t="s">
        <v>196</v>
      </c>
      <c r="H84" s="31"/>
    </row>
    <row r="85" spans="2:8" ht="20.100000000000001" customHeight="1" x14ac:dyDescent="0.3">
      <c r="B85" s="41">
        <v>79</v>
      </c>
      <c r="C85" s="39" t="s">
        <v>440</v>
      </c>
      <c r="D85" s="42" t="s">
        <v>122</v>
      </c>
      <c r="E85" s="45" t="s">
        <v>64</v>
      </c>
      <c r="F85" s="46" t="s">
        <v>454</v>
      </c>
      <c r="G85" s="47" t="s">
        <v>441</v>
      </c>
      <c r="H85" s="31"/>
    </row>
    <row r="86" spans="2:8" ht="20.100000000000001" customHeight="1" x14ac:dyDescent="0.3">
      <c r="B86" s="41">
        <v>80</v>
      </c>
      <c r="C86" s="39" t="s">
        <v>444</v>
      </c>
      <c r="D86" s="42" t="s">
        <v>86</v>
      </c>
      <c r="E86" s="45" t="s">
        <v>63</v>
      </c>
      <c r="F86" s="46" t="s">
        <v>445</v>
      </c>
      <c r="G86" s="47" t="s">
        <v>446</v>
      </c>
      <c r="H86" s="31"/>
    </row>
    <row r="87" spans="2:8" ht="20.100000000000001" customHeight="1" x14ac:dyDescent="0.3">
      <c r="B87" s="41">
        <v>81</v>
      </c>
      <c r="C87" s="39" t="s">
        <v>352</v>
      </c>
      <c r="D87" s="42" t="s">
        <v>112</v>
      </c>
      <c r="E87" s="45" t="s">
        <v>191</v>
      </c>
      <c r="F87" s="46" t="s">
        <v>356</v>
      </c>
      <c r="G87" s="47" t="s">
        <v>264</v>
      </c>
      <c r="H87" s="31"/>
    </row>
    <row r="88" spans="2:8" ht="20.100000000000001" customHeight="1" x14ac:dyDescent="0.3">
      <c r="B88" s="41">
        <v>82</v>
      </c>
      <c r="C88" s="39" t="s">
        <v>279</v>
      </c>
      <c r="D88" s="42" t="s">
        <v>82</v>
      </c>
      <c r="E88" s="45" t="s">
        <v>65</v>
      </c>
      <c r="F88" s="46" t="s">
        <v>475</v>
      </c>
      <c r="G88" s="47" t="s">
        <v>183</v>
      </c>
      <c r="H88" s="31"/>
    </row>
    <row r="89" spans="2:8" ht="20.100000000000001" customHeight="1" x14ac:dyDescent="0.3">
      <c r="B89" s="41">
        <v>83</v>
      </c>
      <c r="C89" s="39" t="s">
        <v>333</v>
      </c>
      <c r="D89" s="42" t="s">
        <v>109</v>
      </c>
      <c r="E89" s="45" t="s">
        <v>191</v>
      </c>
      <c r="F89" s="46" t="s">
        <v>334</v>
      </c>
      <c r="G89" s="47" t="s">
        <v>335</v>
      </c>
      <c r="H89" s="31"/>
    </row>
    <row r="90" spans="2:8" ht="21.95" customHeight="1" x14ac:dyDescent="0.3">
      <c r="B90" s="41">
        <v>84</v>
      </c>
      <c r="C90" s="39" t="s">
        <v>300</v>
      </c>
      <c r="D90" s="42" t="s">
        <v>297</v>
      </c>
      <c r="E90" s="45" t="s">
        <v>65</v>
      </c>
      <c r="F90" s="46" t="s">
        <v>470</v>
      </c>
      <c r="G90" s="47" t="s">
        <v>227</v>
      </c>
      <c r="H90" s="31"/>
    </row>
    <row r="91" spans="2:8" ht="20.100000000000001" customHeight="1" x14ac:dyDescent="0.3">
      <c r="B91" s="41">
        <v>85</v>
      </c>
      <c r="C91" s="39" t="s">
        <v>419</v>
      </c>
      <c r="D91" s="42" t="s">
        <v>92</v>
      </c>
      <c r="E91" s="45" t="s">
        <v>65</v>
      </c>
      <c r="F91" s="46" t="s">
        <v>420</v>
      </c>
      <c r="G91" s="47" t="s">
        <v>227</v>
      </c>
      <c r="H91" s="31"/>
    </row>
    <row r="92" spans="2:8" ht="20.100000000000001" customHeight="1" x14ac:dyDescent="0.3">
      <c r="B92" s="41">
        <v>86</v>
      </c>
      <c r="C92" s="39" t="s">
        <v>252</v>
      </c>
      <c r="D92" s="42" t="s">
        <v>116</v>
      </c>
      <c r="E92" s="45" t="s">
        <v>65</v>
      </c>
      <c r="F92" s="46" t="s">
        <v>253</v>
      </c>
      <c r="G92" s="47" t="s">
        <v>254</v>
      </c>
      <c r="H92" s="31"/>
    </row>
    <row r="93" spans="2:8" ht="20.100000000000001" customHeight="1" x14ac:dyDescent="0.3">
      <c r="B93" s="41">
        <v>87</v>
      </c>
      <c r="C93" s="39" t="s">
        <v>288</v>
      </c>
      <c r="D93" s="42" t="s">
        <v>131</v>
      </c>
      <c r="E93" s="45" t="s">
        <v>64</v>
      </c>
      <c r="F93" s="46" t="s">
        <v>290</v>
      </c>
      <c r="G93" s="47" t="s">
        <v>289</v>
      </c>
      <c r="H93" s="31"/>
    </row>
    <row r="94" spans="2:8" ht="20.100000000000001" customHeight="1" x14ac:dyDescent="0.3">
      <c r="B94" s="41">
        <v>88</v>
      </c>
      <c r="C94" s="39" t="s">
        <v>285</v>
      </c>
      <c r="D94" s="42" t="s">
        <v>94</v>
      </c>
      <c r="E94" s="45" t="s">
        <v>65</v>
      </c>
      <c r="F94" s="46" t="s">
        <v>286</v>
      </c>
      <c r="G94" s="47" t="s">
        <v>183</v>
      </c>
      <c r="H94" s="31"/>
    </row>
    <row r="95" spans="2:8" ht="20.100000000000001" customHeight="1" x14ac:dyDescent="0.3">
      <c r="B95" s="41">
        <v>89</v>
      </c>
      <c r="C95" s="39" t="s">
        <v>204</v>
      </c>
      <c r="D95" s="42" t="s">
        <v>91</v>
      </c>
      <c r="E95" s="45" t="s">
        <v>64</v>
      </c>
      <c r="F95" s="46" t="s">
        <v>208</v>
      </c>
      <c r="G95" s="47" t="s">
        <v>209</v>
      </c>
      <c r="H95" s="31"/>
    </row>
    <row r="96" spans="2:8" ht="20.100000000000001" customHeight="1" x14ac:dyDescent="0.3">
      <c r="B96" s="41">
        <v>90</v>
      </c>
      <c r="C96" s="39" t="s">
        <v>269</v>
      </c>
      <c r="D96" s="42" t="s">
        <v>114</v>
      </c>
      <c r="E96" s="45" t="s">
        <v>64</v>
      </c>
      <c r="F96" s="46" t="s">
        <v>271</v>
      </c>
      <c r="G96" s="47" t="s">
        <v>272</v>
      </c>
      <c r="H96" s="31"/>
    </row>
    <row r="97" spans="2:8" ht="20.100000000000001" customHeight="1" x14ac:dyDescent="0.3">
      <c r="B97" s="41">
        <v>91</v>
      </c>
      <c r="C97" s="39" t="s">
        <v>168</v>
      </c>
      <c r="D97" s="42" t="s">
        <v>118</v>
      </c>
      <c r="E97" s="45" t="s">
        <v>63</v>
      </c>
      <c r="F97" s="46" t="s">
        <v>169</v>
      </c>
      <c r="G97" s="47" t="s">
        <v>170</v>
      </c>
      <c r="H97" s="31"/>
    </row>
    <row r="98" spans="2:8" ht="20.100000000000001" customHeight="1" x14ac:dyDescent="0.3">
      <c r="B98" s="41">
        <v>92</v>
      </c>
      <c r="C98" s="39" t="s">
        <v>402</v>
      </c>
      <c r="D98" s="42" t="s">
        <v>89</v>
      </c>
      <c r="E98" s="45" t="s">
        <v>63</v>
      </c>
      <c r="F98" s="46" t="s">
        <v>403</v>
      </c>
      <c r="G98" s="47" t="s">
        <v>335</v>
      </c>
      <c r="H98" s="31"/>
    </row>
    <row r="99" spans="2:8" ht="20.100000000000001" customHeight="1" x14ac:dyDescent="0.3">
      <c r="B99" s="41">
        <v>93</v>
      </c>
      <c r="C99" s="39" t="s">
        <v>371</v>
      </c>
      <c r="D99" s="42" t="s">
        <v>370</v>
      </c>
      <c r="E99" s="45" t="s">
        <v>63</v>
      </c>
      <c r="F99" s="46" t="s">
        <v>379</v>
      </c>
      <c r="G99" s="47" t="s">
        <v>380</v>
      </c>
      <c r="H99" s="31"/>
    </row>
    <row r="100" spans="2:8" ht="20.100000000000001" customHeight="1" x14ac:dyDescent="0.3">
      <c r="B100" s="41">
        <v>94</v>
      </c>
      <c r="C100" s="39" t="s">
        <v>207</v>
      </c>
      <c r="D100" s="42" t="s">
        <v>91</v>
      </c>
      <c r="E100" s="45" t="s">
        <v>63</v>
      </c>
      <c r="F100" s="46" t="s">
        <v>205</v>
      </c>
      <c r="G100" s="47" t="s">
        <v>206</v>
      </c>
      <c r="H100" s="31"/>
    </row>
    <row r="101" spans="2:8" ht="20.100000000000001" customHeight="1" x14ac:dyDescent="0.3">
      <c r="B101" s="41">
        <v>95</v>
      </c>
      <c r="C101" s="39" t="s">
        <v>382</v>
      </c>
      <c r="D101" s="42" t="s">
        <v>111</v>
      </c>
      <c r="E101" s="45" t="s">
        <v>191</v>
      </c>
      <c r="F101" s="46" t="s">
        <v>383</v>
      </c>
      <c r="G101" s="47" t="s">
        <v>384</v>
      </c>
      <c r="H101" s="31"/>
    </row>
    <row r="102" spans="2:8" ht="20.100000000000001" customHeight="1" x14ac:dyDescent="0.3">
      <c r="B102" s="41">
        <v>96</v>
      </c>
      <c r="C102" s="39" t="s">
        <v>220</v>
      </c>
      <c r="D102" s="42" t="s">
        <v>217</v>
      </c>
      <c r="E102" s="45" t="s">
        <v>63</v>
      </c>
      <c r="F102" s="46" t="s">
        <v>223</v>
      </c>
      <c r="G102" s="47" t="s">
        <v>221</v>
      </c>
      <c r="H102" s="31"/>
    </row>
    <row r="103" spans="2:8" ht="20.100000000000001" customHeight="1" x14ac:dyDescent="0.3">
      <c r="B103" s="41">
        <v>97</v>
      </c>
      <c r="C103" s="39" t="s">
        <v>438</v>
      </c>
      <c r="D103" s="42" t="s">
        <v>122</v>
      </c>
      <c r="E103" s="45" t="s">
        <v>191</v>
      </c>
      <c r="F103" s="46" t="s">
        <v>439</v>
      </c>
      <c r="G103" s="47" t="s">
        <v>183</v>
      </c>
      <c r="H103" s="31"/>
    </row>
    <row r="104" spans="2:8" ht="21.95" customHeight="1" thickBot="1" x14ac:dyDescent="0.35">
      <c r="B104" s="279">
        <v>98</v>
      </c>
      <c r="C104" s="280" t="s">
        <v>234</v>
      </c>
      <c r="D104" s="281" t="s">
        <v>100</v>
      </c>
      <c r="E104" s="282" t="s">
        <v>63</v>
      </c>
      <c r="F104" s="283" t="s">
        <v>468</v>
      </c>
      <c r="G104" s="284" t="s">
        <v>183</v>
      </c>
      <c r="H104" s="285"/>
    </row>
    <row r="105" spans="2:8" s="1" customFormat="1" ht="30.75" customHeight="1" thickBot="1" x14ac:dyDescent="0.4">
      <c r="B105" s="286">
        <f>SUBTOTAL(3,B7:B104)</f>
        <v>98</v>
      </c>
      <c r="C105" s="286">
        <f t="shared" ref="C105:H105" si="0">SUBTOTAL(3,C7:C104)</f>
        <v>98</v>
      </c>
      <c r="D105" s="286">
        <f t="shared" si="0"/>
        <v>98</v>
      </c>
      <c r="E105" s="286">
        <f t="shared" si="0"/>
        <v>95</v>
      </c>
      <c r="F105" s="286">
        <f t="shared" si="0"/>
        <v>97</v>
      </c>
      <c r="G105" s="286">
        <f t="shared" si="0"/>
        <v>92</v>
      </c>
      <c r="H105" s="278">
        <f t="shared" si="0"/>
        <v>0</v>
      </c>
    </row>
    <row r="106" spans="2:8" ht="19.5" customHeight="1" x14ac:dyDescent="0.3">
      <c r="F106" s="32"/>
      <c r="G106" s="32"/>
    </row>
  </sheetData>
  <autoFilter ref="B6:H103" xr:uid="{00000000-0009-0000-0000-000041000000}"/>
  <sortState xmlns:xlrd2="http://schemas.microsoft.com/office/spreadsheetml/2017/richdata2" ref="B7:G106">
    <sortCondition ref="C7:C106"/>
  </sortState>
  <mergeCells count="1">
    <mergeCell ref="B4:D4"/>
  </mergeCells>
  <pageMargins left="0.7" right="0.7" top="0.75" bottom="0.75" header="0.3" footer="0.3"/>
  <pageSetup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9" tint="-0.499984740745262"/>
  </sheetPr>
  <dimension ref="A1:F10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9.140625" defaultRowHeight="20.100000000000001" customHeight="1" x14ac:dyDescent="0.25"/>
  <cols>
    <col min="1" max="1" width="2.85546875" style="371" customWidth="1"/>
    <col min="2" max="2" width="8.7109375" style="371" customWidth="1"/>
    <col min="3" max="3" width="57.7109375" style="216" bestFit="1" customWidth="1"/>
    <col min="4" max="13" width="9.140625" style="216"/>
    <col min="14" max="14" width="20.85546875" style="216" bestFit="1" customWidth="1"/>
    <col min="15" max="15" width="9.85546875" style="216" bestFit="1" customWidth="1"/>
    <col min="16" max="16384" width="9.140625" style="216"/>
  </cols>
  <sheetData>
    <row r="1" spans="1:3" ht="20.100000000000001" customHeight="1" x14ac:dyDescent="0.25">
      <c r="A1" s="216"/>
    </row>
    <row r="2" spans="1:3" ht="20.100000000000001" customHeight="1" x14ac:dyDescent="0.25">
      <c r="A2" s="216"/>
    </row>
    <row r="3" spans="1:3" ht="24.75" customHeight="1" thickBot="1" x14ac:dyDescent="0.45">
      <c r="A3" s="216"/>
      <c r="B3" s="1135" t="s">
        <v>915</v>
      </c>
      <c r="C3" s="1135"/>
    </row>
    <row r="4" spans="1:3" s="371" customFormat="1" ht="32.25" customHeight="1" thickBot="1" x14ac:dyDescent="0.45">
      <c r="B4" s="372" t="s">
        <v>0</v>
      </c>
      <c r="C4" s="372" t="s">
        <v>57</v>
      </c>
    </row>
    <row r="5" spans="1:3" ht="26.1" customHeight="1" thickTop="1" thickBot="1" x14ac:dyDescent="0.3">
      <c r="A5" s="216"/>
      <c r="B5" s="373">
        <v>1</v>
      </c>
      <c r="C5" s="374" t="s">
        <v>621</v>
      </c>
    </row>
    <row r="6" spans="1:3" ht="26.1" customHeight="1" thickTop="1" thickBot="1" x14ac:dyDescent="0.3">
      <c r="A6" s="216"/>
      <c r="B6" s="373">
        <v>2</v>
      </c>
      <c r="C6" s="375" t="s">
        <v>691</v>
      </c>
    </row>
    <row r="7" spans="1:3" ht="26.1" customHeight="1" thickTop="1" thickBot="1" x14ac:dyDescent="0.3">
      <c r="A7" s="216"/>
      <c r="B7" s="373">
        <v>3</v>
      </c>
      <c r="C7" s="375" t="s">
        <v>501</v>
      </c>
    </row>
    <row r="8" spans="1:3" ht="26.1" customHeight="1" thickTop="1" thickBot="1" x14ac:dyDescent="0.3">
      <c r="A8" s="216"/>
      <c r="B8" s="373">
        <v>4</v>
      </c>
      <c r="C8" s="375" t="s">
        <v>502</v>
      </c>
    </row>
    <row r="9" spans="1:3" ht="26.1" customHeight="1" thickTop="1" thickBot="1" x14ac:dyDescent="0.3">
      <c r="A9" s="216"/>
      <c r="B9" s="373">
        <v>5</v>
      </c>
      <c r="C9" s="375" t="s">
        <v>503</v>
      </c>
    </row>
    <row r="10" spans="1:3" ht="26.1" customHeight="1" thickTop="1" thickBot="1" x14ac:dyDescent="0.3">
      <c r="A10" s="216"/>
      <c r="B10" s="373">
        <v>6</v>
      </c>
      <c r="C10" s="375" t="s">
        <v>504</v>
      </c>
    </row>
    <row r="11" spans="1:3" ht="26.1" customHeight="1" thickTop="1" thickBot="1" x14ac:dyDescent="0.3">
      <c r="A11" s="216"/>
      <c r="B11" s="373">
        <v>7</v>
      </c>
      <c r="C11" s="375" t="s">
        <v>667</v>
      </c>
    </row>
    <row r="12" spans="1:3" ht="26.1" customHeight="1" thickTop="1" thickBot="1" x14ac:dyDescent="0.3">
      <c r="A12" s="216"/>
      <c r="B12" s="373">
        <v>8</v>
      </c>
      <c r="C12" s="375" t="s">
        <v>518</v>
      </c>
    </row>
    <row r="13" spans="1:3" ht="26.1" customHeight="1" thickTop="1" thickBot="1" x14ac:dyDescent="0.3">
      <c r="A13" s="216"/>
      <c r="B13" s="373">
        <v>9</v>
      </c>
      <c r="C13" s="375" t="s">
        <v>686</v>
      </c>
    </row>
    <row r="14" spans="1:3" ht="26.1" customHeight="1" thickTop="1" thickBot="1" x14ac:dyDescent="0.3">
      <c r="A14" s="216"/>
      <c r="B14" s="373">
        <v>10</v>
      </c>
      <c r="C14" s="375" t="s">
        <v>775</v>
      </c>
    </row>
    <row r="15" spans="1:3" ht="26.1" customHeight="1" thickTop="1" thickBot="1" x14ac:dyDescent="0.3">
      <c r="A15" s="216"/>
      <c r="B15" s="373">
        <v>11</v>
      </c>
      <c r="C15" s="375" t="s">
        <v>505</v>
      </c>
    </row>
    <row r="16" spans="1:3" ht="26.1" customHeight="1" thickTop="1" thickBot="1" x14ac:dyDescent="0.3">
      <c r="A16" s="216"/>
      <c r="B16" s="373">
        <v>12</v>
      </c>
      <c r="C16" s="375" t="s">
        <v>506</v>
      </c>
    </row>
    <row r="17" spans="1:6" ht="26.1" customHeight="1" thickTop="1" thickBot="1" x14ac:dyDescent="0.3">
      <c r="A17" s="216"/>
      <c r="B17" s="373">
        <v>13</v>
      </c>
      <c r="C17" s="375" t="s">
        <v>507</v>
      </c>
    </row>
    <row r="18" spans="1:6" ht="26.1" customHeight="1" thickTop="1" thickBot="1" x14ac:dyDescent="0.3">
      <c r="A18" s="216"/>
      <c r="B18" s="373">
        <v>14</v>
      </c>
      <c r="C18" s="375" t="s">
        <v>508</v>
      </c>
    </row>
    <row r="19" spans="1:6" ht="26.1" customHeight="1" thickTop="1" thickBot="1" x14ac:dyDescent="0.3">
      <c r="A19" s="216"/>
      <c r="B19" s="373">
        <v>15</v>
      </c>
      <c r="C19" s="375" t="s">
        <v>509</v>
      </c>
    </row>
    <row r="20" spans="1:6" ht="26.1" customHeight="1" thickTop="1" thickBot="1" x14ac:dyDescent="0.3">
      <c r="A20" s="216"/>
      <c r="B20" s="373">
        <v>16</v>
      </c>
      <c r="C20" s="375" t="s">
        <v>510</v>
      </c>
    </row>
    <row r="21" spans="1:6" ht="26.1" customHeight="1" thickTop="1" thickBot="1" x14ac:dyDescent="0.3">
      <c r="A21" s="216"/>
      <c r="B21" s="373">
        <v>17</v>
      </c>
      <c r="C21" s="375" t="s">
        <v>511</v>
      </c>
    </row>
    <row r="22" spans="1:6" ht="26.1" customHeight="1" thickTop="1" thickBot="1" x14ac:dyDescent="0.3">
      <c r="A22" s="216"/>
      <c r="B22" s="373">
        <v>18</v>
      </c>
      <c r="C22" s="375" t="s">
        <v>512</v>
      </c>
    </row>
    <row r="23" spans="1:6" ht="26.1" customHeight="1" thickTop="1" thickBot="1" x14ac:dyDescent="0.3">
      <c r="A23" s="216"/>
      <c r="B23" s="373">
        <v>19</v>
      </c>
      <c r="C23" s="375" t="s">
        <v>513</v>
      </c>
    </row>
    <row r="24" spans="1:6" ht="26.1" customHeight="1" thickTop="1" thickBot="1" x14ac:dyDescent="0.3">
      <c r="A24" s="216"/>
      <c r="B24" s="373">
        <v>20</v>
      </c>
      <c r="C24" s="375" t="s">
        <v>557</v>
      </c>
    </row>
    <row r="25" spans="1:6" ht="26.1" customHeight="1" thickTop="1" thickBot="1" x14ac:dyDescent="0.3">
      <c r="A25" s="216"/>
      <c r="B25" s="373">
        <v>21</v>
      </c>
      <c r="C25" s="375" t="s">
        <v>514</v>
      </c>
    </row>
    <row r="26" spans="1:6" ht="26.1" customHeight="1" thickTop="1" thickBot="1" x14ac:dyDescent="0.3">
      <c r="A26" s="216"/>
      <c r="B26" s="373">
        <v>22</v>
      </c>
      <c r="C26" s="375" t="s">
        <v>515</v>
      </c>
    </row>
    <row r="27" spans="1:6" ht="26.1" customHeight="1" thickTop="1" thickBot="1" x14ac:dyDescent="0.3">
      <c r="A27" s="216"/>
      <c r="B27" s="373">
        <v>23</v>
      </c>
      <c r="C27" s="375" t="s">
        <v>516</v>
      </c>
    </row>
    <row r="28" spans="1:6" ht="26.1" customHeight="1" thickTop="1" thickBot="1" x14ac:dyDescent="0.3">
      <c r="A28" s="216"/>
      <c r="B28" s="373">
        <v>24</v>
      </c>
      <c r="C28" s="375" t="s">
        <v>763</v>
      </c>
    </row>
    <row r="29" spans="1:6" ht="28.5" customHeight="1" thickTop="1" thickBot="1" x14ac:dyDescent="0.3">
      <c r="A29" s="216"/>
      <c r="B29" s="373">
        <v>25</v>
      </c>
      <c r="C29" s="375" t="s">
        <v>517</v>
      </c>
    </row>
    <row r="30" spans="1:6" ht="27.75" customHeight="1" thickTop="1" thickBot="1" x14ac:dyDescent="0.3">
      <c r="A30" s="216"/>
      <c r="B30" s="373"/>
      <c r="C30" s="375"/>
    </row>
    <row r="31" spans="1:6" s="371" customFormat="1" ht="29.25" customHeight="1" thickTop="1" thickBot="1" x14ac:dyDescent="0.45">
      <c r="B31" s="376">
        <f>SUBTOTAL(3,B5:B29)</f>
        <v>25</v>
      </c>
      <c r="C31" s="377">
        <f>SUBTOTAL(3,C5:C29)</f>
        <v>25</v>
      </c>
      <c r="D31" s="216"/>
    </row>
    <row r="32" spans="1:6" ht="20.100000000000001" customHeight="1" x14ac:dyDescent="0.35">
      <c r="A32" s="216"/>
      <c r="F32" s="81"/>
    </row>
    <row r="33" spans="1:2" ht="20.100000000000001" customHeight="1" x14ac:dyDescent="0.25">
      <c r="A33" s="216"/>
      <c r="B33" s="216"/>
    </row>
    <row r="34" spans="1:2" ht="20.100000000000001" customHeight="1" x14ac:dyDescent="0.25">
      <c r="A34" s="216"/>
      <c r="B34" s="216"/>
    </row>
    <row r="47" spans="1:2" ht="21.95" customHeight="1" x14ac:dyDescent="0.25"/>
    <row r="48" spans="1:2" ht="20.100000000000001" customHeight="1" x14ac:dyDescent="0.25">
      <c r="A48" s="216"/>
      <c r="B48" s="216"/>
    </row>
    <row r="49" s="216" customFormat="1" ht="20.100000000000001" customHeight="1" x14ac:dyDescent="0.25"/>
    <row r="50" s="216" customFormat="1" ht="20.100000000000001" customHeight="1" x14ac:dyDescent="0.25"/>
    <row r="51" s="216" customFormat="1" ht="20.100000000000001" customHeight="1" x14ac:dyDescent="0.25"/>
    <row r="52" s="216" customFormat="1" ht="20.100000000000001" customHeight="1" x14ac:dyDescent="0.25"/>
    <row r="53" s="216" customFormat="1" ht="20.100000000000001" customHeight="1" x14ac:dyDescent="0.25"/>
    <row r="54" s="216" customFormat="1" ht="20.100000000000001" customHeight="1" x14ac:dyDescent="0.25"/>
    <row r="55" s="216" customFormat="1" ht="20.100000000000001" customHeight="1" x14ac:dyDescent="0.25"/>
    <row r="56" s="216" customFormat="1" ht="20.100000000000001" customHeight="1" x14ac:dyDescent="0.25"/>
    <row r="57" s="216" customFormat="1" ht="20.100000000000001" customHeight="1" x14ac:dyDescent="0.25"/>
    <row r="58" s="216" customFormat="1" ht="20.100000000000001" customHeight="1" x14ac:dyDescent="0.25"/>
    <row r="59" s="216" customFormat="1" ht="20.100000000000001" customHeight="1" x14ac:dyDescent="0.25"/>
    <row r="60" s="216" customFormat="1" ht="20.100000000000001" customHeight="1" x14ac:dyDescent="0.25"/>
    <row r="61" s="216" customFormat="1" ht="20.100000000000001" customHeight="1" x14ac:dyDescent="0.25"/>
    <row r="62" s="216" customFormat="1" ht="20.100000000000001" customHeight="1" x14ac:dyDescent="0.25"/>
    <row r="63" s="216" customFormat="1" ht="20.100000000000001" customHeight="1" x14ac:dyDescent="0.25"/>
    <row r="64" s="216" customFormat="1" ht="20.100000000000001" customHeight="1" x14ac:dyDescent="0.25"/>
    <row r="65" s="216" customFormat="1" ht="20.100000000000001" customHeight="1" x14ac:dyDescent="0.25"/>
    <row r="66" s="216" customFormat="1" ht="21.95" customHeight="1" x14ac:dyDescent="0.25"/>
    <row r="67" s="216" customFormat="1" ht="20.100000000000001" customHeight="1" x14ac:dyDescent="0.25"/>
    <row r="68" s="216" customFormat="1" ht="20.100000000000001" customHeight="1" x14ac:dyDescent="0.25"/>
    <row r="69" s="216" customFormat="1" ht="20.100000000000001" customHeight="1" x14ac:dyDescent="0.25"/>
    <row r="70" s="216" customFormat="1" ht="20.100000000000001" customHeight="1" x14ac:dyDescent="0.25"/>
    <row r="71" s="216" customFormat="1" ht="20.100000000000001" customHeight="1" x14ac:dyDescent="0.25"/>
    <row r="72" s="216" customFormat="1" ht="20.100000000000001" customHeight="1" x14ac:dyDescent="0.25"/>
    <row r="73" s="216" customFormat="1" ht="20.100000000000001" customHeight="1" x14ac:dyDescent="0.25"/>
    <row r="74" s="216" customFormat="1" ht="20.100000000000001" customHeight="1" x14ac:dyDescent="0.25"/>
    <row r="75" s="216" customFormat="1" ht="20.100000000000001" customHeight="1" x14ac:dyDescent="0.25"/>
    <row r="76" s="216" customFormat="1" ht="20.100000000000001" customHeight="1" x14ac:dyDescent="0.25"/>
    <row r="77" s="216" customFormat="1" ht="20.100000000000001" customHeight="1" x14ac:dyDescent="0.25"/>
    <row r="78" s="216" customFormat="1" ht="20.100000000000001" customHeight="1" x14ac:dyDescent="0.25"/>
    <row r="79" s="216" customFormat="1" ht="21.95" customHeight="1" x14ac:dyDescent="0.25"/>
    <row r="80" s="216" customFormat="1" ht="20.100000000000001" customHeight="1" x14ac:dyDescent="0.25"/>
    <row r="81" s="216" customFormat="1" ht="20.100000000000001" customHeight="1" x14ac:dyDescent="0.25"/>
    <row r="82" s="216" customFormat="1" ht="20.100000000000001" customHeight="1" x14ac:dyDescent="0.25"/>
    <row r="83" s="216" customFormat="1" ht="20.100000000000001" customHeight="1" x14ac:dyDescent="0.25"/>
    <row r="84" s="216" customFormat="1" ht="20.100000000000001" customHeight="1" x14ac:dyDescent="0.25"/>
    <row r="85" s="216" customFormat="1" ht="20.100000000000001" customHeight="1" x14ac:dyDescent="0.25"/>
    <row r="86" s="216" customFormat="1" ht="20.100000000000001" customHeight="1" x14ac:dyDescent="0.25"/>
    <row r="87" s="216" customFormat="1" ht="20.100000000000001" customHeight="1" x14ac:dyDescent="0.25"/>
    <row r="88" s="216" customFormat="1" ht="21.95" customHeight="1" x14ac:dyDescent="0.25"/>
    <row r="89" s="216" customFormat="1" ht="20.100000000000001" customHeight="1" x14ac:dyDescent="0.25"/>
    <row r="90" s="216" customFormat="1" ht="20.100000000000001" customHeight="1" x14ac:dyDescent="0.25"/>
    <row r="91" s="216" customFormat="1" ht="20.100000000000001" customHeight="1" x14ac:dyDescent="0.25"/>
    <row r="92" s="216" customFormat="1" ht="20.100000000000001" customHeight="1" x14ac:dyDescent="0.25"/>
    <row r="93" s="216" customFormat="1" ht="20.100000000000001" customHeight="1" x14ac:dyDescent="0.25"/>
    <row r="94" s="216" customFormat="1" ht="20.100000000000001" customHeight="1" x14ac:dyDescent="0.25"/>
    <row r="95" s="216" customFormat="1" ht="20.100000000000001" customHeight="1" x14ac:dyDescent="0.25"/>
    <row r="96" s="216" customFormat="1" ht="20.100000000000001" customHeight="1" x14ac:dyDescent="0.25"/>
    <row r="97" s="216" customFormat="1" ht="20.100000000000001" customHeight="1" x14ac:dyDescent="0.25"/>
    <row r="98" s="216" customFormat="1" ht="20.100000000000001" customHeight="1" x14ac:dyDescent="0.25"/>
    <row r="99" s="216" customFormat="1" ht="20.100000000000001" customHeight="1" x14ac:dyDescent="0.25"/>
    <row r="100" s="216" customFormat="1" ht="20.100000000000001" customHeight="1" x14ac:dyDescent="0.25"/>
    <row r="101" s="216" customFormat="1" ht="20.100000000000001" customHeight="1" x14ac:dyDescent="0.25"/>
    <row r="102" s="216" customFormat="1" ht="21.95" customHeight="1" x14ac:dyDescent="0.25"/>
    <row r="103" s="216" customFormat="1" ht="30.75" customHeight="1" x14ac:dyDescent="0.25"/>
    <row r="104" s="216" customFormat="1" ht="19.5" customHeight="1" x14ac:dyDescent="0.25"/>
  </sheetData>
  <mergeCells count="1">
    <mergeCell ref="B3:C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53</vt:i4>
      </vt:variant>
      <vt:variant>
        <vt:lpstr>Named Ranges</vt:lpstr>
      </vt:variant>
      <vt:variant>
        <vt:i4>3</vt:i4>
      </vt:variant>
    </vt:vector>
  </HeadingPairs>
  <TitlesOfParts>
    <vt:vector size="56" baseType="lpstr">
      <vt:lpstr>DASHBOARD</vt:lpstr>
      <vt:lpstr>DUES CONTRIBUTIONS</vt:lpstr>
      <vt:lpstr>LEVY CONTRIBUTIONS</vt:lpstr>
      <vt:lpstr>ACCOUNTS</vt:lpstr>
      <vt:lpstr>TREASURER BILL</vt:lpstr>
      <vt:lpstr>TRADING ACCOUNT</vt:lpstr>
      <vt:lpstr>PERSONAL PROFILE</vt:lpstr>
      <vt:lpstr>RECORDS</vt:lpstr>
      <vt:lpstr>YEARLY DUES FEES</vt:lpstr>
      <vt:lpstr>YEARLY DUES</vt:lpstr>
      <vt:lpstr>MONTHLY DUES 2023</vt:lpstr>
      <vt:lpstr>MONTHLY DUES 2024</vt:lpstr>
      <vt:lpstr>MONTHLY DUES 2025</vt:lpstr>
      <vt:lpstr>MONTHLY DUES 2026</vt:lpstr>
      <vt:lpstr>MONTHLY DUES 2027</vt:lpstr>
      <vt:lpstr>MONTHLY DUES 2028</vt:lpstr>
      <vt:lpstr>MONTHLY DUES 2029</vt:lpstr>
      <vt:lpstr>MONTHLY DUES 2030</vt:lpstr>
      <vt:lpstr>MONTHLY DUES 2031</vt:lpstr>
      <vt:lpstr>MONTHLY DUES 2032</vt:lpstr>
      <vt:lpstr> SPECIAL LEVY FEES</vt:lpstr>
      <vt:lpstr>SPECIAL LEVY</vt:lpstr>
      <vt:lpstr>LEVY DISBURSMENT</vt:lpstr>
      <vt:lpstr>LEVY ACCOUNT</vt:lpstr>
      <vt:lpstr>LEVY TRAIL BALANCE</vt:lpstr>
      <vt:lpstr>MTN MOMO ACCOUNT</vt:lpstr>
      <vt:lpstr>PAYMENT VOUCHERS</vt:lpstr>
      <vt:lpstr>PETTY CASH ACCOUNT</vt:lpstr>
      <vt:lpstr>TRAIL BALANCE</vt:lpstr>
      <vt:lpstr>FIDELITY BANK</vt:lpstr>
      <vt:lpstr>BANK ACCOUNT TEMA</vt:lpstr>
      <vt:lpstr>CHRCK YOUR DUES BALANCE</vt:lpstr>
      <vt:lpstr>CHRCK YOUR LEVY BALANCE</vt:lpstr>
      <vt:lpstr>MEMBERS SHARES DEVIDENT</vt:lpstr>
      <vt:lpstr>CASH FLOW</vt:lpstr>
      <vt:lpstr>TREASURE BILL FOR MEMBERS</vt:lpstr>
      <vt:lpstr>SHARES HOLDINGS</vt:lpstr>
      <vt:lpstr>MEMBERS SHARES HOLDING</vt:lpstr>
      <vt:lpstr>B O G SHARES DEVIDENT </vt:lpstr>
      <vt:lpstr>CHECK YOUR SHARES HOLDING</vt:lpstr>
      <vt:lpstr>TREASURER BILL NO 1</vt:lpstr>
      <vt:lpstr>TREASURER BILL NO 2</vt:lpstr>
      <vt:lpstr>TREASURER BILL NO 3</vt:lpstr>
      <vt:lpstr>TREASURER BILL NO 4</vt:lpstr>
      <vt:lpstr>VEHICLE SHARES HOLDING</vt:lpstr>
      <vt:lpstr>PETTY CASH VEHICLE</vt:lpstr>
      <vt:lpstr>PERSONAL RECORD</vt:lpstr>
      <vt:lpstr>MEMBERS LIST</vt:lpstr>
      <vt:lpstr>PICTURES FOR MEMBERS</vt:lpstr>
      <vt:lpstr>REGISTRATION FORMS</vt:lpstr>
      <vt:lpstr>BRANCHES PASTORS</vt:lpstr>
      <vt:lpstr>ELDERS</vt:lpstr>
      <vt:lpstr>MEMBERS LIST UPPER CACE</vt:lpstr>
      <vt:lpstr>'CHRCK YOUR DUES BALANCE'!_FilterDatabase</vt:lpstr>
      <vt:lpstr>'CHRCK YOUR LEVY BALANCE'!_FilterDatabase</vt:lpstr>
      <vt:lpstr>'PETTY CASH ACCOUNT'!_FilterDatabase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Siaw Danso</dc:creator>
  <cp:lastModifiedBy>Jonathan Danso Siaw</cp:lastModifiedBy>
  <cp:lastPrinted>2026-07-02T20:15:33Z</cp:lastPrinted>
  <dcterms:created xsi:type="dcterms:W3CDTF">2022-04-22T10:12:19Z</dcterms:created>
  <dcterms:modified xsi:type="dcterms:W3CDTF">2026-09-27T19:16:44Z</dcterms:modified>
</cp:coreProperties>
</file>