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os\"/>
    </mc:Choice>
  </mc:AlternateContent>
  <bookViews>
    <workbookView xWindow="0" yWindow="0" windowWidth="20490" windowHeight="7605" activeTab="1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0" i="2" l="1"/>
  <c r="R11" i="2" s="1"/>
  <c r="M15" i="2"/>
  <c r="S20" i="2"/>
  <c r="S11" i="2"/>
  <c r="S10" i="2"/>
  <c r="Q20" i="2"/>
  <c r="M18" i="2"/>
  <c r="M17" i="2"/>
  <c r="M16" i="2" a="1"/>
  <c r="M16" i="2"/>
  <c r="H28" i="2"/>
  <c r="H27" i="2"/>
  <c r="H26" i="2"/>
  <c r="H25" i="2"/>
  <c r="H24" i="2"/>
  <c r="H23" i="2"/>
  <c r="H22" i="2"/>
  <c r="H21" i="2"/>
  <c r="H20" i="2"/>
  <c r="H19" i="2"/>
  <c r="H18" i="2"/>
  <c r="H17" i="2"/>
  <c r="H4" i="2"/>
  <c r="H5" i="2"/>
  <c r="H6" i="2"/>
  <c r="H7" i="2"/>
  <c r="H8" i="2"/>
  <c r="H9" i="2"/>
  <c r="H10" i="2"/>
  <c r="H11" i="2"/>
  <c r="H12" i="2"/>
  <c r="H13" i="2"/>
  <c r="H14" i="2"/>
  <c r="H3" i="2"/>
  <c r="P11" i="2"/>
  <c r="P10" i="2"/>
  <c r="M11" i="2"/>
  <c r="M10" i="2"/>
  <c r="M5" i="2"/>
  <c r="M7" i="2"/>
  <c r="M6" i="2"/>
  <c r="M4" i="2"/>
  <c r="G28" i="2"/>
  <c r="G27" i="2"/>
  <c r="G26" i="2"/>
  <c r="G25" i="2"/>
  <c r="G24" i="2"/>
  <c r="G23" i="2"/>
  <c r="G22" i="2"/>
  <c r="G21" i="2"/>
  <c r="G20" i="2"/>
  <c r="G19" i="2"/>
  <c r="G18" i="2"/>
  <c r="G17" i="2"/>
  <c r="T12" i="1"/>
  <c r="S12" i="1"/>
  <c r="Q12" i="1"/>
  <c r="Q13" i="1"/>
  <c r="R13" i="1"/>
  <c r="R10" i="2" l="1"/>
  <c r="R20" i="2"/>
  <c r="M20" i="2"/>
  <c r="N12" i="1" l="1"/>
  <c r="N11" i="1"/>
  <c r="N13" i="1"/>
  <c r="J4" i="1"/>
  <c r="J5" i="1"/>
  <c r="J6" i="1"/>
  <c r="J7" i="1"/>
  <c r="J8" i="1"/>
  <c r="J9" i="1"/>
  <c r="J10" i="1"/>
  <c r="J11" i="1"/>
  <c r="J12" i="1"/>
  <c r="J13" i="1"/>
  <c r="J14" i="1"/>
  <c r="J17" i="1"/>
  <c r="J18" i="1"/>
  <c r="J19" i="1"/>
  <c r="J20" i="1"/>
  <c r="J21" i="1"/>
  <c r="J22" i="1"/>
  <c r="J23" i="1"/>
  <c r="J24" i="1"/>
  <c r="J25" i="1"/>
  <c r="J26" i="1"/>
  <c r="J27" i="1"/>
  <c r="J28" i="1"/>
  <c r="J3" i="1"/>
  <c r="N9" i="1"/>
  <c r="N8" i="1"/>
  <c r="N7" i="1"/>
  <c r="N5" i="1" a="1"/>
  <c r="N5" i="1" s="1"/>
  <c r="N4" i="1"/>
  <c r="I18" i="1"/>
  <c r="I19" i="1"/>
  <c r="I20" i="1"/>
  <c r="I21" i="1"/>
  <c r="I22" i="1"/>
  <c r="I23" i="1"/>
  <c r="I24" i="1"/>
  <c r="I25" i="1"/>
  <c r="I26" i="1"/>
  <c r="I27" i="1"/>
  <c r="I28" i="1"/>
  <c r="I17" i="1"/>
  <c r="I4" i="1"/>
  <c r="I5" i="1"/>
  <c r="I6" i="1"/>
  <c r="I7" i="1"/>
  <c r="I8" i="1"/>
  <c r="I9" i="1"/>
  <c r="I10" i="1"/>
  <c r="I11" i="1"/>
  <c r="I12" i="1"/>
  <c r="I13" i="1"/>
  <c r="I14" i="1"/>
  <c r="I3" i="1"/>
  <c r="H18" i="1"/>
  <c r="H19" i="1"/>
  <c r="H20" i="1"/>
  <c r="H21" i="1"/>
  <c r="H22" i="1"/>
  <c r="H23" i="1"/>
  <c r="H24" i="1"/>
  <c r="H25" i="1"/>
  <c r="H26" i="1"/>
  <c r="H27" i="1"/>
  <c r="H28" i="1"/>
  <c r="H17" i="1"/>
  <c r="H4" i="1"/>
  <c r="H5" i="1"/>
  <c r="H6" i="1"/>
  <c r="H7" i="1"/>
  <c r="H8" i="1"/>
  <c r="H9" i="1"/>
  <c r="H10" i="1"/>
  <c r="H11" i="1"/>
  <c r="H12" i="1"/>
  <c r="H13" i="1"/>
  <c r="H14" i="1"/>
  <c r="H3" i="1"/>
  <c r="N3" i="1"/>
  <c r="G18" i="1" l="1"/>
  <c r="G19" i="1"/>
  <c r="G20" i="1"/>
  <c r="G21" i="1"/>
  <c r="G22" i="1"/>
  <c r="G23" i="1"/>
  <c r="G24" i="1"/>
  <c r="G25" i="1"/>
  <c r="G26" i="1"/>
  <c r="G27" i="1"/>
  <c r="G28" i="1"/>
  <c r="G17" i="1"/>
</calcChain>
</file>

<file path=xl/sharedStrings.xml><?xml version="1.0" encoding="utf-8"?>
<sst xmlns="http://schemas.openxmlformats.org/spreadsheetml/2006/main" count="123" uniqueCount="44">
  <si>
    <t>Sequence</t>
  </si>
  <si>
    <t>Subject</t>
  </si>
  <si>
    <t>RT</t>
  </si>
  <si>
    <t>P1</t>
  </si>
  <si>
    <t>P2</t>
  </si>
  <si>
    <t>Total Subj</t>
  </si>
  <si>
    <t>P.D.</t>
  </si>
  <si>
    <t>C.D.</t>
  </si>
  <si>
    <t>TR</t>
  </si>
  <si>
    <t>\bar{Y}_{i·k}</t>
  </si>
  <si>
    <t>\bar{Y}_{···}</t>
  </si>
  <si>
    <t>\bar{Y}_{i·k}-\bar{Y}_{···}</t>
  </si>
  <si>
    <t>SS_{between}</t>
  </si>
  <si>
    <t>SS_{within}</t>
  </si>
  <si>
    <t>\bar{Y}_{··1}</t>
  </si>
  <si>
    <t>\bar{Y}_{··2}</t>
  </si>
  <si>
    <t>Y_{i·k}^{2}</t>
  </si>
  <si>
    <t>sum(Y_{i·k}^{2})</t>
  </si>
  <si>
    <t>SS_{inter}</t>
  </si>
  <si>
    <t>SS_{carry}</t>
  </si>
  <si>
    <t>MS_{inter}</t>
  </si>
  <si>
    <t>MS_{carry}</t>
  </si>
  <si>
    <t>F_{CALC}</t>
  </si>
  <si>
    <t>F_{TAB}</t>
  </si>
  <si>
    <t>g_{L}</t>
  </si>
  <si>
    <t>SS_{drug}</t>
  </si>
  <si>
    <t>1)</t>
  </si>
  <si>
    <t>2)</t>
  </si>
  <si>
    <t>3)</t>
  </si>
  <si>
    <t>4)</t>
  </si>
  <si>
    <t>S1|P1</t>
  </si>
  <si>
    <t>S1|P2</t>
  </si>
  <si>
    <t>S2|P1</t>
  </si>
  <si>
    <t>S2|P2</t>
  </si>
  <si>
    <t>MSE_{drug}</t>
  </si>
  <si>
    <t>SS_{period}</t>
  </si>
  <si>
    <t>MSE_{period}</t>
  </si>
  <si>
    <t>SS_{intra}</t>
  </si>
  <si>
    <t>A)</t>
  </si>
  <si>
    <t>B)</t>
  </si>
  <si>
    <t>C)</t>
  </si>
  <si>
    <t>D)</t>
  </si>
  <si>
    <t>Y_{i·k}</t>
  </si>
  <si>
    <t>MSE_{intra}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</si>
</sst>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6" formatCode="0.0000"/>
    <numFmt numFmtId="168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1" fontId="1" fillId="0" borderId="0" xfId="0" applyNumberFormat="1" applyFont="1"/>
    <xf numFmtId="0" fontId="2" fillId="0" borderId="1" xfId="0" applyFont="1" applyBorder="1"/>
    <xf numFmtId="11" fontId="1" fillId="0" borderId="1" xfId="0" applyNumberFormat="1" applyFont="1" applyBorder="1"/>
    <xf numFmtId="166" fontId="1" fillId="0" borderId="0" xfId="0" applyNumberFormat="1" applyFont="1" applyBorder="1" applyAlignment="1">
      <alignment horizontal="center" vertical="center"/>
    </xf>
    <xf numFmtId="0" fontId="2" fillId="2" borderId="1" xfId="0" applyFont="1" applyFill="1" applyBorder="1"/>
    <xf numFmtId="2" fontId="1" fillId="2" borderId="1" xfId="0" applyNumberFormat="1" applyFont="1" applyFill="1" applyBorder="1"/>
    <xf numFmtId="0" fontId="1" fillId="2" borderId="1" xfId="0" applyFont="1" applyFill="1" applyBorder="1"/>
    <xf numFmtId="164" fontId="1" fillId="0" borderId="1" xfId="0" applyNumberFormat="1" applyFont="1" applyBorder="1"/>
    <xf numFmtId="168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6" fontId="1" fillId="2" borderId="1" xfId="0" applyNumberFormat="1" applyFont="1" applyFill="1" applyBorder="1"/>
    <xf numFmtId="0" fontId="1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1" xfId="0" applyFont="1" applyFill="1" applyBorder="1"/>
    <xf numFmtId="11" fontId="1" fillId="3" borderId="1" xfId="0" applyNumberFormat="1" applyFont="1" applyFill="1" applyBorder="1"/>
    <xf numFmtId="16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/>
    <xf numFmtId="2" fontId="1" fillId="3" borderId="1" xfId="0" applyNumberFormat="1" applyFont="1" applyFill="1" applyBorder="1"/>
    <xf numFmtId="2" fontId="1" fillId="3" borderId="1" xfId="0" applyNumberFormat="1" applyFont="1" applyFill="1" applyBorder="1" applyAlignment="1">
      <alignment horizontal="center"/>
    </xf>
    <xf numFmtId="2" fontId="1" fillId="4" borderId="1" xfId="0" applyNumberFormat="1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showGridLines="0" workbookViewId="0">
      <selection activeCell="T12" sqref="T12"/>
    </sheetView>
  </sheetViews>
  <sheetFormatPr baseColWidth="10" defaultRowHeight="11.25" x14ac:dyDescent="0.2"/>
  <cols>
    <col min="1" max="2" width="11.42578125" style="1"/>
    <col min="3" max="3" width="9" style="1" customWidth="1"/>
    <col min="4" max="4" width="8.42578125" style="1" customWidth="1"/>
    <col min="5" max="5" width="9" style="1" customWidth="1"/>
    <col min="6" max="6" width="7.7109375" style="1" customWidth="1"/>
    <col min="7" max="7" width="8.5703125" style="1" customWidth="1"/>
    <col min="8" max="8" width="9.28515625" style="9" bestFit="1" customWidth="1"/>
    <col min="9" max="9" width="17.85546875" style="9" bestFit="1" customWidth="1"/>
    <col min="10" max="10" width="8" style="9" bestFit="1" customWidth="1"/>
    <col min="11" max="11" width="11.42578125" style="9"/>
    <col min="12" max="12" width="11.42578125" style="1"/>
    <col min="13" max="13" width="11.5703125" style="1" bestFit="1" customWidth="1"/>
    <col min="14" max="14" width="8" style="1" customWidth="1"/>
    <col min="15" max="16" width="8.85546875" style="1" customWidth="1"/>
    <col min="17" max="17" width="5.7109375" style="1" bestFit="1" customWidth="1"/>
    <col min="18" max="18" width="6.42578125" style="1" customWidth="1"/>
    <col min="19" max="19" width="7" style="8" customWidth="1"/>
    <col min="20" max="20" width="7" style="1" customWidth="1"/>
    <col min="21" max="21" width="7.85546875" style="1" customWidth="1"/>
    <col min="22" max="16384" width="11.42578125" style="1"/>
  </cols>
  <sheetData>
    <row r="1" spans="1:20" x14ac:dyDescent="0.2">
      <c r="A1" s="1">
        <v>1</v>
      </c>
    </row>
    <row r="2" spans="1:20" x14ac:dyDescent="0.2">
      <c r="A2" s="5" t="s">
        <v>0</v>
      </c>
      <c r="B2" s="5" t="s">
        <v>1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0" t="s">
        <v>9</v>
      </c>
      <c r="I2" s="10" t="s">
        <v>11</v>
      </c>
      <c r="J2" s="10" t="s">
        <v>16</v>
      </c>
      <c r="N2" s="2"/>
    </row>
    <row r="3" spans="1:20" x14ac:dyDescent="0.2">
      <c r="A3" s="3" t="s">
        <v>2</v>
      </c>
      <c r="B3" s="3">
        <v>1</v>
      </c>
      <c r="C3" s="4">
        <v>74.674999999999997</v>
      </c>
      <c r="D3" s="4">
        <v>73.674999999999997</v>
      </c>
      <c r="E3" s="4">
        <v>148.35</v>
      </c>
      <c r="F3" s="4">
        <v>-1</v>
      </c>
      <c r="G3" s="4">
        <v>-1</v>
      </c>
      <c r="H3" s="11">
        <f>(C3+D3)/2</f>
        <v>74.174999999999997</v>
      </c>
      <c r="I3" s="12">
        <f>H3-$N$3</f>
        <v>-7.2406249999999943</v>
      </c>
      <c r="J3" s="21">
        <f>(C3+D3)^2</f>
        <v>22007.7225</v>
      </c>
      <c r="M3" s="14" t="s">
        <v>10</v>
      </c>
      <c r="N3" s="20">
        <f>AVERAGE(C3:C14,D3:D14,C17:C28,D17:D28)</f>
        <v>81.415624999999991</v>
      </c>
    </row>
    <row r="4" spans="1:20" x14ac:dyDescent="0.2">
      <c r="A4" s="3" t="s">
        <v>2</v>
      </c>
      <c r="B4" s="3">
        <v>4</v>
      </c>
      <c r="C4" s="4">
        <v>96.4</v>
      </c>
      <c r="D4" s="4">
        <v>93.25</v>
      </c>
      <c r="E4" s="4">
        <v>189.65</v>
      </c>
      <c r="F4" s="4">
        <v>-3.15</v>
      </c>
      <c r="G4" s="4">
        <v>-3.15</v>
      </c>
      <c r="H4" s="11">
        <f t="shared" ref="H4:H14" si="0">(C4+D4)/2</f>
        <v>94.825000000000003</v>
      </c>
      <c r="I4" s="12">
        <f t="shared" ref="I4:I14" si="1">H4-$N$3</f>
        <v>13.409375000000011</v>
      </c>
      <c r="J4" s="21">
        <f t="shared" ref="J4:J28" si="2">(C4+D4)^2</f>
        <v>35967.122500000005</v>
      </c>
      <c r="M4" s="17" t="s">
        <v>12</v>
      </c>
      <c r="N4" s="18">
        <f>2*SUMSQ(I3:I14,I17:I28)</f>
        <v>16487.488906250001</v>
      </c>
      <c r="O4" s="6"/>
    </row>
    <row r="5" spans="1:20" x14ac:dyDescent="0.2">
      <c r="A5" s="3" t="s">
        <v>2</v>
      </c>
      <c r="B5" s="3">
        <v>5</v>
      </c>
      <c r="C5" s="4">
        <v>101.95</v>
      </c>
      <c r="D5" s="4">
        <v>102.125</v>
      </c>
      <c r="E5" s="4">
        <v>204.07499999999999</v>
      </c>
      <c r="F5" s="4">
        <v>0.17499999999999999</v>
      </c>
      <c r="G5" s="3">
        <v>0.17499999999999999</v>
      </c>
      <c r="H5" s="11">
        <f t="shared" si="0"/>
        <v>102.03749999999999</v>
      </c>
      <c r="I5" s="12">
        <f t="shared" si="1"/>
        <v>20.621875000000003</v>
      </c>
      <c r="J5" s="21">
        <f t="shared" si="2"/>
        <v>41646.605624999997</v>
      </c>
      <c r="M5" s="17" t="s">
        <v>13</v>
      </c>
      <c r="N5" s="19">
        <f t="array" ref="N5">SUMSQ(D17:D28-$H17:$H28,C17:C28-$H17:$H28,D3:D14-$H3:$H14,C3:C14-$H3:$H14)</f>
        <v>3778.1881250000001</v>
      </c>
    </row>
    <row r="6" spans="1:20" x14ac:dyDescent="0.2">
      <c r="A6" s="3" t="s">
        <v>2</v>
      </c>
      <c r="B6" s="3">
        <v>6</v>
      </c>
      <c r="C6" s="4">
        <v>79.05</v>
      </c>
      <c r="D6" s="4">
        <v>69.45</v>
      </c>
      <c r="E6" s="4">
        <v>148.5</v>
      </c>
      <c r="F6" s="4">
        <v>-9.6</v>
      </c>
      <c r="G6" s="4">
        <v>-9.6</v>
      </c>
      <c r="H6" s="11">
        <f t="shared" si="0"/>
        <v>74.25</v>
      </c>
      <c r="I6" s="12">
        <f t="shared" si="1"/>
        <v>-7.1656249999999915</v>
      </c>
      <c r="J6" s="21">
        <f t="shared" si="2"/>
        <v>22052.25</v>
      </c>
    </row>
    <row r="7" spans="1:20" x14ac:dyDescent="0.2">
      <c r="A7" s="3" t="s">
        <v>2</v>
      </c>
      <c r="B7" s="3">
        <v>11</v>
      </c>
      <c r="C7" s="4">
        <v>79.05</v>
      </c>
      <c r="D7" s="4">
        <v>69.025000000000006</v>
      </c>
      <c r="E7" s="4">
        <v>148.07499999999999</v>
      </c>
      <c r="F7" s="4">
        <v>-10.025</v>
      </c>
      <c r="G7" s="4">
        <v>-10.025</v>
      </c>
      <c r="H7" s="11">
        <f t="shared" si="0"/>
        <v>74.037499999999994</v>
      </c>
      <c r="I7" s="12">
        <f t="shared" si="1"/>
        <v>-7.3781249999999972</v>
      </c>
      <c r="J7" s="21">
        <f t="shared" si="2"/>
        <v>21926.205624999995</v>
      </c>
      <c r="M7" s="14" t="s">
        <v>14</v>
      </c>
      <c r="N7" s="15">
        <f>SUM(C3:D14)^2</f>
        <v>4046232.8256250005</v>
      </c>
    </row>
    <row r="8" spans="1:20" x14ac:dyDescent="0.2">
      <c r="A8" s="3" t="s">
        <v>2</v>
      </c>
      <c r="B8" s="3">
        <v>12</v>
      </c>
      <c r="C8" s="4">
        <v>85.95</v>
      </c>
      <c r="D8" s="4">
        <v>68.7</v>
      </c>
      <c r="E8" s="4">
        <v>154.65</v>
      </c>
      <c r="F8" s="4">
        <v>-17.25</v>
      </c>
      <c r="G8" s="4">
        <v>-17.25</v>
      </c>
      <c r="H8" s="11">
        <f t="shared" si="0"/>
        <v>77.325000000000003</v>
      </c>
      <c r="I8" s="12">
        <f t="shared" si="1"/>
        <v>-4.0906249999999886</v>
      </c>
      <c r="J8" s="21">
        <f t="shared" si="2"/>
        <v>23916.622500000001</v>
      </c>
      <c r="M8" s="14" t="s">
        <v>15</v>
      </c>
      <c r="N8" s="15">
        <f>SUM(C17:D28)^2</f>
        <v>3596427.7806249987</v>
      </c>
    </row>
    <row r="9" spans="1:20" x14ac:dyDescent="0.2">
      <c r="A9" s="3" t="s">
        <v>2</v>
      </c>
      <c r="B9" s="3">
        <v>15</v>
      </c>
      <c r="C9" s="4">
        <v>69.724999999999994</v>
      </c>
      <c r="D9" s="4">
        <v>59.424999999999997</v>
      </c>
      <c r="E9" s="4">
        <v>129.15</v>
      </c>
      <c r="F9" s="4">
        <v>-10.3</v>
      </c>
      <c r="G9" s="4">
        <v>-10.3</v>
      </c>
      <c r="H9" s="11">
        <f t="shared" si="0"/>
        <v>64.574999999999989</v>
      </c>
      <c r="I9" s="12">
        <f t="shared" si="1"/>
        <v>-16.840625000000003</v>
      </c>
      <c r="J9" s="21">
        <f t="shared" si="2"/>
        <v>16679.722499999993</v>
      </c>
      <c r="N9" s="15">
        <f>SUM(N7/24,N8/24)</f>
        <v>318444.1919270833</v>
      </c>
    </row>
    <row r="10" spans="1:20" x14ac:dyDescent="0.2">
      <c r="A10" s="3" t="s">
        <v>2</v>
      </c>
      <c r="B10" s="3">
        <v>16</v>
      </c>
      <c r="C10" s="4">
        <v>86.275000000000006</v>
      </c>
      <c r="D10" s="4">
        <v>76.125</v>
      </c>
      <c r="E10" s="4">
        <v>162.4</v>
      </c>
      <c r="F10" s="4">
        <v>-10.15</v>
      </c>
      <c r="G10" s="4">
        <v>-10.15</v>
      </c>
      <c r="H10" s="11">
        <f t="shared" si="0"/>
        <v>81.2</v>
      </c>
      <c r="I10" s="12">
        <f t="shared" si="1"/>
        <v>-0.21562499999998863</v>
      </c>
      <c r="J10" s="21">
        <f t="shared" si="2"/>
        <v>26373.760000000002</v>
      </c>
    </row>
    <row r="11" spans="1:20" ht="12.75" x14ac:dyDescent="0.25">
      <c r="A11" s="3" t="s">
        <v>2</v>
      </c>
      <c r="B11" s="3">
        <v>19</v>
      </c>
      <c r="C11" s="4">
        <v>112.675</v>
      </c>
      <c r="D11" s="4">
        <v>114.875</v>
      </c>
      <c r="E11" s="4">
        <v>227.55</v>
      </c>
      <c r="F11" s="4">
        <v>2.2000000000000002</v>
      </c>
      <c r="G11" s="3">
        <v>2.2000000000000002</v>
      </c>
      <c r="H11" s="11">
        <f t="shared" si="0"/>
        <v>113.77500000000001</v>
      </c>
      <c r="I11" s="12">
        <f t="shared" si="1"/>
        <v>32.359375000000014</v>
      </c>
      <c r="J11" s="21">
        <f t="shared" si="2"/>
        <v>51779.002500000002</v>
      </c>
      <c r="M11" s="10" t="s">
        <v>17</v>
      </c>
      <c r="N11" s="15">
        <f>SUM(J3:J14,J17:J28)/2</f>
        <v>334655.68062500004</v>
      </c>
      <c r="R11" s="22" t="s">
        <v>24</v>
      </c>
      <c r="S11" s="22" t="s">
        <v>22</v>
      </c>
      <c r="T11" s="22" t="s">
        <v>23</v>
      </c>
    </row>
    <row r="12" spans="1:20" x14ac:dyDescent="0.2">
      <c r="A12" s="3" t="s">
        <v>2</v>
      </c>
      <c r="B12" s="3">
        <v>20</v>
      </c>
      <c r="C12" s="4">
        <v>99.525000000000006</v>
      </c>
      <c r="D12" s="4">
        <v>116.25</v>
      </c>
      <c r="E12" s="4">
        <v>215.77500000000001</v>
      </c>
      <c r="F12" s="4">
        <v>-16.725000000000001</v>
      </c>
      <c r="G12" s="4">
        <v>-16.725000000000001</v>
      </c>
      <c r="H12" s="11">
        <f t="shared" si="0"/>
        <v>107.8875</v>
      </c>
      <c r="I12" s="12">
        <f t="shared" si="1"/>
        <v>26.471875000000011</v>
      </c>
      <c r="J12" s="21">
        <f t="shared" si="2"/>
        <v>46558.850624999999</v>
      </c>
      <c r="M12" s="17" t="s">
        <v>19</v>
      </c>
      <c r="N12" s="18">
        <f>(12*12)/(2*24)*(-(AVERAGE(C3:C14)+AVERAGE(D3:D14))+(AVERAGE(C17:C28)+AVERAGE(D17:D28)))^2</f>
        <v>276.00020833333343</v>
      </c>
      <c r="P12" s="17" t="s">
        <v>21</v>
      </c>
      <c r="Q12" s="18">
        <f>$N$12/$R$12</f>
        <v>276.00020833333343</v>
      </c>
      <c r="R12" s="23">
        <v>1</v>
      </c>
      <c r="S12" s="24">
        <f>$Q$12/$Q$13</f>
        <v>0.37454947515792436</v>
      </c>
      <c r="T12" s="24">
        <f>_xlfn.F.INV.RT(0.05,$R$12,$R$13)</f>
        <v>4.3009495017776587</v>
      </c>
    </row>
    <row r="13" spans="1:20" x14ac:dyDescent="0.2">
      <c r="A13" s="3" t="s">
        <v>2</v>
      </c>
      <c r="B13" s="3">
        <v>23</v>
      </c>
      <c r="C13" s="4">
        <v>89.424999999999997</v>
      </c>
      <c r="D13" s="4">
        <v>64.174999999999997</v>
      </c>
      <c r="E13" s="4">
        <v>153.6</v>
      </c>
      <c r="F13" s="4">
        <v>-25.25</v>
      </c>
      <c r="G13" s="4">
        <v>25.25</v>
      </c>
      <c r="H13" s="11">
        <f t="shared" si="0"/>
        <v>76.8</v>
      </c>
      <c r="I13" s="12">
        <f t="shared" si="1"/>
        <v>-4.6156249999999943</v>
      </c>
      <c r="J13" s="21">
        <f t="shared" si="2"/>
        <v>23592.959999999999</v>
      </c>
      <c r="M13" s="17" t="s">
        <v>18</v>
      </c>
      <c r="N13" s="18">
        <f>N11-N9</f>
        <v>16211.488697916735</v>
      </c>
      <c r="P13" s="17" t="s">
        <v>20</v>
      </c>
      <c r="Q13" s="18">
        <f>$N$13/$R$13</f>
        <v>736.88584990530615</v>
      </c>
      <c r="R13" s="23">
        <f>24-2</f>
        <v>22</v>
      </c>
      <c r="S13" s="1"/>
    </row>
    <row r="14" spans="1:20" x14ac:dyDescent="0.2">
      <c r="A14" s="3" t="s">
        <v>2</v>
      </c>
      <c r="B14" s="3">
        <v>24</v>
      </c>
      <c r="C14" s="4">
        <v>55.174999999999997</v>
      </c>
      <c r="D14" s="4">
        <v>74.575000000000003</v>
      </c>
      <c r="E14" s="4">
        <v>129.75</v>
      </c>
      <c r="F14" s="4">
        <v>19.399999999999999</v>
      </c>
      <c r="G14" s="3">
        <v>19.399999999999999</v>
      </c>
      <c r="H14" s="11">
        <f t="shared" si="0"/>
        <v>64.875</v>
      </c>
      <c r="I14" s="12">
        <f t="shared" si="1"/>
        <v>-16.540624999999991</v>
      </c>
      <c r="J14" s="21">
        <f t="shared" si="2"/>
        <v>16835.0625</v>
      </c>
    </row>
    <row r="15" spans="1:20" x14ac:dyDescent="0.2">
      <c r="A15" s="1">
        <v>2</v>
      </c>
      <c r="J15" s="16"/>
    </row>
    <row r="16" spans="1:20" x14ac:dyDescent="0.2">
      <c r="A16" s="5" t="s">
        <v>0</v>
      </c>
      <c r="B16" s="5" t="s">
        <v>1</v>
      </c>
      <c r="C16" s="5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10" t="s">
        <v>9</v>
      </c>
      <c r="I16" s="10" t="s">
        <v>11</v>
      </c>
      <c r="J16" s="10" t="s">
        <v>16</v>
      </c>
    </row>
    <row r="17" spans="1:16" x14ac:dyDescent="0.2">
      <c r="A17" s="3" t="s">
        <v>8</v>
      </c>
      <c r="B17" s="3">
        <v>2</v>
      </c>
      <c r="C17" s="4">
        <v>74.825000000000003</v>
      </c>
      <c r="D17" s="4">
        <v>37.35</v>
      </c>
      <c r="E17" s="4">
        <v>112.175</v>
      </c>
      <c r="F17" s="4">
        <v>-37.475000000000001</v>
      </c>
      <c r="G17" s="4">
        <f>-F17</f>
        <v>37.475000000000001</v>
      </c>
      <c r="H17" s="11">
        <f>(C17+D17)/2</f>
        <v>56.087500000000006</v>
      </c>
      <c r="I17" s="12">
        <f t="shared" ref="I17:I28" si="3">H17-$N$3</f>
        <v>-25.328124999999986</v>
      </c>
      <c r="J17" s="21">
        <f t="shared" si="2"/>
        <v>12583.230625000002</v>
      </c>
    </row>
    <row r="18" spans="1:16" x14ac:dyDescent="0.2">
      <c r="A18" s="3" t="s">
        <v>8</v>
      </c>
      <c r="B18" s="3">
        <v>3</v>
      </c>
      <c r="C18" s="4">
        <v>86.875</v>
      </c>
      <c r="D18" s="4">
        <v>51.924999999999997</v>
      </c>
      <c r="E18" s="4">
        <v>138.80000000000001</v>
      </c>
      <c r="F18" s="4">
        <v>-34.950000000000003</v>
      </c>
      <c r="G18" s="4">
        <f t="shared" ref="G18:G28" si="4">-F18</f>
        <v>34.950000000000003</v>
      </c>
      <c r="H18" s="11">
        <f t="shared" ref="H18:H28" si="5">(C18+D18)/2</f>
        <v>69.400000000000006</v>
      </c>
      <c r="I18" s="12">
        <f t="shared" si="3"/>
        <v>-12.015624999999986</v>
      </c>
      <c r="J18" s="21">
        <f t="shared" si="2"/>
        <v>19265.440000000002</v>
      </c>
    </row>
    <row r="19" spans="1:16" x14ac:dyDescent="0.2">
      <c r="A19" s="3" t="s">
        <v>8</v>
      </c>
      <c r="B19" s="3">
        <v>7</v>
      </c>
      <c r="C19" s="4">
        <v>81.674999999999997</v>
      </c>
      <c r="D19" s="4">
        <v>72.174999999999997</v>
      </c>
      <c r="E19" s="4">
        <v>153.85</v>
      </c>
      <c r="F19" s="4">
        <v>-9.5</v>
      </c>
      <c r="G19" s="4">
        <f t="shared" si="4"/>
        <v>9.5</v>
      </c>
      <c r="H19" s="11">
        <f t="shared" si="5"/>
        <v>76.924999999999997</v>
      </c>
      <c r="I19" s="12">
        <f t="shared" si="3"/>
        <v>-4.4906249999999943</v>
      </c>
      <c r="J19" s="21">
        <f t="shared" si="2"/>
        <v>23669.822499999998</v>
      </c>
    </row>
    <row r="20" spans="1:16" x14ac:dyDescent="0.2">
      <c r="A20" s="3" t="s">
        <v>8</v>
      </c>
      <c r="B20" s="3">
        <v>8</v>
      </c>
      <c r="C20" s="4">
        <v>92.7</v>
      </c>
      <c r="D20" s="4">
        <v>77.5</v>
      </c>
      <c r="E20" s="4">
        <v>170.2</v>
      </c>
      <c r="F20" s="4">
        <v>-15.2</v>
      </c>
      <c r="G20" s="4">
        <f t="shared" si="4"/>
        <v>15.2</v>
      </c>
      <c r="H20" s="11">
        <f t="shared" si="5"/>
        <v>85.1</v>
      </c>
      <c r="I20" s="12">
        <f t="shared" si="3"/>
        <v>3.6843750000000028</v>
      </c>
      <c r="J20" s="21">
        <f t="shared" si="2"/>
        <v>28968.039999999997</v>
      </c>
    </row>
    <row r="21" spans="1:16" x14ac:dyDescent="0.2">
      <c r="A21" s="3" t="s">
        <v>8</v>
      </c>
      <c r="B21" s="3">
        <v>9</v>
      </c>
      <c r="C21" s="4">
        <v>50.45</v>
      </c>
      <c r="D21" s="4">
        <v>71.875</v>
      </c>
      <c r="E21" s="4">
        <v>122.325</v>
      </c>
      <c r="F21" s="4">
        <v>21.425000000000001</v>
      </c>
      <c r="G21" s="4">
        <f t="shared" si="4"/>
        <v>-21.425000000000001</v>
      </c>
      <c r="H21" s="11">
        <f t="shared" si="5"/>
        <v>61.162500000000001</v>
      </c>
      <c r="I21" s="12">
        <f t="shared" si="3"/>
        <v>-20.25312499999999</v>
      </c>
      <c r="J21" s="21">
        <f t="shared" si="2"/>
        <v>14963.405625000001</v>
      </c>
    </row>
    <row r="22" spans="1:16" x14ac:dyDescent="0.2">
      <c r="A22" s="3" t="s">
        <v>8</v>
      </c>
      <c r="B22" s="3">
        <v>10</v>
      </c>
      <c r="C22" s="4">
        <v>66.125</v>
      </c>
      <c r="D22" s="4">
        <v>94.025000000000006</v>
      </c>
      <c r="E22" s="4">
        <v>160.15</v>
      </c>
      <c r="F22" s="4">
        <v>27.9</v>
      </c>
      <c r="G22" s="4">
        <f t="shared" si="4"/>
        <v>-27.9</v>
      </c>
      <c r="H22" s="11">
        <f t="shared" si="5"/>
        <v>80.075000000000003</v>
      </c>
      <c r="I22" s="12">
        <f t="shared" si="3"/>
        <v>-1.3406249999999886</v>
      </c>
      <c r="J22" s="21">
        <f t="shared" si="2"/>
        <v>25648.022500000003</v>
      </c>
      <c r="M22" s="2"/>
    </row>
    <row r="23" spans="1:16" x14ac:dyDescent="0.2">
      <c r="A23" s="3" t="s">
        <v>8</v>
      </c>
      <c r="B23" s="3">
        <v>13</v>
      </c>
      <c r="C23" s="4">
        <v>122.45</v>
      </c>
      <c r="D23" s="4">
        <v>124.97499999999999</v>
      </c>
      <c r="E23" s="4">
        <v>247.42500000000001</v>
      </c>
      <c r="F23" s="4">
        <v>2.5249999999999999</v>
      </c>
      <c r="G23" s="4">
        <f t="shared" si="4"/>
        <v>-2.5249999999999999</v>
      </c>
      <c r="H23" s="11">
        <f t="shared" si="5"/>
        <v>123.71250000000001</v>
      </c>
      <c r="I23" s="12">
        <f t="shared" si="3"/>
        <v>42.296875000000014</v>
      </c>
      <c r="J23" s="21">
        <f t="shared" si="2"/>
        <v>61219.130625000005</v>
      </c>
    </row>
    <row r="24" spans="1:16" x14ac:dyDescent="0.2">
      <c r="A24" s="3" t="s">
        <v>8</v>
      </c>
      <c r="B24" s="3">
        <v>14</v>
      </c>
      <c r="C24" s="4">
        <v>99.075000000000003</v>
      </c>
      <c r="D24" s="4">
        <v>85.224999999999994</v>
      </c>
      <c r="E24" s="4">
        <v>184.3</v>
      </c>
      <c r="F24" s="4">
        <v>-13.85</v>
      </c>
      <c r="G24" s="4">
        <f t="shared" si="4"/>
        <v>13.85</v>
      </c>
      <c r="H24" s="11">
        <f t="shared" si="5"/>
        <v>92.15</v>
      </c>
      <c r="I24" s="12">
        <f t="shared" si="3"/>
        <v>10.734375000000014</v>
      </c>
      <c r="J24" s="21">
        <f t="shared" si="2"/>
        <v>33966.490000000005</v>
      </c>
      <c r="P24" s="6"/>
    </row>
    <row r="25" spans="1:16" x14ac:dyDescent="0.2">
      <c r="A25" s="3" t="s">
        <v>8</v>
      </c>
      <c r="B25" s="3">
        <v>17</v>
      </c>
      <c r="C25" s="4">
        <v>86.35</v>
      </c>
      <c r="D25" s="4">
        <v>95.924999999999997</v>
      </c>
      <c r="E25" s="4">
        <v>182.27500000000001</v>
      </c>
      <c r="F25" s="4">
        <v>9.5749999999999993</v>
      </c>
      <c r="G25" s="4">
        <f t="shared" si="4"/>
        <v>-9.5749999999999993</v>
      </c>
      <c r="H25" s="11">
        <f t="shared" si="5"/>
        <v>91.137499999999989</v>
      </c>
      <c r="I25" s="12">
        <f t="shared" si="3"/>
        <v>9.7218749999999972</v>
      </c>
      <c r="J25" s="21">
        <f t="shared" si="2"/>
        <v>33224.175624999989</v>
      </c>
      <c r="P25" s="6"/>
    </row>
    <row r="26" spans="1:16" x14ac:dyDescent="0.2">
      <c r="A26" s="3" t="s">
        <v>8</v>
      </c>
      <c r="B26" s="3">
        <v>18</v>
      </c>
      <c r="C26" s="4">
        <v>49.924999999999997</v>
      </c>
      <c r="D26" s="4">
        <v>67.099999999999994</v>
      </c>
      <c r="E26" s="4">
        <v>117.02500000000001</v>
      </c>
      <c r="F26" s="4">
        <v>17.175000000000001</v>
      </c>
      <c r="G26" s="4">
        <f t="shared" si="4"/>
        <v>-17.175000000000001</v>
      </c>
      <c r="H26" s="11">
        <f t="shared" si="5"/>
        <v>58.512499999999996</v>
      </c>
      <c r="I26" s="12">
        <f t="shared" si="3"/>
        <v>-22.903124999999996</v>
      </c>
      <c r="J26" s="21">
        <f t="shared" si="2"/>
        <v>13694.850624999997</v>
      </c>
    </row>
    <row r="27" spans="1:16" x14ac:dyDescent="0.2">
      <c r="A27" s="3" t="s">
        <v>8</v>
      </c>
      <c r="B27" s="3">
        <v>21</v>
      </c>
      <c r="C27" s="4">
        <v>42.7</v>
      </c>
      <c r="D27" s="4">
        <v>59.424999999999997</v>
      </c>
      <c r="E27" s="4">
        <v>102.125</v>
      </c>
      <c r="F27" s="4">
        <v>16.725000000000001</v>
      </c>
      <c r="G27" s="4">
        <f t="shared" si="4"/>
        <v>-16.725000000000001</v>
      </c>
      <c r="H27" s="11">
        <f t="shared" si="5"/>
        <v>51.0625</v>
      </c>
      <c r="I27" s="12">
        <f t="shared" si="3"/>
        <v>-30.353124999999991</v>
      </c>
      <c r="J27" s="21">
        <f t="shared" si="2"/>
        <v>10429.515625</v>
      </c>
      <c r="O27" s="6"/>
    </row>
    <row r="28" spans="1:16" x14ac:dyDescent="0.2">
      <c r="A28" s="3" t="s">
        <v>8</v>
      </c>
      <c r="B28" s="3">
        <v>22</v>
      </c>
      <c r="C28" s="4">
        <v>91.724999999999994</v>
      </c>
      <c r="D28" s="4">
        <v>114.05</v>
      </c>
      <c r="E28" s="4">
        <v>205.77500000000001</v>
      </c>
      <c r="F28" s="4">
        <v>22.324999999999999</v>
      </c>
      <c r="G28" s="4">
        <f t="shared" si="4"/>
        <v>-22.324999999999999</v>
      </c>
      <c r="H28" s="11">
        <f t="shared" si="5"/>
        <v>102.88749999999999</v>
      </c>
      <c r="I28" s="12">
        <f t="shared" si="3"/>
        <v>21.471874999999997</v>
      </c>
      <c r="J28" s="21">
        <f t="shared" si="2"/>
        <v>42343.350624999992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showGridLines="0" tabSelected="1" workbookViewId="0"/>
  </sheetViews>
  <sheetFormatPr baseColWidth="10" defaultColWidth="5.28515625" defaultRowHeight="11.25" x14ac:dyDescent="0.2"/>
  <cols>
    <col min="1" max="2" width="11.42578125" style="1" customWidth="1"/>
    <col min="3" max="3" width="9" style="1" customWidth="1"/>
    <col min="4" max="4" width="8.42578125" style="1" customWidth="1"/>
    <col min="5" max="5" width="9" style="1" customWidth="1"/>
    <col min="6" max="6" width="7.7109375" style="1" customWidth="1"/>
    <col min="7" max="9" width="8.5703125" style="1" customWidth="1"/>
    <col min="10" max="11" width="7" style="1" customWidth="1"/>
    <col min="12" max="12" width="8.7109375" style="1" bestFit="1" customWidth="1"/>
    <col min="13" max="13" width="9" style="1" customWidth="1"/>
    <col min="14" max="14" width="8.140625" style="1" customWidth="1"/>
    <col min="15" max="15" width="8.7109375" style="1" bestFit="1" customWidth="1"/>
    <col min="16" max="16" width="7.5703125" style="1" customWidth="1"/>
    <col min="17" max="19" width="7.140625" style="1" customWidth="1"/>
    <col min="20" max="16384" width="5.28515625" style="1"/>
  </cols>
  <sheetData>
    <row r="1" spans="1:19" x14ac:dyDescent="0.2">
      <c r="A1" s="1">
        <v>1</v>
      </c>
    </row>
    <row r="2" spans="1:19" x14ac:dyDescent="0.2">
      <c r="A2" s="5" t="s">
        <v>0</v>
      </c>
      <c r="B2" s="5" t="s">
        <v>1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42</v>
      </c>
      <c r="I2" s="26"/>
      <c r="L2" s="7" t="s">
        <v>25</v>
      </c>
    </row>
    <row r="3" spans="1:19" x14ac:dyDescent="0.2">
      <c r="A3" s="3" t="s">
        <v>2</v>
      </c>
      <c r="B3" s="3">
        <v>1</v>
      </c>
      <c r="C3" s="4">
        <v>74.674999999999997</v>
      </c>
      <c r="D3" s="4">
        <v>73.674999999999997</v>
      </c>
      <c r="E3" s="4">
        <v>148.35</v>
      </c>
      <c r="F3" s="4">
        <v>-1</v>
      </c>
      <c r="G3" s="4">
        <v>-1</v>
      </c>
      <c r="H3" s="4">
        <f>C3+D3</f>
        <v>148.35</v>
      </c>
      <c r="I3" s="27"/>
    </row>
    <row r="4" spans="1:19" x14ac:dyDescent="0.2">
      <c r="A4" s="3" t="s">
        <v>2</v>
      </c>
      <c r="B4" s="3">
        <v>4</v>
      </c>
      <c r="C4" s="4">
        <v>96.4</v>
      </c>
      <c r="D4" s="4">
        <v>93.25</v>
      </c>
      <c r="E4" s="4">
        <v>189.65</v>
      </c>
      <c r="F4" s="4">
        <v>-3.15</v>
      </c>
      <c r="G4" s="4">
        <v>-3.15</v>
      </c>
      <c r="H4" s="4">
        <f t="shared" ref="H4:H14" si="0">C4+D4</f>
        <v>189.65</v>
      </c>
      <c r="I4" s="27"/>
      <c r="L4" s="25" t="s">
        <v>26</v>
      </c>
      <c r="M4" s="2">
        <f>AVERAGE(C3:C14)</f>
        <v>85.822916666666671</v>
      </c>
      <c r="N4" s="25" t="s">
        <v>30</v>
      </c>
    </row>
    <row r="5" spans="1:19" x14ac:dyDescent="0.2">
      <c r="A5" s="3" t="s">
        <v>2</v>
      </c>
      <c r="B5" s="3">
        <v>5</v>
      </c>
      <c r="C5" s="4">
        <v>101.95</v>
      </c>
      <c r="D5" s="4">
        <v>102.125</v>
      </c>
      <c r="E5" s="4">
        <v>204.07499999999999</v>
      </c>
      <c r="F5" s="4">
        <v>0.17499999999999999</v>
      </c>
      <c r="G5" s="3">
        <v>0.17499999999999999</v>
      </c>
      <c r="H5" s="4">
        <f t="shared" si="0"/>
        <v>204.07499999999999</v>
      </c>
      <c r="I5" s="28"/>
      <c r="L5" s="25" t="s">
        <v>27</v>
      </c>
      <c r="M5" s="2">
        <f>AVERAGE(D3:D14)</f>
        <v>81.80416666666666</v>
      </c>
      <c r="N5" s="25" t="s">
        <v>31</v>
      </c>
    </row>
    <row r="6" spans="1:19" x14ac:dyDescent="0.2">
      <c r="A6" s="3" t="s">
        <v>2</v>
      </c>
      <c r="B6" s="3">
        <v>6</v>
      </c>
      <c r="C6" s="4">
        <v>79.05</v>
      </c>
      <c r="D6" s="4">
        <v>69.45</v>
      </c>
      <c r="E6" s="4">
        <v>148.5</v>
      </c>
      <c r="F6" s="4">
        <v>-9.6</v>
      </c>
      <c r="G6" s="4">
        <v>-9.6</v>
      </c>
      <c r="H6" s="4">
        <f t="shared" si="0"/>
        <v>148.5</v>
      </c>
      <c r="I6" s="27"/>
      <c r="L6" s="25" t="s">
        <v>28</v>
      </c>
      <c r="M6" s="2">
        <f>AVERAGE(C17:C28)</f>
        <v>78.739583333333343</v>
      </c>
      <c r="N6" s="25" t="s">
        <v>32</v>
      </c>
    </row>
    <row r="7" spans="1:19" x14ac:dyDescent="0.2">
      <c r="A7" s="3" t="s">
        <v>2</v>
      </c>
      <c r="B7" s="3">
        <v>11</v>
      </c>
      <c r="C7" s="4">
        <v>79.05</v>
      </c>
      <c r="D7" s="4">
        <v>69.025000000000006</v>
      </c>
      <c r="E7" s="4">
        <v>148.07499999999999</v>
      </c>
      <c r="F7" s="4">
        <v>-10.025</v>
      </c>
      <c r="G7" s="4">
        <v>-10.025</v>
      </c>
      <c r="H7" s="4">
        <f t="shared" si="0"/>
        <v>148.07499999999999</v>
      </c>
      <c r="I7" s="27"/>
      <c r="L7" s="25" t="s">
        <v>29</v>
      </c>
      <c r="M7" s="2">
        <f>AVERAGE(D17:D28)</f>
        <v>79.295833333333334</v>
      </c>
      <c r="N7" s="25" t="s">
        <v>33</v>
      </c>
    </row>
    <row r="8" spans="1:19" x14ac:dyDescent="0.2">
      <c r="A8" s="3" t="s">
        <v>2</v>
      </c>
      <c r="B8" s="3">
        <v>12</v>
      </c>
      <c r="C8" s="4">
        <v>85.95</v>
      </c>
      <c r="D8" s="4">
        <v>68.7</v>
      </c>
      <c r="E8" s="4">
        <v>154.65</v>
      </c>
      <c r="F8" s="4">
        <v>-17.25</v>
      </c>
      <c r="G8" s="4">
        <v>-17.25</v>
      </c>
      <c r="H8" s="4">
        <f t="shared" si="0"/>
        <v>154.65</v>
      </c>
      <c r="I8" s="27"/>
    </row>
    <row r="9" spans="1:19" x14ac:dyDescent="0.2">
      <c r="A9" s="3" t="s">
        <v>2</v>
      </c>
      <c r="B9" s="3">
        <v>15</v>
      </c>
      <c r="C9" s="4">
        <v>69.724999999999994</v>
      </c>
      <c r="D9" s="4">
        <v>59.424999999999997</v>
      </c>
      <c r="E9" s="4">
        <v>129.15</v>
      </c>
      <c r="F9" s="4">
        <v>-10.3</v>
      </c>
      <c r="G9" s="4">
        <v>-10.3</v>
      </c>
      <c r="H9" s="4">
        <f t="shared" si="0"/>
        <v>129.14999999999998</v>
      </c>
      <c r="I9" s="27"/>
      <c r="Q9" s="33" t="s">
        <v>24</v>
      </c>
      <c r="R9" s="34" t="s">
        <v>22</v>
      </c>
      <c r="S9" s="34" t="s">
        <v>23</v>
      </c>
    </row>
    <row r="10" spans="1:19" x14ac:dyDescent="0.2">
      <c r="A10" s="3" t="s">
        <v>2</v>
      </c>
      <c r="B10" s="3">
        <v>16</v>
      </c>
      <c r="C10" s="4">
        <v>86.275000000000006</v>
      </c>
      <c r="D10" s="4">
        <v>76.125</v>
      </c>
      <c r="E10" s="4">
        <v>162.4</v>
      </c>
      <c r="F10" s="4">
        <v>-10.15</v>
      </c>
      <c r="G10" s="4">
        <v>-10.15</v>
      </c>
      <c r="H10" s="4">
        <f t="shared" si="0"/>
        <v>162.4</v>
      </c>
      <c r="I10" s="27"/>
      <c r="L10" s="29" t="s">
        <v>25</v>
      </c>
      <c r="M10" s="31">
        <f>(12*12/(2*(12+12)))*(($M$5-$M$4)-($M$7-$M$6))^2</f>
        <v>62.791875000000083</v>
      </c>
      <c r="O10" s="29" t="s">
        <v>34</v>
      </c>
      <c r="P10" s="31">
        <f>M10/$Q$10</f>
        <v>62.791875000000083</v>
      </c>
      <c r="Q10" s="32">
        <v>1</v>
      </c>
      <c r="R10" s="30">
        <f>P10/$P$20</f>
        <v>0.37544441013677576</v>
      </c>
      <c r="S10" s="32">
        <f>_xlfn.F.INV.RT(0.05,Q10,$Q$20)</f>
        <v>4.3009495017776587</v>
      </c>
    </row>
    <row r="11" spans="1:19" x14ac:dyDescent="0.2">
      <c r="A11" s="3" t="s">
        <v>2</v>
      </c>
      <c r="B11" s="3">
        <v>19</v>
      </c>
      <c r="C11" s="4">
        <v>112.675</v>
      </c>
      <c r="D11" s="4">
        <v>114.875</v>
      </c>
      <c r="E11" s="4">
        <v>227.55</v>
      </c>
      <c r="F11" s="4">
        <v>2.2000000000000002</v>
      </c>
      <c r="G11" s="3">
        <v>2.2000000000000002</v>
      </c>
      <c r="H11" s="4">
        <f t="shared" si="0"/>
        <v>227.55</v>
      </c>
      <c r="I11" s="28"/>
      <c r="L11" s="29" t="s">
        <v>35</v>
      </c>
      <c r="M11" s="31">
        <f>(12*12/(2*(12+12)))*(($M$5-$M$4)-($M$6-$M$7))^2</f>
        <v>35.96671875000041</v>
      </c>
      <c r="O11" s="29" t="s">
        <v>36</v>
      </c>
      <c r="P11" s="31">
        <f>M11/$Q$11</f>
        <v>35.96671875000041</v>
      </c>
      <c r="Q11" s="32">
        <v>1</v>
      </c>
      <c r="R11" s="30">
        <f>P11/$P$20</f>
        <v>0.21505176435086862</v>
      </c>
      <c r="S11" s="32">
        <f>_xlfn.F.INV.RT(0.05,Q11,$Q$20)</f>
        <v>4.3009495017776587</v>
      </c>
    </row>
    <row r="12" spans="1:19" x14ac:dyDescent="0.2">
      <c r="A12" s="3" t="s">
        <v>2</v>
      </c>
      <c r="B12" s="3">
        <v>20</v>
      </c>
      <c r="C12" s="4">
        <v>99.525000000000006</v>
      </c>
      <c r="D12" s="4">
        <v>116.25</v>
      </c>
      <c r="E12" s="4">
        <v>215.77500000000001</v>
      </c>
      <c r="F12" s="4">
        <v>-16.725000000000001</v>
      </c>
      <c r="G12" s="4">
        <v>-16.725000000000001</v>
      </c>
      <c r="H12" s="4">
        <f t="shared" si="0"/>
        <v>215.77500000000001</v>
      </c>
      <c r="I12" s="27"/>
    </row>
    <row r="13" spans="1:19" x14ac:dyDescent="0.2">
      <c r="A13" s="3" t="s">
        <v>2</v>
      </c>
      <c r="B13" s="3">
        <v>23</v>
      </c>
      <c r="C13" s="4">
        <v>89.424999999999997</v>
      </c>
      <c r="D13" s="4">
        <v>64.174999999999997</v>
      </c>
      <c r="E13" s="4">
        <v>153.6</v>
      </c>
      <c r="F13" s="4">
        <v>-25.25</v>
      </c>
      <c r="G13" s="4">
        <v>25.25</v>
      </c>
      <c r="H13" s="4">
        <f t="shared" si="0"/>
        <v>153.6</v>
      </c>
      <c r="I13" s="27"/>
    </row>
    <row r="14" spans="1:19" x14ac:dyDescent="0.2">
      <c r="A14" s="3" t="s">
        <v>2</v>
      </c>
      <c r="B14" s="3">
        <v>24</v>
      </c>
      <c r="C14" s="4">
        <v>55.174999999999997</v>
      </c>
      <c r="D14" s="4">
        <v>74.575000000000003</v>
      </c>
      <c r="E14" s="4">
        <v>129.75</v>
      </c>
      <c r="F14" s="4">
        <v>19.399999999999999</v>
      </c>
      <c r="G14" s="3">
        <v>19.399999999999999</v>
      </c>
      <c r="H14" s="4">
        <f t="shared" si="0"/>
        <v>129.75</v>
      </c>
      <c r="I14" s="28"/>
      <c r="L14" s="7" t="s">
        <v>37</v>
      </c>
    </row>
    <row r="15" spans="1:19" x14ac:dyDescent="0.2">
      <c r="A15" s="1">
        <v>2</v>
      </c>
      <c r="L15" s="25" t="s">
        <v>38</v>
      </c>
      <c r="M15" s="13">
        <f>SUMSQ(C3:C14,D3:D14,C17:C28,D17:D28)</f>
        <v>338433.86875000008</v>
      </c>
    </row>
    <row r="16" spans="1:19" x14ac:dyDescent="0.2">
      <c r="A16" s="5" t="s">
        <v>0</v>
      </c>
      <c r="B16" s="5" t="s">
        <v>1</v>
      </c>
      <c r="C16" s="5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42</v>
      </c>
      <c r="I16" s="26"/>
      <c r="L16" s="25" t="s">
        <v>39</v>
      </c>
      <c r="M16" s="13">
        <f t="array" ref="M16">SUMSQ(H3:H14,H17:H28)/2</f>
        <v>334655.68062500004</v>
      </c>
    </row>
    <row r="17" spans="1:19" x14ac:dyDescent="0.2">
      <c r="A17" s="3" t="s">
        <v>8</v>
      </c>
      <c r="B17" s="3">
        <v>2</v>
      </c>
      <c r="C17" s="4">
        <v>74.825000000000003</v>
      </c>
      <c r="D17" s="4">
        <v>37.35</v>
      </c>
      <c r="E17" s="4">
        <v>112.175</v>
      </c>
      <c r="F17" s="4">
        <v>-37.475000000000001</v>
      </c>
      <c r="G17" s="4">
        <f>-F17</f>
        <v>37.475000000000001</v>
      </c>
      <c r="H17" s="4">
        <f>C17+D17</f>
        <v>112.17500000000001</v>
      </c>
      <c r="I17" s="27"/>
      <c r="L17" s="25" t="s">
        <v>40</v>
      </c>
      <c r="M17" s="13">
        <f>(SUM(D3:D14)^2)/COUNT(D3:D14)+(SUM(C3:C14)^2)/COUNT(C3:C14)+(SUM(C17:C28)^2)/COUNT(C17:C28)+(SUM(D17:D28)^2)/COUNT(D17:D28)</f>
        <v>318542.95052083331</v>
      </c>
    </row>
    <row r="18" spans="1:19" x14ac:dyDescent="0.2">
      <c r="A18" s="3" t="s">
        <v>8</v>
      </c>
      <c r="B18" s="3">
        <v>3</v>
      </c>
      <c r="C18" s="4">
        <v>86.875</v>
      </c>
      <c r="D18" s="4">
        <v>51.924999999999997</v>
      </c>
      <c r="E18" s="4">
        <v>138.80000000000001</v>
      </c>
      <c r="F18" s="4">
        <v>-34.950000000000003</v>
      </c>
      <c r="G18" s="4">
        <f t="shared" ref="G18:G28" si="1">-F18</f>
        <v>34.950000000000003</v>
      </c>
      <c r="H18" s="4">
        <f t="shared" ref="H18:H28" si="2">C18+D18</f>
        <v>138.80000000000001</v>
      </c>
      <c r="I18" s="27"/>
      <c r="L18" s="25" t="s">
        <v>41</v>
      </c>
      <c r="M18" s="13">
        <f>(SUM(C3:D14)^2/(2*COUNT(C3:C14)))+(SUM(C17:D28)^2/(2*COUNT(C17:C28)))</f>
        <v>318444.1919270833</v>
      </c>
    </row>
    <row r="19" spans="1:19" x14ac:dyDescent="0.2">
      <c r="A19" s="3" t="s">
        <v>8</v>
      </c>
      <c r="B19" s="3">
        <v>7</v>
      </c>
      <c r="C19" s="4">
        <v>81.674999999999997</v>
      </c>
      <c r="D19" s="4">
        <v>72.174999999999997</v>
      </c>
      <c r="E19" s="4">
        <v>153.85</v>
      </c>
      <c r="F19" s="4">
        <v>-9.5</v>
      </c>
      <c r="G19" s="4">
        <f t="shared" si="1"/>
        <v>9.5</v>
      </c>
      <c r="H19" s="4">
        <f t="shared" si="2"/>
        <v>153.85</v>
      </c>
      <c r="I19" s="27"/>
      <c r="L19" s="25"/>
      <c r="Q19" s="33" t="s">
        <v>24</v>
      </c>
      <c r="R19" s="34" t="s">
        <v>22</v>
      </c>
      <c r="S19" s="34" t="s">
        <v>23</v>
      </c>
    </row>
    <row r="20" spans="1:19" x14ac:dyDescent="0.2">
      <c r="A20" s="3" t="s">
        <v>8</v>
      </c>
      <c r="B20" s="3">
        <v>8</v>
      </c>
      <c r="C20" s="4">
        <v>92.7</v>
      </c>
      <c r="D20" s="4">
        <v>77.5</v>
      </c>
      <c r="E20" s="4">
        <v>170.2</v>
      </c>
      <c r="F20" s="4">
        <v>-15.2</v>
      </c>
      <c r="G20" s="4">
        <f t="shared" si="1"/>
        <v>15.2</v>
      </c>
      <c r="H20" s="4">
        <f t="shared" si="2"/>
        <v>170.2</v>
      </c>
      <c r="I20" s="27"/>
      <c r="L20" s="29" t="s">
        <v>37</v>
      </c>
      <c r="M20" s="36">
        <f>M15-M16-M17+M18</f>
        <v>3679.4295312500326</v>
      </c>
      <c r="O20" s="29" t="s">
        <v>43</v>
      </c>
      <c r="P20" s="37">
        <f>M20/$Q$20</f>
        <v>167.24679687500148</v>
      </c>
      <c r="Q20" s="35">
        <f>COUNT(C3:C14)+COUNT(C17:C28)-2</f>
        <v>22</v>
      </c>
      <c r="R20" s="38">
        <f>'1'!$Q$13/P20</f>
        <v>4.4059788508598281</v>
      </c>
      <c r="S20" s="39">
        <f>_xlfn.F.INV.RT(0.05,Q20,$Q$20)</f>
        <v>2.0477703089693557</v>
      </c>
    </row>
    <row r="21" spans="1:19" x14ac:dyDescent="0.2">
      <c r="A21" s="3" t="s">
        <v>8</v>
      </c>
      <c r="B21" s="3">
        <v>9</v>
      </c>
      <c r="C21" s="4">
        <v>50.45</v>
      </c>
      <c r="D21" s="4">
        <v>71.875</v>
      </c>
      <c r="E21" s="4">
        <v>122.325</v>
      </c>
      <c r="F21" s="4">
        <v>21.425000000000001</v>
      </c>
      <c r="G21" s="4">
        <f t="shared" si="1"/>
        <v>-21.425000000000001</v>
      </c>
      <c r="H21" s="4">
        <f t="shared" si="2"/>
        <v>122.325</v>
      </c>
      <c r="I21" s="27"/>
    </row>
    <row r="22" spans="1:19" x14ac:dyDescent="0.2">
      <c r="A22" s="3" t="s">
        <v>8</v>
      </c>
      <c r="B22" s="3">
        <v>10</v>
      </c>
      <c r="C22" s="4">
        <v>66.125</v>
      </c>
      <c r="D22" s="4">
        <v>94.025000000000006</v>
      </c>
      <c r="E22" s="4">
        <v>160.15</v>
      </c>
      <c r="F22" s="4">
        <v>27.9</v>
      </c>
      <c r="G22" s="4">
        <f t="shared" si="1"/>
        <v>-27.9</v>
      </c>
      <c r="H22" s="4">
        <f t="shared" si="2"/>
        <v>160.15</v>
      </c>
      <c r="I22" s="27"/>
    </row>
    <row r="23" spans="1:19" x14ac:dyDescent="0.2">
      <c r="A23" s="3" t="s">
        <v>8</v>
      </c>
      <c r="B23" s="3">
        <v>13</v>
      </c>
      <c r="C23" s="4">
        <v>122.45</v>
      </c>
      <c r="D23" s="4">
        <v>124.97499999999999</v>
      </c>
      <c r="E23" s="4">
        <v>247.42500000000001</v>
      </c>
      <c r="F23" s="4">
        <v>2.5249999999999999</v>
      </c>
      <c r="G23" s="4">
        <f t="shared" si="1"/>
        <v>-2.5249999999999999</v>
      </c>
      <c r="H23" s="4">
        <f t="shared" si="2"/>
        <v>247.42500000000001</v>
      </c>
      <c r="I23" s="27"/>
    </row>
    <row r="24" spans="1:19" x14ac:dyDescent="0.2">
      <c r="A24" s="3" t="s">
        <v>8</v>
      </c>
      <c r="B24" s="3">
        <v>14</v>
      </c>
      <c r="C24" s="4">
        <v>99.075000000000003</v>
      </c>
      <c r="D24" s="4">
        <v>85.224999999999994</v>
      </c>
      <c r="E24" s="4">
        <v>184.3</v>
      </c>
      <c r="F24" s="4">
        <v>-13.85</v>
      </c>
      <c r="G24" s="4">
        <f t="shared" si="1"/>
        <v>13.85</v>
      </c>
      <c r="H24" s="4">
        <f t="shared" si="2"/>
        <v>184.3</v>
      </c>
      <c r="I24" s="27"/>
    </row>
    <row r="25" spans="1:19" x14ac:dyDescent="0.2">
      <c r="A25" s="3" t="s">
        <v>8</v>
      </c>
      <c r="B25" s="3">
        <v>17</v>
      </c>
      <c r="C25" s="4">
        <v>86.35</v>
      </c>
      <c r="D25" s="4">
        <v>95.924999999999997</v>
      </c>
      <c r="E25" s="4">
        <v>182.27500000000001</v>
      </c>
      <c r="F25" s="4">
        <v>9.5749999999999993</v>
      </c>
      <c r="G25" s="4">
        <f t="shared" si="1"/>
        <v>-9.5749999999999993</v>
      </c>
      <c r="H25" s="4">
        <f t="shared" si="2"/>
        <v>182.27499999999998</v>
      </c>
      <c r="I25" s="27"/>
    </row>
    <row r="26" spans="1:19" x14ac:dyDescent="0.2">
      <c r="A26" s="3" t="s">
        <v>8</v>
      </c>
      <c r="B26" s="3">
        <v>18</v>
      </c>
      <c r="C26" s="4">
        <v>49.924999999999997</v>
      </c>
      <c r="D26" s="4">
        <v>67.099999999999994</v>
      </c>
      <c r="E26" s="4">
        <v>117.02500000000001</v>
      </c>
      <c r="F26" s="4">
        <v>17.175000000000001</v>
      </c>
      <c r="G26" s="4">
        <f t="shared" si="1"/>
        <v>-17.175000000000001</v>
      </c>
      <c r="H26" s="4">
        <f t="shared" si="2"/>
        <v>117.02499999999999</v>
      </c>
      <c r="I26" s="27"/>
    </row>
    <row r="27" spans="1:19" x14ac:dyDescent="0.2">
      <c r="A27" s="3" t="s">
        <v>8</v>
      </c>
      <c r="B27" s="3">
        <v>21</v>
      </c>
      <c r="C27" s="4">
        <v>42.7</v>
      </c>
      <c r="D27" s="4">
        <v>59.424999999999997</v>
      </c>
      <c r="E27" s="4">
        <v>102.125</v>
      </c>
      <c r="F27" s="4">
        <v>16.725000000000001</v>
      </c>
      <c r="G27" s="4">
        <f t="shared" si="1"/>
        <v>-16.725000000000001</v>
      </c>
      <c r="H27" s="4">
        <f t="shared" si="2"/>
        <v>102.125</v>
      </c>
      <c r="I27" s="27"/>
    </row>
    <row r="28" spans="1:19" x14ac:dyDescent="0.2">
      <c r="A28" s="3" t="s">
        <v>8</v>
      </c>
      <c r="B28" s="3">
        <v>22</v>
      </c>
      <c r="C28" s="4">
        <v>91.724999999999994</v>
      </c>
      <c r="D28" s="4">
        <v>114.05</v>
      </c>
      <c r="E28" s="4">
        <v>205.77500000000001</v>
      </c>
      <c r="F28" s="4">
        <v>22.324999999999999</v>
      </c>
      <c r="G28" s="4">
        <f t="shared" si="1"/>
        <v>-22.324999999999999</v>
      </c>
      <c r="H28" s="4">
        <f t="shared" si="2"/>
        <v>205.77499999999998</v>
      </c>
      <c r="I28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S. Parra G.</dc:creator>
  <cp:lastModifiedBy>Daniel S. Parra G.</cp:lastModifiedBy>
  <dcterms:created xsi:type="dcterms:W3CDTF">2018-09-26T01:39:41Z</dcterms:created>
  <dcterms:modified xsi:type="dcterms:W3CDTF">2018-09-26T23:36:54Z</dcterms:modified>
</cp:coreProperties>
</file>