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os\Estudio - Documentos\Farmacocinética 2012-1\Bioequivalencia (2018)\"/>
    </mc:Choice>
  </mc:AlternateContent>
  <bookViews>
    <workbookView xWindow="0" yWindow="0" windowWidth="20490" windowHeight="7605"/>
  </bookViews>
  <sheets>
    <sheet name="MLE" sheetId="1" r:id="rId1"/>
    <sheet name="MVUE" sheetId="2" r:id="rId2"/>
    <sheet name="MIR" sheetId="3" r:id="rId3"/>
    <sheet name="RM" sheetId="4" r:id="rId4"/>
  </sheets>
  <definedNames>
    <definedName name="Matriz1">RM!$C$3:$C$11,RM!$D$13:$D$21</definedName>
    <definedName name="Matriz2">RM!$D$3:$D$11,RM!$C$13:$C$21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3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3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J10" i="1"/>
  <c r="N3" i="1" a="1"/>
  <c r="N4" i="1" s="1"/>
  <c r="J5" i="1"/>
  <c r="J18" i="2" l="1"/>
  <c r="J19" i="2" s="1"/>
  <c r="J20" i="2" s="1"/>
  <c r="N8" i="1"/>
  <c r="N11" i="1"/>
  <c r="N7" i="1"/>
  <c r="N3" i="1"/>
  <c r="N10" i="1"/>
  <c r="N6" i="1"/>
  <c r="N9" i="1"/>
  <c r="N5" i="1"/>
  <c r="J10" i="4"/>
  <c r="J9" i="4"/>
  <c r="J11" i="4" s="1"/>
  <c r="M7" i="4"/>
  <c r="M6" i="4"/>
  <c r="M5" i="4"/>
  <c r="M2" i="4"/>
  <c r="L3" i="4"/>
  <c r="M3" i="4"/>
  <c r="L2" i="4"/>
  <c r="J5" i="4" l="1"/>
  <c r="J4" i="4"/>
  <c r="G21" i="4"/>
  <c r="G20" i="4"/>
  <c r="G19" i="4"/>
  <c r="G18" i="4"/>
  <c r="G17" i="4"/>
  <c r="G16" i="4"/>
  <c r="G15" i="4"/>
  <c r="G14" i="4"/>
  <c r="G13" i="4"/>
  <c r="G11" i="4"/>
  <c r="G10" i="4"/>
  <c r="G9" i="4"/>
  <c r="G8" i="4"/>
  <c r="G7" i="4"/>
  <c r="G6" i="4"/>
  <c r="G5" i="4"/>
  <c r="G4" i="4"/>
  <c r="J3" i="4"/>
  <c r="G3" i="4"/>
  <c r="J2" i="4"/>
  <c r="J9" i="1"/>
  <c r="J2" i="1"/>
  <c r="K13" i="1" s="1"/>
  <c r="J3" i="1"/>
  <c r="J6" i="4" l="1"/>
  <c r="J10" i="3"/>
  <c r="J5" i="3" a="1"/>
  <c r="J5" i="3" s="1"/>
  <c r="G4" i="3"/>
  <c r="G5" i="3"/>
  <c r="G6" i="3"/>
  <c r="G7" i="3"/>
  <c r="G8" i="3"/>
  <c r="G9" i="3"/>
  <c r="G10" i="3"/>
  <c r="G11" i="3"/>
  <c r="G13" i="3"/>
  <c r="G14" i="3"/>
  <c r="G15" i="3"/>
  <c r="G16" i="3"/>
  <c r="G17" i="3"/>
  <c r="G18" i="3"/>
  <c r="G19" i="3"/>
  <c r="G20" i="3"/>
  <c r="G21" i="3"/>
  <c r="G3" i="3"/>
  <c r="M17" i="3"/>
  <c r="J7" i="3" s="1"/>
  <c r="J3" i="3"/>
  <c r="M12" i="3" s="1"/>
  <c r="J2" i="3"/>
  <c r="J8" i="2"/>
  <c r="J7" i="2"/>
  <c r="J5" i="2"/>
  <c r="J12" i="2"/>
  <c r="J10" i="2"/>
  <c r="J3" i="2"/>
  <c r="J2" i="2"/>
  <c r="J4" i="2" s="1" a="1"/>
  <c r="J4" i="2" s="1"/>
  <c r="J7" i="1"/>
  <c r="J6" i="1"/>
  <c r="M14" i="3" l="1"/>
  <c r="M19" i="3"/>
  <c r="M16" i="3"/>
  <c r="M15" i="3"/>
  <c r="M11" i="3"/>
  <c r="J6" i="3" a="1"/>
  <c r="J6" i="3" s="1"/>
  <c r="M10" i="3" s="1"/>
  <c r="J16" i="2"/>
  <c r="J11" i="2"/>
  <c r="J14" i="2"/>
  <c r="J15" i="2"/>
  <c r="J6" i="2"/>
  <c r="J9" i="2"/>
  <c r="J8" i="1" a="1"/>
  <c r="J8" i="1" s="1"/>
  <c r="J14" i="1" s="1"/>
  <c r="J16" i="1"/>
  <c r="J4" i="1"/>
  <c r="J19" i="1" l="1"/>
  <c r="J18" i="1"/>
  <c r="J13" i="1"/>
  <c r="J15" i="1" s="1"/>
  <c r="M25" i="3" l="1"/>
  <c r="M21" i="3"/>
  <c r="J20" i="1"/>
</calcChain>
</file>

<file path=xl/sharedStrings.xml><?xml version="1.0" encoding="utf-8"?>
<sst xmlns="http://schemas.openxmlformats.org/spreadsheetml/2006/main" count="185" uniqueCount="43">
  <si>
    <t>CD</t>
  </si>
  <si>
    <t>DC</t>
  </si>
  <si>
    <t>ID</t>
  </si>
  <si>
    <t>Secuencia</t>
  </si>
  <si>
    <t>ln(C[D])</t>
  </si>
  <si>
    <t>F</t>
  </si>
  <si>
    <t>ln(C[C])</t>
  </si>
  <si>
    <t>YR</t>
  </si>
  <si>
    <t>YT</t>
  </si>
  <si>
    <t>delta</t>
  </si>
  <si>
    <t>n1</t>
  </si>
  <si>
    <t>n2</t>
  </si>
  <si>
    <t>sigma_d</t>
  </si>
  <si>
    <t>C</t>
  </si>
  <si>
    <t>D</t>
  </si>
  <si>
    <t>SSD</t>
  </si>
  <si>
    <t>1/(n1+n2-2)</t>
  </si>
  <si>
    <t xml:space="preserve">U1   = </t>
  </si>
  <si>
    <t xml:space="preserve">L1    = </t>
  </si>
  <si>
    <t xml:space="preserve">IC.T   = </t>
  </si>
  <si>
    <t>Sesgo</t>
  </si>
  <si>
    <t>Sesgo =</t>
  </si>
  <si>
    <t>Varian =</t>
  </si>
  <si>
    <t>1/(n1+n2)</t>
  </si>
  <si>
    <t>m</t>
  </si>
  <si>
    <t xml:space="preserve">MSE = </t>
  </si>
  <si>
    <t>f</t>
  </si>
  <si>
    <t>j</t>
  </si>
  <si>
    <r>
      <rPr>
        <sz val="8"/>
        <color theme="1"/>
        <rFont val="Calibri"/>
        <family val="2"/>
      </rPr>
      <t>δ</t>
    </r>
    <r>
      <rPr>
        <vertAlign val="subscript"/>
        <sz val="8"/>
        <color theme="1"/>
        <rFont val="Calibri"/>
        <family val="2"/>
        <scheme val="minor"/>
      </rPr>
      <t>MVUE</t>
    </r>
  </si>
  <si>
    <r>
      <rPr>
        <sz val="8"/>
        <color theme="1"/>
        <rFont val="Calibri"/>
        <family val="2"/>
      </rPr>
      <t>δ</t>
    </r>
    <r>
      <rPr>
        <vertAlign val="subscript"/>
        <sz val="8"/>
        <color theme="1"/>
        <rFont val="Calibri"/>
        <family val="2"/>
        <scheme val="minor"/>
      </rPr>
      <t>MLE</t>
    </r>
  </si>
  <si>
    <r>
      <t>φ</t>
    </r>
    <r>
      <rPr>
        <vertAlign val="subscript"/>
        <sz val="8"/>
        <color theme="1"/>
        <rFont val="Calibri"/>
        <family val="2"/>
      </rPr>
      <t xml:space="preserve">f (J) </t>
    </r>
    <r>
      <rPr>
        <sz val="8"/>
        <color theme="1"/>
        <rFont val="Calibri"/>
        <family val="2"/>
      </rPr>
      <t>[-mSSD]</t>
    </r>
  </si>
  <si>
    <r>
      <t>φ</t>
    </r>
    <r>
      <rPr>
        <vertAlign val="subscript"/>
        <sz val="8"/>
        <color theme="1"/>
        <rFont val="Calibri"/>
        <family val="2"/>
      </rPr>
      <t xml:space="preserve">f (J) </t>
    </r>
    <r>
      <rPr>
        <sz val="8"/>
        <color theme="1"/>
        <rFont val="Calibri"/>
        <family val="2"/>
      </rPr>
      <t>[-4mSSD]</t>
    </r>
  </si>
  <si>
    <r>
      <rPr>
        <sz val="8"/>
        <color theme="1"/>
        <rFont val="Calibri"/>
        <family val="2"/>
      </rPr>
      <t>Var(δ</t>
    </r>
    <r>
      <rPr>
        <vertAlign val="subscript"/>
        <sz val="8"/>
        <color theme="1"/>
        <rFont val="Calibri"/>
        <family val="2"/>
        <scheme val="minor"/>
      </rPr>
      <t>MVUE</t>
    </r>
    <r>
      <rPr>
        <sz val="8"/>
        <color theme="1"/>
        <rFont val="Calibri"/>
        <family val="2"/>
        <scheme val="minor"/>
      </rPr>
      <t>)</t>
    </r>
  </si>
  <si>
    <t>eff MVUE</t>
  </si>
  <si>
    <t>rik</t>
  </si>
  <si>
    <r>
      <rPr>
        <sz val="8"/>
        <color theme="1"/>
        <rFont val="Calibri"/>
        <family val="2"/>
      </rPr>
      <t>δ</t>
    </r>
    <r>
      <rPr>
        <vertAlign val="subscript"/>
        <sz val="8"/>
        <color theme="1"/>
        <rFont val="Calibri"/>
        <family val="2"/>
        <scheme val="minor"/>
      </rPr>
      <t>MIR</t>
    </r>
  </si>
  <si>
    <t>P</t>
  </si>
  <si>
    <r>
      <rPr>
        <sz val="8"/>
        <color theme="1"/>
        <rFont val="Calibri"/>
        <family val="2"/>
      </rPr>
      <t>σ</t>
    </r>
    <r>
      <rPr>
        <vertAlign val="superscript"/>
        <sz val="8"/>
        <color theme="1"/>
        <rFont val="Calibri"/>
        <family val="2"/>
      </rPr>
      <t>2</t>
    </r>
    <r>
      <rPr>
        <sz val="8"/>
        <color theme="1"/>
        <rFont val="Calibri"/>
        <family val="2"/>
        <scheme val="minor"/>
      </rPr>
      <t>(d)</t>
    </r>
  </si>
  <si>
    <t>XT</t>
  </si>
  <si>
    <t>XR</t>
  </si>
  <si>
    <r>
      <rPr>
        <sz val="8"/>
        <color theme="1"/>
        <rFont val="Calibri"/>
        <family val="2"/>
      </rPr>
      <t>δ</t>
    </r>
    <r>
      <rPr>
        <vertAlign val="subscript"/>
        <sz val="8"/>
        <color theme="1"/>
        <rFont val="Calibri"/>
        <family val="2"/>
        <scheme val="minor"/>
      </rPr>
      <t>RM</t>
    </r>
  </si>
  <si>
    <t>1,1+2,2</t>
  </si>
  <si>
    <t>1,2+2,1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</si>
</sst>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"/>
    <numFmt numFmtId="165" formatCode="0.00000"/>
    <numFmt numFmtId="166" formatCode="0.0000"/>
    <numFmt numFmtId="167" formatCode="0.00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8"/>
      <color theme="1"/>
      <name val="Calibri"/>
      <family val="2"/>
    </font>
    <font>
      <vertAlign val="subscript"/>
      <sz val="8"/>
      <color theme="1"/>
      <name val="Calibri"/>
      <family val="2"/>
    </font>
    <font>
      <i/>
      <sz val="8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66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167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166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GridLines="0" tabSelected="1" workbookViewId="0">
      <selection activeCell="J20" sqref="J20"/>
    </sheetView>
  </sheetViews>
  <sheetFormatPr baseColWidth="10" defaultRowHeight="11.25" x14ac:dyDescent="0.2"/>
  <cols>
    <col min="1" max="6" width="7.85546875" style="1" customWidth="1"/>
    <col min="7" max="7" width="11.42578125" style="1"/>
    <col min="8" max="8" width="8.5703125" style="1" customWidth="1"/>
    <col min="9" max="9" width="8.5703125" style="1" bestFit="1" customWidth="1"/>
    <col min="10" max="10" width="10.28515625" style="1" bestFit="1" customWidth="1"/>
    <col min="11" max="16384" width="11.42578125" style="1"/>
  </cols>
  <sheetData>
    <row r="1" spans="1:14" x14ac:dyDescent="0.2">
      <c r="A1" s="10" t="s">
        <v>2</v>
      </c>
      <c r="B1" s="10" t="s">
        <v>3</v>
      </c>
      <c r="C1" s="10">
        <v>1</v>
      </c>
      <c r="D1" s="10">
        <v>2</v>
      </c>
      <c r="E1" s="10" t="s">
        <v>6</v>
      </c>
      <c r="F1" s="10" t="s">
        <v>4</v>
      </c>
      <c r="G1" s="6"/>
    </row>
    <row r="2" spans="1:14" x14ac:dyDescent="0.2">
      <c r="A2" s="2"/>
      <c r="B2" s="2"/>
      <c r="C2" s="10" t="s">
        <v>13</v>
      </c>
      <c r="D2" s="10" t="s">
        <v>14</v>
      </c>
      <c r="E2" s="10" t="s">
        <v>13</v>
      </c>
      <c r="F2" s="10" t="s">
        <v>14</v>
      </c>
      <c r="G2" s="2"/>
      <c r="I2" s="13" t="s">
        <v>10</v>
      </c>
      <c r="J2" s="4">
        <f>COUNT(A3:A11)</f>
        <v>9</v>
      </c>
    </row>
    <row r="3" spans="1:14" x14ac:dyDescent="0.2">
      <c r="A3" s="8">
        <v>1</v>
      </c>
      <c r="B3" s="8" t="s">
        <v>0</v>
      </c>
      <c r="C3" s="8">
        <v>2.52</v>
      </c>
      <c r="D3" s="8">
        <v>5.47</v>
      </c>
      <c r="E3" s="11">
        <v>0.9242589015233319</v>
      </c>
      <c r="F3" s="11">
        <v>1.6992786164338898</v>
      </c>
      <c r="G3" s="7"/>
      <c r="I3" s="13" t="s">
        <v>11</v>
      </c>
      <c r="J3" s="4">
        <f>COUNT(A13:A21)</f>
        <v>9</v>
      </c>
      <c r="N3" s="3">
        <f t="array" ref="N3:N11">0.5*($F$3:$F$11-$E$3:$E$11)</f>
        <v>0.38750985745527894</v>
      </c>
    </row>
    <row r="4" spans="1:14" x14ac:dyDescent="0.2">
      <c r="A4" s="9">
        <v>2</v>
      </c>
      <c r="B4" s="9" t="s">
        <v>0</v>
      </c>
      <c r="C4" s="9">
        <v>8.8699999999999992</v>
      </c>
      <c r="D4" s="9">
        <v>4.84</v>
      </c>
      <c r="E4" s="12">
        <v>2.1826747963214879</v>
      </c>
      <c r="F4" s="12">
        <v>1.5769147207285403</v>
      </c>
      <c r="G4" s="7"/>
      <c r="I4" s="13" t="s">
        <v>16</v>
      </c>
      <c r="J4" s="4">
        <f>1/(J2+J3-2)</f>
        <v>6.25E-2</v>
      </c>
      <c r="N4" s="3">
        <v>-0.30288003779647377</v>
      </c>
    </row>
    <row r="5" spans="1:14" x14ac:dyDescent="0.2">
      <c r="A5" s="8">
        <v>3</v>
      </c>
      <c r="B5" s="8" t="s">
        <v>0</v>
      </c>
      <c r="C5" s="8">
        <v>0.79</v>
      </c>
      <c r="D5" s="8">
        <v>2.25</v>
      </c>
      <c r="E5" s="11">
        <v>-0.23572233352106983</v>
      </c>
      <c r="F5" s="11">
        <v>0.81093021621632877</v>
      </c>
      <c r="G5" s="7"/>
      <c r="I5" s="13" t="s">
        <v>8</v>
      </c>
      <c r="J5" s="5">
        <f>(SUM(E3:E11)+SUM(F13:F21))*(1/($J$2+$J$3))</f>
        <v>1.1798220603101763</v>
      </c>
      <c r="L5" s="1" t="s">
        <v>41</v>
      </c>
      <c r="N5" s="3">
        <v>0.52332627486869931</v>
      </c>
    </row>
    <row r="6" spans="1:14" x14ac:dyDescent="0.2">
      <c r="A6" s="9">
        <v>4</v>
      </c>
      <c r="B6" s="9" t="s">
        <v>0</v>
      </c>
      <c r="C6" s="9">
        <v>1.68</v>
      </c>
      <c r="D6" s="9">
        <v>1.82</v>
      </c>
      <c r="E6" s="12">
        <v>0.51879379341516751</v>
      </c>
      <c r="F6" s="12">
        <v>0.59883650108870401</v>
      </c>
      <c r="G6" s="7"/>
      <c r="I6" s="13" t="s">
        <v>7</v>
      </c>
      <c r="J6" s="5">
        <f>(SUM(E13:E21)+SUM(F3:F11))*(1/($J$2+$J$3))</f>
        <v>1.5208979568281833</v>
      </c>
      <c r="L6" s="1" t="s">
        <v>42</v>
      </c>
      <c r="N6" s="3">
        <v>4.0021353836768248E-2</v>
      </c>
    </row>
    <row r="7" spans="1:14" x14ac:dyDescent="0.2">
      <c r="A7" s="8">
        <v>5</v>
      </c>
      <c r="B7" s="8" t="s">
        <v>0</v>
      </c>
      <c r="C7" s="8">
        <v>6.95</v>
      </c>
      <c r="D7" s="8">
        <v>7.87</v>
      </c>
      <c r="E7" s="11">
        <v>1.9387416595767009</v>
      </c>
      <c r="F7" s="11">
        <v>2.0630580624293118</v>
      </c>
      <c r="G7" s="7"/>
      <c r="I7" s="13" t="s">
        <v>5</v>
      </c>
      <c r="J7" s="5">
        <f>0.5*((AVERAGE(E3:E11)+AVERAGE(F13:F21))-(AVERAGE(F3:F11)+AVERAGE(E13:E21)))</f>
        <v>-0.34107589651800696</v>
      </c>
      <c r="N7" s="3">
        <v>6.2158201426305459E-2</v>
      </c>
    </row>
    <row r="8" spans="1:14" x14ac:dyDescent="0.2">
      <c r="A8" s="9">
        <v>6</v>
      </c>
      <c r="B8" s="9" t="s">
        <v>0</v>
      </c>
      <c r="C8" s="9">
        <v>1.05</v>
      </c>
      <c r="D8" s="9">
        <v>3.25</v>
      </c>
      <c r="E8" s="12">
        <v>4.8790164169432049E-2</v>
      </c>
      <c r="F8" s="12">
        <v>1.1786549963416462</v>
      </c>
      <c r="G8" s="7"/>
      <c r="I8" s="13" t="s">
        <v>12</v>
      </c>
      <c r="J8" s="14">
        <f t="array" ref="J8">(SUMSQ(0.5*($F$3:$F$11-$E$3:$E$11)-AVERAGE(0.5*($F$3:$F$11-$E$3:$E$11)))+SUMSQ(0.5*($F$13:$F$21-$E$13:$E$21)-AVERAGE(0.5*($F$13:$F$21-$E$13:$E$21))))*(1/(J2+J3-2))</f>
        <v>0.15449938077371791</v>
      </c>
      <c r="N8" s="3">
        <v>0.56493241608610711</v>
      </c>
    </row>
    <row r="9" spans="1:14" x14ac:dyDescent="0.2">
      <c r="A9" s="8">
        <v>7</v>
      </c>
      <c r="B9" s="8" t="s">
        <v>0</v>
      </c>
      <c r="C9" s="8">
        <v>0.99</v>
      </c>
      <c r="D9" s="8">
        <v>12.39</v>
      </c>
      <c r="E9" s="11">
        <v>-1.0050335853501451E-2</v>
      </c>
      <c r="F9" s="11">
        <v>2.5168896956410509</v>
      </c>
      <c r="G9" s="7"/>
      <c r="I9" s="13" t="s">
        <v>15</v>
      </c>
      <c r="J9" s="5">
        <f>(0.5*((AVERAGE($F$3:$F$11)-AVERAGE($E$3:$E$11))-(AVERAGE($F$13:$F$21)-AVERAGE($E$13:$E$21))))^2*(($J$2*$J$3)/(2*($J$2+$J$3)))</f>
        <v>0.26174872616751493</v>
      </c>
      <c r="N9" s="3">
        <v>1.2634700157472762</v>
      </c>
    </row>
    <row r="10" spans="1:14" x14ac:dyDescent="0.2">
      <c r="A10" s="9">
        <v>8</v>
      </c>
      <c r="B10" s="9" t="s">
        <v>0</v>
      </c>
      <c r="C10" s="9">
        <v>5.6</v>
      </c>
      <c r="D10" s="9">
        <v>4.7699999999999996</v>
      </c>
      <c r="E10" s="12">
        <v>1.7227665977411035</v>
      </c>
      <c r="F10" s="12">
        <v>1.5623463049002497</v>
      </c>
      <c r="G10" s="7"/>
      <c r="I10" s="13" t="s">
        <v>9</v>
      </c>
      <c r="J10" s="21">
        <f>EXP(J7)</f>
        <v>0.71100494335907694</v>
      </c>
      <c r="N10" s="3">
        <v>-8.0210146420426898E-2</v>
      </c>
    </row>
    <row r="11" spans="1:14" x14ac:dyDescent="0.2">
      <c r="A11" s="8">
        <v>9</v>
      </c>
      <c r="B11" s="8" t="s">
        <v>0</v>
      </c>
      <c r="C11" s="8">
        <v>3.16</v>
      </c>
      <c r="D11" s="8">
        <v>1.88</v>
      </c>
      <c r="E11" s="11">
        <v>1.1505720275988207</v>
      </c>
      <c r="F11" s="11">
        <v>0.63127177684185776</v>
      </c>
      <c r="G11" s="7"/>
      <c r="N11" s="3">
        <v>-0.25965012537848148</v>
      </c>
    </row>
    <row r="12" spans="1:14" x14ac:dyDescent="0.2">
      <c r="C12" s="10" t="s">
        <v>14</v>
      </c>
      <c r="D12" s="10" t="s">
        <v>13</v>
      </c>
      <c r="E12" s="10" t="s">
        <v>14</v>
      </c>
      <c r="F12" s="10" t="s">
        <v>13</v>
      </c>
      <c r="G12" s="3"/>
    </row>
    <row r="13" spans="1:14" x14ac:dyDescent="0.2">
      <c r="A13" s="8">
        <v>10</v>
      </c>
      <c r="B13" s="8" t="s">
        <v>1</v>
      </c>
      <c r="C13" s="8">
        <v>4.9800000000000004</v>
      </c>
      <c r="D13" s="8">
        <v>3.19</v>
      </c>
      <c r="E13" s="11">
        <v>1.6054298910365616</v>
      </c>
      <c r="F13" s="11">
        <v>1.1600209167967532</v>
      </c>
      <c r="G13" s="7"/>
      <c r="I13" s="13" t="s">
        <v>18</v>
      </c>
      <c r="J13" s="5">
        <f>ROUND($J$7-_xlfn.T.INV(1-(2*(0.025)),$J$2+$J$3-2)*SQRT($J$8)*SQRT((1/$J$2)+(1/$J$3)),4)</f>
        <v>-0.66459999999999997</v>
      </c>
      <c r="K13" s="1">
        <f>_xlfn.T.INV(1-(2*(0.025)),$J$2+$J$3-2)</f>
        <v>1.7458836762762506</v>
      </c>
    </row>
    <row r="14" spans="1:14" x14ac:dyDescent="0.2">
      <c r="A14" s="9">
        <v>11</v>
      </c>
      <c r="B14" s="9" t="s">
        <v>1</v>
      </c>
      <c r="C14" s="9">
        <v>7.14</v>
      </c>
      <c r="D14" s="9">
        <v>9.83</v>
      </c>
      <c r="E14" s="12">
        <v>1.965712776351493</v>
      </c>
      <c r="F14" s="12">
        <v>2.2854389341590751</v>
      </c>
      <c r="G14" s="7"/>
      <c r="I14" s="13" t="s">
        <v>17</v>
      </c>
      <c r="J14" s="5">
        <f>ROUND($J$7+_xlfn.T.INV(1-(2*(0.025)),$J$2+$J$3-2)*SQRT($J$8)*SQRT((1/$J$2)+(1/$J$3)),4)</f>
        <v>-1.7600000000000001E-2</v>
      </c>
    </row>
    <row r="15" spans="1:14" x14ac:dyDescent="0.2">
      <c r="A15" s="8">
        <v>12</v>
      </c>
      <c r="B15" s="8" t="s">
        <v>1</v>
      </c>
      <c r="C15" s="8">
        <v>1.81</v>
      </c>
      <c r="D15" s="8">
        <v>2.91</v>
      </c>
      <c r="E15" s="11">
        <v>0.59332684527773438</v>
      </c>
      <c r="F15" s="11">
        <v>1.0681530811834012</v>
      </c>
      <c r="G15" s="7"/>
      <c r="I15" s="13" t="s">
        <v>19</v>
      </c>
      <c r="J15" s="22" t="str">
        <f>"["&amp;ROUND(EXP(J13),3)&amp;", "&amp;ROUND(EXP(J14),3)&amp;"]"</f>
        <v>[0.514, 0.983]</v>
      </c>
    </row>
    <row r="16" spans="1:14" x14ac:dyDescent="0.2">
      <c r="A16" s="9">
        <v>13</v>
      </c>
      <c r="B16" s="9" t="s">
        <v>1</v>
      </c>
      <c r="C16" s="9">
        <v>7.34</v>
      </c>
      <c r="D16" s="9">
        <v>4.58</v>
      </c>
      <c r="E16" s="12">
        <v>1.9933388426264242</v>
      </c>
      <c r="F16" s="12">
        <v>1.5216989981260935</v>
      </c>
      <c r="G16" s="7"/>
      <c r="I16" s="13" t="s">
        <v>23</v>
      </c>
      <c r="J16" s="5">
        <f>(1/$J$2)+(1/$J$3)</f>
        <v>0.22222222222222221</v>
      </c>
    </row>
    <row r="17" spans="1:11" x14ac:dyDescent="0.2">
      <c r="A17" s="8">
        <v>14</v>
      </c>
      <c r="B17" s="8" t="s">
        <v>1</v>
      </c>
      <c r="C17" s="8">
        <v>4.25</v>
      </c>
      <c r="D17" s="8">
        <v>7.05</v>
      </c>
      <c r="E17" s="11">
        <v>1.4469189829363254</v>
      </c>
      <c r="F17" s="11">
        <v>1.9530276168241774</v>
      </c>
      <c r="G17" s="7"/>
    </row>
    <row r="18" spans="1:11" x14ac:dyDescent="0.2">
      <c r="A18" s="9">
        <v>15</v>
      </c>
      <c r="B18" s="9" t="s">
        <v>1</v>
      </c>
      <c r="C18" s="9">
        <v>6.66</v>
      </c>
      <c r="D18" s="9">
        <v>3.41</v>
      </c>
      <c r="E18" s="12">
        <v>1.8961194845522977</v>
      </c>
      <c r="F18" s="12">
        <v>1.2267122912954254</v>
      </c>
      <c r="G18" s="7"/>
      <c r="I18" s="13" t="s">
        <v>21</v>
      </c>
      <c r="J18" s="21">
        <f>J10*(EXP($J$16*$J$8/2)-1)</f>
        <v>1.2310901766139302E-2</v>
      </c>
    </row>
    <row r="19" spans="1:11" x14ac:dyDescent="0.2">
      <c r="A19" s="8">
        <v>16</v>
      </c>
      <c r="B19" s="8" t="s">
        <v>1</v>
      </c>
      <c r="C19" s="8">
        <v>4.76</v>
      </c>
      <c r="D19" s="8">
        <v>2.4900000000000002</v>
      </c>
      <c r="E19" s="11">
        <v>1.5602476682433286</v>
      </c>
      <c r="F19" s="11">
        <v>0.91228271047661635</v>
      </c>
      <c r="G19" s="7"/>
      <c r="I19" s="13" t="s">
        <v>22</v>
      </c>
      <c r="J19" s="21">
        <f>$J$10^2*EXP($J$16*$J$8)*(EXP($J$16*$J$8)-1)</f>
        <v>1.8274557775942179E-2</v>
      </c>
    </row>
    <row r="20" spans="1:11" x14ac:dyDescent="0.2">
      <c r="A20" s="9">
        <v>17</v>
      </c>
      <c r="B20" s="9" t="s">
        <v>1</v>
      </c>
      <c r="C20" s="9">
        <v>7.16</v>
      </c>
      <c r="D20" s="9">
        <v>6.18</v>
      </c>
      <c r="E20" s="12">
        <v>1.9685099809725544</v>
      </c>
      <c r="F20" s="12">
        <v>1.8213182714695995</v>
      </c>
      <c r="G20" s="7"/>
      <c r="I20" s="13" t="s">
        <v>25</v>
      </c>
      <c r="J20" s="21">
        <f>$J$19+($J$18^2)</f>
        <v>1.8426116078237711E-2</v>
      </c>
    </row>
    <row r="21" spans="1:11" x14ac:dyDescent="0.2">
      <c r="A21" s="8">
        <v>18</v>
      </c>
      <c r="B21" s="8" t="s">
        <v>1</v>
      </c>
      <c r="C21" s="8">
        <v>5.52</v>
      </c>
      <c r="D21" s="8">
        <v>2.85</v>
      </c>
      <c r="E21" s="11">
        <v>1.7083778602890038</v>
      </c>
      <c r="F21" s="11">
        <v>1.0473189942805592</v>
      </c>
      <c r="G21" s="7"/>
      <c r="H21" s="3"/>
    </row>
    <row r="31" spans="1:11" x14ac:dyDescent="0.2">
      <c r="H31" s="3"/>
      <c r="J31" s="3"/>
      <c r="K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showGridLines="0" topLeftCell="C1" workbookViewId="0">
      <selection activeCell="J18" sqref="J18"/>
    </sheetView>
  </sheetViews>
  <sheetFormatPr baseColWidth="10" defaultRowHeight="11.25" x14ac:dyDescent="0.2"/>
  <cols>
    <col min="1" max="6" width="7.85546875" style="1" customWidth="1"/>
    <col min="7" max="7" width="11.42578125" style="1"/>
    <col min="8" max="8" width="8.5703125" style="1" customWidth="1"/>
    <col min="9" max="9" width="9.5703125" style="1" bestFit="1" customWidth="1"/>
    <col min="10" max="10" width="10.28515625" style="1" bestFit="1" customWidth="1"/>
    <col min="11" max="14" width="11.42578125" style="1"/>
    <col min="15" max="15" width="8.7109375" style="1" bestFit="1" customWidth="1"/>
    <col min="16" max="16" width="9.5703125" style="1" bestFit="1" customWidth="1"/>
    <col min="17" max="16384" width="11.42578125" style="1"/>
  </cols>
  <sheetData>
    <row r="1" spans="1:16" x14ac:dyDescent="0.2">
      <c r="A1" s="10" t="s">
        <v>2</v>
      </c>
      <c r="B1" s="10" t="s">
        <v>3</v>
      </c>
      <c r="C1" s="10">
        <v>1</v>
      </c>
      <c r="D1" s="10">
        <v>2</v>
      </c>
      <c r="E1" s="10" t="s">
        <v>6</v>
      </c>
      <c r="F1" s="10" t="s">
        <v>4</v>
      </c>
      <c r="G1" s="6"/>
    </row>
    <row r="2" spans="1:16" ht="12.75" x14ac:dyDescent="0.25">
      <c r="A2" s="2"/>
      <c r="B2" s="2"/>
      <c r="C2" s="10" t="s">
        <v>13</v>
      </c>
      <c r="D2" s="10" t="s">
        <v>14</v>
      </c>
      <c r="E2" s="10" t="s">
        <v>13</v>
      </c>
      <c r="F2" s="10" t="s">
        <v>14</v>
      </c>
      <c r="G2" s="2"/>
      <c r="I2" s="13" t="s">
        <v>10</v>
      </c>
      <c r="J2" s="4">
        <f>COUNT(A3:A11)</f>
        <v>9</v>
      </c>
      <c r="N2" s="18" t="s">
        <v>27</v>
      </c>
      <c r="O2" s="17" t="s">
        <v>30</v>
      </c>
      <c r="P2" s="17" t="s">
        <v>31</v>
      </c>
    </row>
    <row r="3" spans="1:16" x14ac:dyDescent="0.2">
      <c r="A3" s="8">
        <v>1</v>
      </c>
      <c r="B3" s="8" t="s">
        <v>0</v>
      </c>
      <c r="C3" s="8">
        <v>2.52</v>
      </c>
      <c r="D3" s="8">
        <v>5.47</v>
      </c>
      <c r="E3" s="11">
        <v>0.9242589015233319</v>
      </c>
      <c r="F3" s="11">
        <v>1.6992786164338898</v>
      </c>
      <c r="G3" s="7"/>
      <c r="I3" s="13" t="s">
        <v>11</v>
      </c>
      <c r="J3" s="4">
        <f>COUNT(A13:A21)</f>
        <v>9</v>
      </c>
      <c r="N3" s="4">
        <v>0</v>
      </c>
      <c r="O3" s="15">
        <f>(_xlfn.GAMMA($J$7/2)/(_xlfn.GAMMA(($J$7/2)+$N3)*FACT($N3)))*((-$J$6*$J$5)/4)^($N3)</f>
        <v>1</v>
      </c>
      <c r="P3" s="16">
        <f>(_xlfn.GAMMA($J$7/2)/(_xlfn.GAMMA(($J$7/2)+$N3)*FACT($N3)))*((-4*$J$6*$J$5)/4)^($N3)</f>
        <v>1</v>
      </c>
    </row>
    <row r="4" spans="1:16" x14ac:dyDescent="0.2">
      <c r="A4" s="9">
        <v>2</v>
      </c>
      <c r="B4" s="9" t="s">
        <v>0</v>
      </c>
      <c r="C4" s="9">
        <v>8.8699999999999992</v>
      </c>
      <c r="D4" s="9">
        <v>4.84</v>
      </c>
      <c r="E4" s="12">
        <v>2.1826747963214879</v>
      </c>
      <c r="F4" s="12">
        <v>1.5769147207285403</v>
      </c>
      <c r="G4" s="7"/>
      <c r="I4" s="13" t="s">
        <v>12</v>
      </c>
      <c r="J4" s="14">
        <f t="array" ref="J4">(SUMSQ(0.5*($F$3:$F$11-$E$3:$E$11)-AVERAGE(0.5*($F$3:$F$11-$E$3:$E$11)))+SUMSQ(0.5*($F$13:$F$21-$E$13:$E$21)-AVERAGE(0.5*($F$13:$F$21-$E$13:$E$21))))*(1/(J2+J3-2))</f>
        <v>0.15449938077371791</v>
      </c>
      <c r="N4" s="4">
        <v>1</v>
      </c>
      <c r="O4" s="15">
        <f t="shared" ref="O4:O18" si="0">(_xlfn.GAMMA($J$7/2)/(_xlfn.GAMMA(($J$7/2)+$N4)*FACT($N4)))*((-$J$6*$J$5)/4)^($N4)</f>
        <v>-1.7166597863746434E-2</v>
      </c>
      <c r="P4" s="16">
        <f t="shared" ref="P4:P18" si="1">(_xlfn.GAMMA($J$7/2)/(_xlfn.GAMMA(($J$7/2)+$N4)*FACT($N4)))*((-4*$J$6*$J$5)/4)^($N4)</f>
        <v>-6.8666391454985737E-2</v>
      </c>
    </row>
    <row r="5" spans="1:16" x14ac:dyDescent="0.2">
      <c r="A5" s="8">
        <v>3</v>
      </c>
      <c r="B5" s="8" t="s">
        <v>0</v>
      </c>
      <c r="C5" s="8">
        <v>0.79</v>
      </c>
      <c r="D5" s="8">
        <v>2.25</v>
      </c>
      <c r="E5" s="11">
        <v>-0.23572233352106983</v>
      </c>
      <c r="F5" s="11">
        <v>0.81093021621632877</v>
      </c>
      <c r="G5" s="7"/>
      <c r="I5" s="13" t="s">
        <v>15</v>
      </c>
      <c r="J5" s="14">
        <f>($J$2+$J$3-2)*$J$4</f>
        <v>2.4719900923794866</v>
      </c>
      <c r="N5" s="4">
        <v>2</v>
      </c>
      <c r="O5" s="15">
        <f t="shared" si="0"/>
        <v>1.3097425876248161E-4</v>
      </c>
      <c r="P5" s="16">
        <f t="shared" si="1"/>
        <v>2.0955881401997058E-3</v>
      </c>
    </row>
    <row r="6" spans="1:16" x14ac:dyDescent="0.2">
      <c r="A6" s="9">
        <v>4</v>
      </c>
      <c r="B6" s="9" t="s">
        <v>0</v>
      </c>
      <c r="C6" s="9">
        <v>1.68</v>
      </c>
      <c r="D6" s="9">
        <v>1.82</v>
      </c>
      <c r="E6" s="12">
        <v>0.51879379341516751</v>
      </c>
      <c r="F6" s="12">
        <v>0.59883650108870401</v>
      </c>
      <c r="G6" s="7"/>
      <c r="I6" s="13" t="s">
        <v>24</v>
      </c>
      <c r="J6" s="5">
        <f>(1/$J$2)+(1/$J$3)</f>
        <v>0.22222222222222221</v>
      </c>
      <c r="N6" s="4">
        <v>3</v>
      </c>
      <c r="O6" s="15">
        <f t="shared" si="0"/>
        <v>-5.9956864818074384E-7</v>
      </c>
      <c r="P6" s="16">
        <f t="shared" si="1"/>
        <v>-3.8372393483567606E-5</v>
      </c>
    </row>
    <row r="7" spans="1:16" x14ac:dyDescent="0.2">
      <c r="A7" s="8">
        <v>5</v>
      </c>
      <c r="B7" s="8" t="s">
        <v>0</v>
      </c>
      <c r="C7" s="8">
        <v>6.95</v>
      </c>
      <c r="D7" s="8">
        <v>7.87</v>
      </c>
      <c r="E7" s="11">
        <v>1.9387416595767009</v>
      </c>
      <c r="F7" s="11">
        <v>2.0630580624293118</v>
      </c>
      <c r="G7" s="7"/>
      <c r="I7" s="13" t="s">
        <v>26</v>
      </c>
      <c r="J7" s="4">
        <f>$J$2+$J$3-2</f>
        <v>16</v>
      </c>
      <c r="N7" s="4">
        <v>4</v>
      </c>
      <c r="O7" s="15">
        <f t="shared" si="0"/>
        <v>1.8713734318234354E-9</v>
      </c>
      <c r="P7" s="16">
        <f t="shared" si="1"/>
        <v>4.7907159854679946E-7</v>
      </c>
    </row>
    <row r="8" spans="1:16" ht="12.75" x14ac:dyDescent="0.25">
      <c r="A8" s="9">
        <v>6</v>
      </c>
      <c r="B8" s="9" t="s">
        <v>0</v>
      </c>
      <c r="C8" s="9">
        <v>1.05</v>
      </c>
      <c r="D8" s="9">
        <v>3.25</v>
      </c>
      <c r="E8" s="12">
        <v>4.8790164169432049E-2</v>
      </c>
      <c r="F8" s="12">
        <v>1.1786549963416462</v>
      </c>
      <c r="G8" s="7"/>
      <c r="I8" s="17" t="s">
        <v>30</v>
      </c>
      <c r="J8" s="5">
        <f>SUM($O$3:$O$18)</f>
        <v>0.98296377869346552</v>
      </c>
      <c r="N8" s="4">
        <v>5</v>
      </c>
      <c r="O8" s="15">
        <f t="shared" si="0"/>
        <v>-4.2833486876016018E-12</v>
      </c>
      <c r="P8" s="16">
        <f t="shared" si="1"/>
        <v>-4.3861490561040403E-9</v>
      </c>
    </row>
    <row r="9" spans="1:16" x14ac:dyDescent="0.2">
      <c r="A9" s="8">
        <v>7</v>
      </c>
      <c r="B9" s="8" t="s">
        <v>0</v>
      </c>
      <c r="C9" s="8">
        <v>0.99</v>
      </c>
      <c r="D9" s="8">
        <v>12.39</v>
      </c>
      <c r="E9" s="11">
        <v>-1.0050335853501451E-2</v>
      </c>
      <c r="F9" s="11">
        <v>2.5168896956410509</v>
      </c>
      <c r="G9" s="7"/>
      <c r="I9" s="13" t="s">
        <v>16</v>
      </c>
      <c r="J9" s="4">
        <f>1/(J2+J3-2)</f>
        <v>6.25E-2</v>
      </c>
      <c r="N9" s="4">
        <v>6</v>
      </c>
      <c r="O9" s="15">
        <f t="shared" si="0"/>
        <v>7.5415922492577173E-15</v>
      </c>
      <c r="P9" s="16">
        <f t="shared" si="1"/>
        <v>3.089036185295961E-11</v>
      </c>
    </row>
    <row r="10" spans="1:16" x14ac:dyDescent="0.2">
      <c r="A10" s="9">
        <v>8</v>
      </c>
      <c r="B10" s="9" t="s">
        <v>0</v>
      </c>
      <c r="C10" s="9">
        <v>5.6</v>
      </c>
      <c r="D10" s="9">
        <v>4.7699999999999996</v>
      </c>
      <c r="E10" s="12">
        <v>1.7227665977411035</v>
      </c>
      <c r="F10" s="12">
        <v>1.5623463049002497</v>
      </c>
      <c r="G10" s="7"/>
      <c r="I10" s="13" t="s">
        <v>8</v>
      </c>
      <c r="J10" s="5">
        <f>(SUM(E3:E11)+SUM(F13:F21))*(1/($J$2+$J$3))</f>
        <v>1.1798220603101763</v>
      </c>
      <c r="N10" s="4">
        <v>7</v>
      </c>
      <c r="O10" s="15">
        <f t="shared" si="0"/>
        <v>-1.0568447460845241E-17</v>
      </c>
      <c r="P10" s="16">
        <f t="shared" si="1"/>
        <v>-1.7315344319848843E-13</v>
      </c>
    </row>
    <row r="11" spans="1:16" x14ac:dyDescent="0.2">
      <c r="A11" s="8">
        <v>9</v>
      </c>
      <c r="B11" s="8" t="s">
        <v>0</v>
      </c>
      <c r="C11" s="8">
        <v>3.16</v>
      </c>
      <c r="D11" s="8">
        <v>1.88</v>
      </c>
      <c r="E11" s="11">
        <v>1.1505720275988207</v>
      </c>
      <c r="F11" s="11">
        <v>0.63127177684185776</v>
      </c>
      <c r="G11" s="7"/>
      <c r="I11" s="13" t="s">
        <v>7</v>
      </c>
      <c r="J11" s="5">
        <f>(SUM(E13:E21)+SUM(F3:F11))*(1/($J$2+$J$3))</f>
        <v>1.5208979568281833</v>
      </c>
      <c r="N11" s="4">
        <v>8</v>
      </c>
      <c r="O11" s="15">
        <f t="shared" si="0"/>
        <v>1.2094952506964155E-20</v>
      </c>
      <c r="P11" s="16">
        <f t="shared" si="1"/>
        <v>7.9265480749640289E-16</v>
      </c>
    </row>
    <row r="12" spans="1:16" x14ac:dyDescent="0.2">
      <c r="C12" s="10" t="s">
        <v>14</v>
      </c>
      <c r="D12" s="10" t="s">
        <v>13</v>
      </c>
      <c r="E12" s="10" t="s">
        <v>14</v>
      </c>
      <c r="F12" s="10" t="s">
        <v>13</v>
      </c>
      <c r="G12" s="3"/>
      <c r="I12" s="13" t="s">
        <v>5</v>
      </c>
      <c r="J12" s="5">
        <f>0.5*((AVERAGE(E3:E11)+AVERAGE(F13:F21))-(AVERAGE(F3:F11)+AVERAGE(E13:E21)))</f>
        <v>-0.34107589651800696</v>
      </c>
      <c r="N12" s="4">
        <v>9</v>
      </c>
      <c r="O12" s="15">
        <f t="shared" si="0"/>
        <v>-1.1534954770453635E-23</v>
      </c>
      <c r="P12" s="16">
        <f t="shared" si="1"/>
        <v>-3.0238191833457978E-18</v>
      </c>
    </row>
    <row r="13" spans="1:16" x14ac:dyDescent="0.2">
      <c r="A13" s="8">
        <v>10</v>
      </c>
      <c r="B13" s="8" t="s">
        <v>1</v>
      </c>
      <c r="C13" s="8">
        <v>4.9800000000000004</v>
      </c>
      <c r="D13" s="8">
        <v>3.19</v>
      </c>
      <c r="E13" s="11">
        <v>1.6054298910365616</v>
      </c>
      <c r="F13" s="11">
        <v>1.1600209167967532</v>
      </c>
      <c r="G13" s="7"/>
      <c r="N13" s="4">
        <v>10</v>
      </c>
      <c r="O13" s="15">
        <f t="shared" si="0"/>
        <v>9.3183967021591115E-27</v>
      </c>
      <c r="P13" s="16">
        <f t="shared" si="1"/>
        <v>9.7710471403631925E-21</v>
      </c>
    </row>
    <row r="14" spans="1:16" x14ac:dyDescent="0.2">
      <c r="A14" s="9">
        <v>11</v>
      </c>
      <c r="B14" s="9" t="s">
        <v>1</v>
      </c>
      <c r="C14" s="9">
        <v>7.14</v>
      </c>
      <c r="D14" s="9">
        <v>9.83</v>
      </c>
      <c r="E14" s="12">
        <v>1.965712776351493</v>
      </c>
      <c r="F14" s="12">
        <v>2.2854389341590751</v>
      </c>
      <c r="G14" s="7"/>
      <c r="I14" s="13" t="s">
        <v>15</v>
      </c>
      <c r="J14" s="5">
        <f>(0.5*((AVERAGE($F$3:$F$11)-AVERAGE($E$3:$E$11))-(AVERAGE($F$13:$F$21)-AVERAGE($E$13:$E$21))))^2*(($J$2*$J$3)/(2*($J$2+$J$3)))</f>
        <v>0.26174872616751493</v>
      </c>
      <c r="N14" s="4">
        <v>11</v>
      </c>
      <c r="O14" s="15">
        <f t="shared" si="0"/>
        <v>-6.4632391483162184E-30</v>
      </c>
      <c r="P14" s="16">
        <f t="shared" si="1"/>
        <v>-2.7108789812739308E-23</v>
      </c>
    </row>
    <row r="15" spans="1:16" ht="12.75" x14ac:dyDescent="0.25">
      <c r="A15" s="8">
        <v>12</v>
      </c>
      <c r="B15" s="8" t="s">
        <v>1</v>
      </c>
      <c r="C15" s="8">
        <v>1.81</v>
      </c>
      <c r="D15" s="8">
        <v>2.91</v>
      </c>
      <c r="E15" s="11">
        <v>0.59332684527773438</v>
      </c>
      <c r="F15" s="11">
        <v>1.0681530811834012</v>
      </c>
      <c r="G15" s="7"/>
      <c r="I15" s="4" t="s">
        <v>29</v>
      </c>
      <c r="J15" s="21">
        <f>EXP(J12)</f>
        <v>0.71100494335907694</v>
      </c>
      <c r="N15" s="4">
        <v>12</v>
      </c>
      <c r="O15" s="15">
        <f t="shared" si="0"/>
        <v>3.8930465739076319E-33</v>
      </c>
      <c r="P15" s="16">
        <f t="shared" si="1"/>
        <v>6.5314483268508305E-26</v>
      </c>
    </row>
    <row r="16" spans="1:16" ht="12.75" x14ac:dyDescent="0.25">
      <c r="A16" s="9">
        <v>13</v>
      </c>
      <c r="B16" s="9" t="s">
        <v>1</v>
      </c>
      <c r="C16" s="9">
        <v>7.34</v>
      </c>
      <c r="D16" s="9">
        <v>4.58</v>
      </c>
      <c r="E16" s="12">
        <v>1.9933388426264242</v>
      </c>
      <c r="F16" s="12">
        <v>1.5216989981260935</v>
      </c>
      <c r="G16" s="7"/>
      <c r="I16" s="4" t="s">
        <v>28</v>
      </c>
      <c r="J16" s="21">
        <f>$J$15*$J$8</f>
        <v>0.69889210579397165</v>
      </c>
      <c r="N16" s="4">
        <v>13</v>
      </c>
      <c r="O16" s="15">
        <f t="shared" si="0"/>
        <v>-2.056318923049481E-36</v>
      </c>
      <c r="P16" s="16">
        <f t="shared" si="1"/>
        <v>-1.3799722694755409E-28</v>
      </c>
    </row>
    <row r="17" spans="1:16" x14ac:dyDescent="0.2">
      <c r="A17" s="8">
        <v>14</v>
      </c>
      <c r="B17" s="8" t="s">
        <v>1</v>
      </c>
      <c r="C17" s="8">
        <v>4.25</v>
      </c>
      <c r="D17" s="8">
        <v>7.05</v>
      </c>
      <c r="E17" s="11">
        <v>1.4469189829363254</v>
      </c>
      <c r="F17" s="11">
        <v>1.9530276168241774</v>
      </c>
      <c r="G17" s="7"/>
      <c r="N17" s="4">
        <v>14</v>
      </c>
      <c r="O17" s="15">
        <f t="shared" si="0"/>
        <v>9.6054421854700893E-40</v>
      </c>
      <c r="P17" s="16">
        <f t="shared" si="1"/>
        <v>2.5784412531383E-31</v>
      </c>
    </row>
    <row r="18" spans="1:16" ht="12.75" x14ac:dyDescent="0.25">
      <c r="A18" s="9">
        <v>15</v>
      </c>
      <c r="B18" s="9" t="s">
        <v>1</v>
      </c>
      <c r="C18" s="9">
        <v>6.66</v>
      </c>
      <c r="D18" s="9">
        <v>3.41</v>
      </c>
      <c r="E18" s="12">
        <v>1.8961194845522977</v>
      </c>
      <c r="F18" s="12">
        <v>1.2267122912954254</v>
      </c>
      <c r="G18" s="7"/>
      <c r="I18" s="17" t="s">
        <v>31</v>
      </c>
      <c r="J18" s="5">
        <f>SUM($P$3:$P$18)</f>
        <v>0.93339129900789775</v>
      </c>
      <c r="N18" s="4">
        <v>15</v>
      </c>
      <c r="O18" s="15">
        <f t="shared" si="0"/>
        <v>-3.9974003224589265E-43</v>
      </c>
      <c r="P18" s="16">
        <f t="shared" si="1"/>
        <v>-4.2921759134952359E-34</v>
      </c>
    </row>
    <row r="19" spans="1:16" ht="12.75" x14ac:dyDescent="0.25">
      <c r="A19" s="8">
        <v>16</v>
      </c>
      <c r="B19" s="8" t="s">
        <v>1</v>
      </c>
      <c r="C19" s="8">
        <v>4.76</v>
      </c>
      <c r="D19" s="8">
        <v>2.4900000000000002</v>
      </c>
      <c r="E19" s="11">
        <v>1.5602476682433286</v>
      </c>
      <c r="F19" s="11">
        <v>0.91228271047661635</v>
      </c>
      <c r="G19" s="7"/>
      <c r="I19" s="4" t="s">
        <v>32</v>
      </c>
      <c r="J19" s="21">
        <f>$J$16^2*(($J$8^2)-$J$18)</f>
        <v>1.6034105396580345E-2</v>
      </c>
    </row>
    <row r="20" spans="1:16" x14ac:dyDescent="0.2">
      <c r="A20" s="9">
        <v>17</v>
      </c>
      <c r="B20" s="9" t="s">
        <v>1</v>
      </c>
      <c r="C20" s="9">
        <v>7.16</v>
      </c>
      <c r="D20" s="9">
        <v>6.18</v>
      </c>
      <c r="E20" s="12">
        <v>1.9685099809725544</v>
      </c>
      <c r="F20" s="12">
        <v>1.8213182714695995</v>
      </c>
      <c r="G20" s="7"/>
      <c r="I20" s="4" t="s">
        <v>33</v>
      </c>
      <c r="J20" s="21">
        <f>MLE!$J$19/MVUE!$J$19</f>
        <v>1.1397304261103125</v>
      </c>
    </row>
    <row r="21" spans="1:16" x14ac:dyDescent="0.2">
      <c r="A21" s="8">
        <v>18</v>
      </c>
      <c r="B21" s="8" t="s">
        <v>1</v>
      </c>
      <c r="C21" s="8">
        <v>5.52</v>
      </c>
      <c r="D21" s="8">
        <v>2.85</v>
      </c>
      <c r="E21" s="11">
        <v>1.7083778602890038</v>
      </c>
      <c r="F21" s="11">
        <v>1.0473189942805592</v>
      </c>
      <c r="G21" s="7"/>
      <c r="H21" s="3"/>
    </row>
    <row r="31" spans="1:16" x14ac:dyDescent="0.2">
      <c r="H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showGridLines="0" workbookViewId="0">
      <selection activeCell="B30" sqref="B30"/>
    </sheetView>
  </sheetViews>
  <sheetFormatPr baseColWidth="10" defaultRowHeight="11.25" x14ac:dyDescent="0.2"/>
  <cols>
    <col min="1" max="7" width="7.85546875" style="1" customWidth="1"/>
    <col min="8" max="8" width="8.5703125" style="1" customWidth="1"/>
    <col min="9" max="9" width="9.5703125" style="1" bestFit="1" customWidth="1"/>
    <col min="10" max="10" width="6.5703125" style="1" bestFit="1" customWidth="1"/>
    <col min="11" max="16384" width="11.42578125" style="1"/>
  </cols>
  <sheetData>
    <row r="1" spans="1:13" x14ac:dyDescent="0.2">
      <c r="A1" s="10" t="s">
        <v>2</v>
      </c>
      <c r="B1" s="10" t="s">
        <v>3</v>
      </c>
      <c r="C1" s="10">
        <v>1</v>
      </c>
      <c r="D1" s="10">
        <v>2</v>
      </c>
      <c r="E1" s="10" t="s">
        <v>6</v>
      </c>
      <c r="F1" s="10" t="s">
        <v>4</v>
      </c>
      <c r="G1" s="19" t="s">
        <v>34</v>
      </c>
    </row>
    <row r="2" spans="1:13" x14ac:dyDescent="0.2">
      <c r="A2" s="2"/>
      <c r="B2" s="2"/>
      <c r="C2" s="10" t="s">
        <v>13</v>
      </c>
      <c r="D2" s="10" t="s">
        <v>14</v>
      </c>
      <c r="E2" s="10" t="s">
        <v>13</v>
      </c>
      <c r="F2" s="10" t="s">
        <v>14</v>
      </c>
      <c r="I2" s="13" t="s">
        <v>10</v>
      </c>
      <c r="J2" s="4">
        <f>COUNT(A3:A11)</f>
        <v>9</v>
      </c>
    </row>
    <row r="3" spans="1:13" x14ac:dyDescent="0.2">
      <c r="A3" s="8">
        <v>1</v>
      </c>
      <c r="B3" s="8" t="s">
        <v>0</v>
      </c>
      <c r="C3" s="8">
        <v>2.52</v>
      </c>
      <c r="D3" s="8">
        <v>5.47</v>
      </c>
      <c r="E3" s="11">
        <v>0.9242589015233319</v>
      </c>
      <c r="F3" s="11">
        <v>1.6992786164338898</v>
      </c>
      <c r="G3" s="11">
        <f>IF($B3="CD",$C3/$D3,$D3/$C3)</f>
        <v>0.46069469835466181</v>
      </c>
      <c r="I3" s="13" t="s">
        <v>11</v>
      </c>
      <c r="J3" s="4">
        <f>COUNT(A13:A21)</f>
        <v>9</v>
      </c>
    </row>
    <row r="4" spans="1:13" ht="12.75" x14ac:dyDescent="0.25">
      <c r="A4" s="9">
        <v>2</v>
      </c>
      <c r="B4" s="9" t="s">
        <v>0</v>
      </c>
      <c r="C4" s="9">
        <v>8.8699999999999992</v>
      </c>
      <c r="D4" s="9">
        <v>4.84</v>
      </c>
      <c r="E4" s="12">
        <v>2.1826747963214879</v>
      </c>
      <c r="F4" s="12">
        <v>1.5769147207285403</v>
      </c>
      <c r="G4" s="12">
        <f t="shared" ref="G4:G21" si="0">IF($B4="CD",$C4/$D4,$D4/$C4)</f>
        <v>1.8326446280991735</v>
      </c>
      <c r="I4" s="13" t="s">
        <v>35</v>
      </c>
      <c r="J4" s="16">
        <f>((SUM($G$3:$G$11)/$J$2)+(SUM($G$13:$G$21)/$J$3))/2</f>
        <v>0.89060370285684032</v>
      </c>
    </row>
    <row r="5" spans="1:13" x14ac:dyDescent="0.2">
      <c r="A5" s="8">
        <v>3</v>
      </c>
      <c r="B5" s="8" t="s">
        <v>0</v>
      </c>
      <c r="C5" s="8">
        <v>0.79</v>
      </c>
      <c r="D5" s="8">
        <v>2.25</v>
      </c>
      <c r="E5" s="11">
        <v>-0.23572233352106983</v>
      </c>
      <c r="F5" s="11">
        <v>0.81093021621632877</v>
      </c>
      <c r="G5" s="11">
        <f t="shared" si="0"/>
        <v>0.35111111111111115</v>
      </c>
      <c r="I5" s="13" t="s">
        <v>36</v>
      </c>
      <c r="J5" s="16">
        <f t="array" ref="J5">0.5*((AVERAGE($F$13:$F$21)-AVERAGE($E$13:$E$21))-(AVERAGE($E$3:$E$11)-AVERAGE($F$3:$F$11)))</f>
        <v>0.14751917233200462</v>
      </c>
    </row>
    <row r="6" spans="1:13" ht="12.75" x14ac:dyDescent="0.2">
      <c r="A6" s="9">
        <v>4</v>
      </c>
      <c r="B6" s="9" t="s">
        <v>0</v>
      </c>
      <c r="C6" s="9">
        <v>1.68</v>
      </c>
      <c r="D6" s="9">
        <v>1.82</v>
      </c>
      <c r="E6" s="12">
        <v>0.51879379341516751</v>
      </c>
      <c r="F6" s="12">
        <v>0.59883650108870401</v>
      </c>
      <c r="G6" s="12">
        <f t="shared" si="0"/>
        <v>0.92307692307692302</v>
      </c>
      <c r="I6" s="13" t="s">
        <v>37</v>
      </c>
      <c r="J6" s="16">
        <f t="array" ref="J6">(SUMSQ(0.5*($F$3:$F$11-$E$3:$E$11)-AVERAGE(0.5*($F$3:$F$11-$E$3:$E$11)))+SUMSQ(0.5*($F$13:$F$21-$E$13:$E$21)-AVERAGE(0.5*($F$13:$F$21-$E$13:$E$21))))*(1/(J2+J3-2))</f>
        <v>0.15449938077371791</v>
      </c>
    </row>
    <row r="7" spans="1:13" ht="12.75" x14ac:dyDescent="0.25">
      <c r="A7" s="8">
        <v>5</v>
      </c>
      <c r="B7" s="8" t="s">
        <v>0</v>
      </c>
      <c r="C7" s="8">
        <v>6.95</v>
      </c>
      <c r="D7" s="8">
        <v>7.87</v>
      </c>
      <c r="E7" s="11">
        <v>1.9387416595767009</v>
      </c>
      <c r="F7" s="11">
        <v>2.0630580624293118</v>
      </c>
      <c r="G7" s="11">
        <f t="shared" si="0"/>
        <v>0.88310038119440915</v>
      </c>
      <c r="I7" s="4" t="s">
        <v>29</v>
      </c>
      <c r="J7" s="5">
        <f>EXP(M17)</f>
        <v>0.71100494335907694</v>
      </c>
    </row>
    <row r="8" spans="1:13" x14ac:dyDescent="0.2">
      <c r="A8" s="9">
        <v>6</v>
      </c>
      <c r="B8" s="9" t="s">
        <v>0</v>
      </c>
      <c r="C8" s="9">
        <v>1.05</v>
      </c>
      <c r="D8" s="9">
        <v>3.25</v>
      </c>
      <c r="E8" s="12">
        <v>4.8790164169432049E-2</v>
      </c>
      <c r="F8" s="12">
        <v>1.1786549963416462</v>
      </c>
      <c r="G8" s="12">
        <f t="shared" si="0"/>
        <v>0.32307692307692309</v>
      </c>
    </row>
    <row r="9" spans="1:13" x14ac:dyDescent="0.2">
      <c r="A9" s="8">
        <v>7</v>
      </c>
      <c r="B9" s="8" t="s">
        <v>0</v>
      </c>
      <c r="C9" s="8">
        <v>0.99</v>
      </c>
      <c r="D9" s="8">
        <v>12.39</v>
      </c>
      <c r="E9" s="11">
        <v>-1.0050335853501451E-2</v>
      </c>
      <c r="F9" s="11">
        <v>2.5168896956410509</v>
      </c>
      <c r="G9" s="11">
        <f t="shared" si="0"/>
        <v>7.990314769975787E-2</v>
      </c>
    </row>
    <row r="10" spans="1:13" x14ac:dyDescent="0.2">
      <c r="A10" s="9">
        <v>8</v>
      </c>
      <c r="B10" s="9" t="s">
        <v>0</v>
      </c>
      <c r="C10" s="9">
        <v>5.6</v>
      </c>
      <c r="D10" s="9">
        <v>4.7699999999999996</v>
      </c>
      <c r="E10" s="12">
        <v>1.7227665977411035</v>
      </c>
      <c r="F10" s="12">
        <v>1.5623463049002497</v>
      </c>
      <c r="G10" s="12">
        <f t="shared" si="0"/>
        <v>1.1740041928721174</v>
      </c>
      <c r="I10" s="4" t="s">
        <v>20</v>
      </c>
      <c r="J10" s="16">
        <f>0.5*$J$7*((EXP(2*$J$6)*(EXP(-$J$5)+EXP($J$5)))-2)</f>
        <v>0.26798352120786845</v>
      </c>
      <c r="L10" s="13" t="s">
        <v>15</v>
      </c>
      <c r="M10" s="14">
        <f>($J$2+$J$3-2)*$J$6</f>
        <v>2.4719900923794866</v>
      </c>
    </row>
    <row r="11" spans="1:13" x14ac:dyDescent="0.2">
      <c r="A11" s="8">
        <v>9</v>
      </c>
      <c r="B11" s="8" t="s">
        <v>0</v>
      </c>
      <c r="C11" s="8">
        <v>3.16</v>
      </c>
      <c r="D11" s="8">
        <v>1.88</v>
      </c>
      <c r="E11" s="11">
        <v>1.1505720275988207</v>
      </c>
      <c r="F11" s="11">
        <v>0.63127177684185776</v>
      </c>
      <c r="G11" s="11">
        <f t="shared" si="0"/>
        <v>1.6808510638297873</v>
      </c>
      <c r="L11" s="13" t="s">
        <v>24</v>
      </c>
      <c r="M11" s="5">
        <f>(1/$J$2)+(1/$J$3)</f>
        <v>0.22222222222222221</v>
      </c>
    </row>
    <row r="12" spans="1:13" x14ac:dyDescent="0.2">
      <c r="C12" s="10" t="s">
        <v>14</v>
      </c>
      <c r="D12" s="10" t="s">
        <v>13</v>
      </c>
      <c r="E12" s="10" t="s">
        <v>14</v>
      </c>
      <c r="F12" s="10" t="s">
        <v>13</v>
      </c>
      <c r="L12" s="13" t="s">
        <v>26</v>
      </c>
      <c r="M12" s="4">
        <f>$J$2+$J$3-2</f>
        <v>16</v>
      </c>
    </row>
    <row r="13" spans="1:13" x14ac:dyDescent="0.2">
      <c r="A13" s="8">
        <v>10</v>
      </c>
      <c r="B13" s="8" t="s">
        <v>1</v>
      </c>
      <c r="C13" s="8">
        <v>4.9800000000000004</v>
      </c>
      <c r="D13" s="8">
        <v>3.19</v>
      </c>
      <c r="E13" s="11">
        <v>1.6054298910365616</v>
      </c>
      <c r="F13" s="11">
        <v>1.1600209167967532</v>
      </c>
      <c r="G13" s="11">
        <f t="shared" si="0"/>
        <v>0.64056224899598391</v>
      </c>
      <c r="M13" s="5"/>
    </row>
    <row r="14" spans="1:13" x14ac:dyDescent="0.2">
      <c r="A14" s="9">
        <v>11</v>
      </c>
      <c r="B14" s="9" t="s">
        <v>1</v>
      </c>
      <c r="C14" s="9">
        <v>7.14</v>
      </c>
      <c r="D14" s="9">
        <v>9.83</v>
      </c>
      <c r="E14" s="12">
        <v>1.965712776351493</v>
      </c>
      <c r="F14" s="12">
        <v>2.2854389341590751</v>
      </c>
      <c r="G14" s="12">
        <f t="shared" si="0"/>
        <v>1.376750700280112</v>
      </c>
      <c r="L14" s="13" t="s">
        <v>16</v>
      </c>
      <c r="M14" s="4">
        <f>1/(J2+J3-2)</f>
        <v>6.25E-2</v>
      </c>
    </row>
    <row r="15" spans="1:13" x14ac:dyDescent="0.2">
      <c r="A15" s="8">
        <v>12</v>
      </c>
      <c r="B15" s="8" t="s">
        <v>1</v>
      </c>
      <c r="C15" s="8">
        <v>1.81</v>
      </c>
      <c r="D15" s="8">
        <v>2.91</v>
      </c>
      <c r="E15" s="11">
        <v>0.59332684527773438</v>
      </c>
      <c r="F15" s="11">
        <v>1.0681530811834012</v>
      </c>
      <c r="G15" s="11">
        <f t="shared" si="0"/>
        <v>1.6077348066298343</v>
      </c>
      <c r="L15" s="13" t="s">
        <v>8</v>
      </c>
      <c r="M15" s="5">
        <f>(SUM(E3:E11)+SUM(F13:F21))*(1/($J$2+$J$3))</f>
        <v>1.1798220603101763</v>
      </c>
    </row>
    <row r="16" spans="1:13" x14ac:dyDescent="0.2">
      <c r="A16" s="9">
        <v>13</v>
      </c>
      <c r="B16" s="9" t="s">
        <v>1</v>
      </c>
      <c r="C16" s="9">
        <v>7.34</v>
      </c>
      <c r="D16" s="9">
        <v>4.58</v>
      </c>
      <c r="E16" s="12">
        <v>1.9933388426264242</v>
      </c>
      <c r="F16" s="12">
        <v>1.5216989981260935</v>
      </c>
      <c r="G16" s="12">
        <f t="shared" si="0"/>
        <v>0.62397820163487738</v>
      </c>
      <c r="L16" s="13" t="s">
        <v>7</v>
      </c>
      <c r="M16" s="5">
        <f>(SUM(E13:E21)+SUM(F3:F11))*(1/($J$2+$J$3))</f>
        <v>1.5208979568281833</v>
      </c>
    </row>
    <row r="17" spans="1:13" x14ac:dyDescent="0.2">
      <c r="A17" s="8">
        <v>14</v>
      </c>
      <c r="B17" s="8" t="s">
        <v>1</v>
      </c>
      <c r="C17" s="8">
        <v>4.25</v>
      </c>
      <c r="D17" s="8">
        <v>7.05</v>
      </c>
      <c r="E17" s="11">
        <v>1.4469189829363254</v>
      </c>
      <c r="F17" s="11">
        <v>1.9530276168241774</v>
      </c>
      <c r="G17" s="11">
        <f t="shared" si="0"/>
        <v>1.6588235294117646</v>
      </c>
      <c r="L17" s="13" t="s">
        <v>5</v>
      </c>
      <c r="M17" s="5">
        <f>0.5*((AVERAGE(E3:E11)+AVERAGE(F13:F21))-(AVERAGE(F3:F11)+AVERAGE(E13:E21)))</f>
        <v>-0.34107589651800696</v>
      </c>
    </row>
    <row r="18" spans="1:13" x14ac:dyDescent="0.2">
      <c r="A18" s="9">
        <v>15</v>
      </c>
      <c r="B18" s="9" t="s">
        <v>1</v>
      </c>
      <c r="C18" s="9">
        <v>6.66</v>
      </c>
      <c r="D18" s="9">
        <v>3.41</v>
      </c>
      <c r="E18" s="12">
        <v>1.8961194845522977</v>
      </c>
      <c r="F18" s="12">
        <v>1.2267122912954254</v>
      </c>
      <c r="G18" s="12">
        <f t="shared" si="0"/>
        <v>0.51201201201201207</v>
      </c>
    </row>
    <row r="19" spans="1:13" x14ac:dyDescent="0.2">
      <c r="A19" s="8">
        <v>16</v>
      </c>
      <c r="B19" s="8" t="s">
        <v>1</v>
      </c>
      <c r="C19" s="8">
        <v>4.76</v>
      </c>
      <c r="D19" s="8">
        <v>2.4900000000000002</v>
      </c>
      <c r="E19" s="11">
        <v>1.5602476682433286</v>
      </c>
      <c r="F19" s="11">
        <v>0.91228271047661635</v>
      </c>
      <c r="G19" s="11">
        <f t="shared" si="0"/>
        <v>0.52310924369747902</v>
      </c>
      <c r="L19" s="13" t="s">
        <v>15</v>
      </c>
      <c r="M19" s="5">
        <f>(0.5*((AVERAGE($F$3:$F$11)-AVERAGE($E$3:$E$11))-(AVERAGE($F$13:$F$21)-AVERAGE($E$13:$E$21))))^2*(($J$2*$J$3)/(2*($J$2+$J$3)))</f>
        <v>0.26174872616751493</v>
      </c>
    </row>
    <row r="20" spans="1:13" x14ac:dyDescent="0.2">
      <c r="A20" s="9">
        <v>17</v>
      </c>
      <c r="B20" s="9" t="s">
        <v>1</v>
      </c>
      <c r="C20" s="9">
        <v>7.16</v>
      </c>
      <c r="D20" s="9">
        <v>6.18</v>
      </c>
      <c r="E20" s="12">
        <v>1.9685099809725544</v>
      </c>
      <c r="F20" s="12">
        <v>1.8213182714695995</v>
      </c>
      <c r="G20" s="12">
        <f t="shared" si="0"/>
        <v>0.86312849162011163</v>
      </c>
    </row>
    <row r="21" spans="1:13" ht="12.75" x14ac:dyDescent="0.25">
      <c r="A21" s="8">
        <v>18</v>
      </c>
      <c r="B21" s="8" t="s">
        <v>1</v>
      </c>
      <c r="C21" s="8">
        <v>5.52</v>
      </c>
      <c r="D21" s="8">
        <v>2.85</v>
      </c>
      <c r="E21" s="11">
        <v>1.7083778602890038</v>
      </c>
      <c r="F21" s="11">
        <v>1.0473189942805592</v>
      </c>
      <c r="G21" s="11">
        <f t="shared" si="0"/>
        <v>0.51630434782608703</v>
      </c>
      <c r="H21" s="3"/>
      <c r="L21" s="4" t="s">
        <v>28</v>
      </c>
      <c r="M21" s="5">
        <f>$J$7*$M$13</f>
        <v>0</v>
      </c>
    </row>
    <row r="25" spans="1:13" x14ac:dyDescent="0.2">
      <c r="L25" s="4" t="s">
        <v>33</v>
      </c>
      <c r="M25" s="5">
        <f>MLE!$J$19/MVUE!$J$19</f>
        <v>1.1397304261103125</v>
      </c>
    </row>
    <row r="31" spans="1:13" x14ac:dyDescent="0.2">
      <c r="H31" s="3"/>
      <c r="J31" s="3"/>
      <c r="K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showGridLines="0" workbookViewId="0">
      <selection activeCell="H26" sqref="H26"/>
    </sheetView>
  </sheetViews>
  <sheetFormatPr baseColWidth="10" defaultRowHeight="11.25" x14ac:dyDescent="0.2"/>
  <cols>
    <col min="1" max="7" width="7.85546875" style="1" customWidth="1"/>
    <col min="8" max="8" width="8.5703125" style="1" customWidth="1"/>
    <col min="9" max="9" width="9.5703125" style="1" bestFit="1" customWidth="1"/>
    <col min="10" max="10" width="6.5703125" style="1" bestFit="1" customWidth="1"/>
    <col min="11" max="11" width="11.42578125" style="1"/>
    <col min="12" max="13" width="5.7109375" style="1" bestFit="1" customWidth="1"/>
    <col min="14" max="16384" width="11.42578125" style="1"/>
  </cols>
  <sheetData>
    <row r="1" spans="1:13" x14ac:dyDescent="0.2">
      <c r="A1" s="10" t="s">
        <v>2</v>
      </c>
      <c r="B1" s="10" t="s">
        <v>3</v>
      </c>
      <c r="C1" s="10">
        <v>1</v>
      </c>
      <c r="D1" s="10">
        <v>2</v>
      </c>
      <c r="E1" s="10" t="s">
        <v>6</v>
      </c>
      <c r="F1" s="10" t="s">
        <v>4</v>
      </c>
      <c r="G1" s="19" t="s">
        <v>34</v>
      </c>
    </row>
    <row r="2" spans="1:13" x14ac:dyDescent="0.2">
      <c r="A2" s="2"/>
      <c r="B2" s="2"/>
      <c r="C2" s="10" t="s">
        <v>13</v>
      </c>
      <c r="D2" s="10" t="s">
        <v>14</v>
      </c>
      <c r="E2" s="10" t="s">
        <v>13</v>
      </c>
      <c r="F2" s="10" t="s">
        <v>14</v>
      </c>
      <c r="I2" s="13" t="s">
        <v>10</v>
      </c>
      <c r="J2" s="4">
        <f>COUNT(A3:A11)</f>
        <v>9</v>
      </c>
      <c r="L2" s="21">
        <f>_xlfn.VAR.S($F$27:$F$44)</f>
        <v>0.30925536957149419</v>
      </c>
      <c r="M2" s="21">
        <f>_xlfn.COVARIANCE.S($E$27:$E$44,$F$27:$F$44)</f>
        <v>0.13261404832036439</v>
      </c>
    </row>
    <row r="3" spans="1:13" x14ac:dyDescent="0.2">
      <c r="A3" s="8">
        <v>1</v>
      </c>
      <c r="B3" s="8" t="s">
        <v>0</v>
      </c>
      <c r="C3" s="8">
        <v>2.52</v>
      </c>
      <c r="D3" s="8">
        <v>5.47</v>
      </c>
      <c r="E3" s="11">
        <v>0.9242589015233319</v>
      </c>
      <c r="F3" s="11">
        <v>1.6992786164338898</v>
      </c>
      <c r="G3" s="11">
        <f>IF($B3="CD",$C3/$D3,$D3/$C3)</f>
        <v>0.46069469835466181</v>
      </c>
      <c r="I3" s="13" t="s">
        <v>11</v>
      </c>
      <c r="J3" s="4">
        <f>COUNT(A13:A21)</f>
        <v>9</v>
      </c>
      <c r="L3" s="21">
        <f>_xlfn.COVARIANCE.S($E$27:$E$44,$F$27:$F$44)</f>
        <v>0.13261404832036439</v>
      </c>
      <c r="M3" s="21">
        <f>_xlfn.VAR.S($E$27:$E$44)</f>
        <v>0.56065947302319308</v>
      </c>
    </row>
    <row r="4" spans="1:13" x14ac:dyDescent="0.2">
      <c r="A4" s="9">
        <v>2</v>
      </c>
      <c r="B4" s="9" t="s">
        <v>0</v>
      </c>
      <c r="C4" s="9">
        <v>8.8699999999999992</v>
      </c>
      <c r="D4" s="9">
        <v>4.84</v>
      </c>
      <c r="E4" s="12">
        <v>2.1826747963214879</v>
      </c>
      <c r="F4" s="12">
        <v>1.5769147207285403</v>
      </c>
      <c r="G4" s="12">
        <f t="shared" ref="G4:G21" si="0">IF($B4="CD",$C4/$D4,$D4/$C4)</f>
        <v>1.8326446280991735</v>
      </c>
      <c r="I4" s="20" t="s">
        <v>38</v>
      </c>
      <c r="J4" s="16">
        <f>AVERAGE(C3:C11,D13:D21)</f>
        <v>4.1166666666666645</v>
      </c>
    </row>
    <row r="5" spans="1:13" x14ac:dyDescent="0.2">
      <c r="A5" s="8">
        <v>3</v>
      </c>
      <c r="B5" s="8" t="s">
        <v>0</v>
      </c>
      <c r="C5" s="8">
        <v>0.79</v>
      </c>
      <c r="D5" s="8">
        <v>2.25</v>
      </c>
      <c r="E5" s="11">
        <v>-0.23572233352106983</v>
      </c>
      <c r="F5" s="11">
        <v>0.81093021621632877</v>
      </c>
      <c r="G5" s="11">
        <f t="shared" si="0"/>
        <v>0.35111111111111115</v>
      </c>
      <c r="I5" s="13" t="s">
        <v>39</v>
      </c>
      <c r="J5" s="16">
        <f>AVERAGE(D3:D11,C13:C21)</f>
        <v>5.2311111111111108</v>
      </c>
      <c r="L5" s="3">
        <v>1</v>
      </c>
      <c r="M5" s="3">
        <f>M3-L2</f>
        <v>0.25140410345169889</v>
      </c>
    </row>
    <row r="6" spans="1:13" ht="12.75" x14ac:dyDescent="0.25">
      <c r="A6" s="9">
        <v>4</v>
      </c>
      <c r="B6" s="9" t="s">
        <v>0</v>
      </c>
      <c r="C6" s="9">
        <v>1.68</v>
      </c>
      <c r="D6" s="9">
        <v>1.82</v>
      </c>
      <c r="E6" s="12">
        <v>0.51879379341516751</v>
      </c>
      <c r="F6" s="12">
        <v>0.59883650108870401</v>
      </c>
      <c r="G6" s="12">
        <f t="shared" si="0"/>
        <v>0.92307692307692302</v>
      </c>
      <c r="I6" s="13" t="s">
        <v>40</v>
      </c>
      <c r="J6" s="16">
        <f>J4/J5</f>
        <v>0.78695836873406932</v>
      </c>
      <c r="L6" s="3">
        <v>2</v>
      </c>
      <c r="M6" s="3">
        <f>L2-L3</f>
        <v>0.1766413212511298</v>
      </c>
    </row>
    <row r="7" spans="1:13" x14ac:dyDescent="0.2">
      <c r="A7" s="8">
        <v>5</v>
      </c>
      <c r="B7" s="8" t="s">
        <v>0</v>
      </c>
      <c r="C7" s="8">
        <v>6.95</v>
      </c>
      <c r="D7" s="8">
        <v>7.87</v>
      </c>
      <c r="E7" s="11">
        <v>1.9387416595767009</v>
      </c>
      <c r="F7" s="11">
        <v>2.0630580624293118</v>
      </c>
      <c r="G7" s="11">
        <f t="shared" si="0"/>
        <v>0.88310038119440915</v>
      </c>
      <c r="I7" s="4"/>
      <c r="J7" s="5"/>
      <c r="L7" s="1">
        <v>3</v>
      </c>
      <c r="M7" s="3">
        <f>L3</f>
        <v>0.13261404832036439</v>
      </c>
    </row>
    <row r="8" spans="1:13" x14ac:dyDescent="0.2">
      <c r="A8" s="9">
        <v>6</v>
      </c>
      <c r="B8" s="9" t="s">
        <v>0</v>
      </c>
      <c r="C8" s="9">
        <v>1.05</v>
      </c>
      <c r="D8" s="9">
        <v>3.25</v>
      </c>
      <c r="E8" s="12">
        <v>4.8790164169432049E-2</v>
      </c>
      <c r="F8" s="12">
        <v>1.1786549963416462</v>
      </c>
      <c r="G8" s="12">
        <f t="shared" si="0"/>
        <v>0.32307692307692309</v>
      </c>
    </row>
    <row r="9" spans="1:13" x14ac:dyDescent="0.2">
      <c r="A9" s="8">
        <v>7</v>
      </c>
      <c r="B9" s="8" t="s">
        <v>0</v>
      </c>
      <c r="C9" s="8">
        <v>0.99</v>
      </c>
      <c r="D9" s="8">
        <v>12.39</v>
      </c>
      <c r="E9" s="11">
        <v>-1.0050335853501451E-2</v>
      </c>
      <c r="F9" s="11">
        <v>2.5168896956410509</v>
      </c>
      <c r="G9" s="11">
        <f t="shared" si="0"/>
        <v>7.990314769975787E-2</v>
      </c>
      <c r="J9" s="1">
        <f>MLE!$J$10</f>
        <v>0.71100494335907694</v>
      </c>
    </row>
    <row r="10" spans="1:13" x14ac:dyDescent="0.2">
      <c r="A10" s="9">
        <v>8</v>
      </c>
      <c r="B10" s="9" t="s">
        <v>0</v>
      </c>
      <c r="C10" s="9">
        <v>5.6</v>
      </c>
      <c r="D10" s="9">
        <v>4.7699999999999996</v>
      </c>
      <c r="E10" s="12">
        <v>1.7227665977411035</v>
      </c>
      <c r="F10" s="12">
        <v>1.5623463049002497</v>
      </c>
      <c r="G10" s="12">
        <f t="shared" si="0"/>
        <v>1.1740041928721174</v>
      </c>
      <c r="J10" s="1">
        <f>((1+((1/(4*($J$2+$J$3)))*EXP($M$7)*(EXP($M$6)-1)))*EXP($M$5/2))-1</f>
        <v>0.13741855640456868</v>
      </c>
    </row>
    <row r="11" spans="1:13" x14ac:dyDescent="0.2">
      <c r="A11" s="8">
        <v>9</v>
      </c>
      <c r="B11" s="8" t="s">
        <v>0</v>
      </c>
      <c r="C11" s="8">
        <v>3.16</v>
      </c>
      <c r="D11" s="8">
        <v>1.88</v>
      </c>
      <c r="E11" s="11">
        <v>1.1505720275988207</v>
      </c>
      <c r="F11" s="11">
        <v>0.63127177684185776</v>
      </c>
      <c r="G11" s="11">
        <f t="shared" si="0"/>
        <v>1.6808510638297873</v>
      </c>
      <c r="I11" s="4" t="s">
        <v>20</v>
      </c>
      <c r="J11" s="4">
        <f>J9*J10</f>
        <v>9.7705272912916474E-2</v>
      </c>
    </row>
    <row r="12" spans="1:13" x14ac:dyDescent="0.2">
      <c r="C12" s="10" t="s">
        <v>14</v>
      </c>
      <c r="D12" s="10" t="s">
        <v>13</v>
      </c>
      <c r="E12" s="10" t="s">
        <v>14</v>
      </c>
      <c r="F12" s="10" t="s">
        <v>13</v>
      </c>
    </row>
    <row r="13" spans="1:13" x14ac:dyDescent="0.2">
      <c r="A13" s="8">
        <v>10</v>
      </c>
      <c r="B13" s="8" t="s">
        <v>1</v>
      </c>
      <c r="C13" s="8">
        <v>4.9800000000000004</v>
      </c>
      <c r="D13" s="8">
        <v>3.19</v>
      </c>
      <c r="E13" s="11">
        <v>1.6054298910365616</v>
      </c>
      <c r="F13" s="11">
        <v>1.1600209167967532</v>
      </c>
      <c r="G13" s="11">
        <f t="shared" si="0"/>
        <v>0.64056224899598391</v>
      </c>
    </row>
    <row r="14" spans="1:13" x14ac:dyDescent="0.2">
      <c r="A14" s="9">
        <v>11</v>
      </c>
      <c r="B14" s="9" t="s">
        <v>1</v>
      </c>
      <c r="C14" s="9">
        <v>7.14</v>
      </c>
      <c r="D14" s="9">
        <v>9.83</v>
      </c>
      <c r="E14" s="12">
        <v>1.9657127763514901</v>
      </c>
      <c r="F14" s="12">
        <v>2.2854389341590751</v>
      </c>
      <c r="G14" s="12">
        <f t="shared" si="0"/>
        <v>1.376750700280112</v>
      </c>
    </row>
    <row r="15" spans="1:13" x14ac:dyDescent="0.2">
      <c r="A15" s="8">
        <v>12</v>
      </c>
      <c r="B15" s="8" t="s">
        <v>1</v>
      </c>
      <c r="C15" s="8">
        <v>1.81</v>
      </c>
      <c r="D15" s="8">
        <v>2.91</v>
      </c>
      <c r="E15" s="11">
        <v>0.59332684527773438</v>
      </c>
      <c r="F15" s="11">
        <v>1.0681530811834012</v>
      </c>
      <c r="G15" s="11">
        <f t="shared" si="0"/>
        <v>1.6077348066298343</v>
      </c>
    </row>
    <row r="16" spans="1:13" x14ac:dyDescent="0.2">
      <c r="A16" s="9">
        <v>13</v>
      </c>
      <c r="B16" s="9" t="s">
        <v>1</v>
      </c>
      <c r="C16" s="9">
        <v>7.34</v>
      </c>
      <c r="D16" s="9">
        <v>4.58</v>
      </c>
      <c r="E16" s="12">
        <v>1.9933388426264242</v>
      </c>
      <c r="F16" s="12">
        <v>1.5216989981260935</v>
      </c>
      <c r="G16" s="12">
        <f t="shared" si="0"/>
        <v>0.62397820163487738</v>
      </c>
    </row>
    <row r="17" spans="1:11" x14ac:dyDescent="0.2">
      <c r="A17" s="8">
        <v>14</v>
      </c>
      <c r="B17" s="8" t="s">
        <v>1</v>
      </c>
      <c r="C17" s="8">
        <v>4.25</v>
      </c>
      <c r="D17" s="8">
        <v>7.05</v>
      </c>
      <c r="E17" s="11">
        <v>1.4469189829363254</v>
      </c>
      <c r="F17" s="11">
        <v>1.9530276168241774</v>
      </c>
      <c r="G17" s="11">
        <f t="shared" si="0"/>
        <v>1.6588235294117646</v>
      </c>
    </row>
    <row r="18" spans="1:11" x14ac:dyDescent="0.2">
      <c r="A18" s="9">
        <v>15</v>
      </c>
      <c r="B18" s="9" t="s">
        <v>1</v>
      </c>
      <c r="C18" s="9">
        <v>6.66</v>
      </c>
      <c r="D18" s="9">
        <v>3.41</v>
      </c>
      <c r="E18" s="12">
        <v>1.8961194845522977</v>
      </c>
      <c r="F18" s="12">
        <v>1.2267122912954254</v>
      </c>
      <c r="G18" s="12">
        <f t="shared" si="0"/>
        <v>0.51201201201201207</v>
      </c>
    </row>
    <row r="19" spans="1:11" x14ac:dyDescent="0.2">
      <c r="A19" s="8">
        <v>16</v>
      </c>
      <c r="B19" s="8" t="s">
        <v>1</v>
      </c>
      <c r="C19" s="8">
        <v>4.76</v>
      </c>
      <c r="D19" s="8">
        <v>2.4900000000000002</v>
      </c>
      <c r="E19" s="11">
        <v>1.5602476682433286</v>
      </c>
      <c r="F19" s="11">
        <v>0.91228271047661635</v>
      </c>
      <c r="G19" s="11">
        <f t="shared" si="0"/>
        <v>0.52310924369747902</v>
      </c>
    </row>
    <row r="20" spans="1:11" x14ac:dyDescent="0.2">
      <c r="A20" s="9">
        <v>17</v>
      </c>
      <c r="B20" s="9" t="s">
        <v>1</v>
      </c>
      <c r="C20" s="9">
        <v>7.16</v>
      </c>
      <c r="D20" s="9">
        <v>6.18</v>
      </c>
      <c r="E20" s="12">
        <v>1.9685099809725544</v>
      </c>
      <c r="F20" s="12">
        <v>1.8213182714695995</v>
      </c>
      <c r="G20" s="12">
        <f t="shared" si="0"/>
        <v>0.86312849162011163</v>
      </c>
    </row>
    <row r="21" spans="1:11" x14ac:dyDescent="0.2">
      <c r="A21" s="8">
        <v>18</v>
      </c>
      <c r="B21" s="8" t="s">
        <v>1</v>
      </c>
      <c r="C21" s="8">
        <v>5.52</v>
      </c>
      <c r="D21" s="8">
        <v>2.85</v>
      </c>
      <c r="E21" s="11">
        <v>1.7083778602890038</v>
      </c>
      <c r="F21" s="11">
        <v>1.0473189942805592</v>
      </c>
      <c r="G21" s="11">
        <f t="shared" si="0"/>
        <v>0.51630434782608703</v>
      </c>
      <c r="H21" s="3"/>
    </row>
    <row r="26" spans="1:11" x14ac:dyDescent="0.2">
      <c r="E26" s="1" t="s">
        <v>13</v>
      </c>
      <c r="F26" s="1" t="s">
        <v>14</v>
      </c>
    </row>
    <row r="27" spans="1:11" x14ac:dyDescent="0.2">
      <c r="E27" s="1">
        <v>0.9242589015233319</v>
      </c>
      <c r="F27" s="1">
        <v>1.6992786164338898</v>
      </c>
    </row>
    <row r="28" spans="1:11" x14ac:dyDescent="0.2">
      <c r="E28" s="1">
        <v>2.1826747963214879</v>
      </c>
      <c r="F28" s="1">
        <v>1.5769147207285403</v>
      </c>
    </row>
    <row r="29" spans="1:11" x14ac:dyDescent="0.2">
      <c r="E29" s="1">
        <v>-0.23572233352106983</v>
      </c>
      <c r="F29" s="1">
        <v>0.81093021621632877</v>
      </c>
    </row>
    <row r="30" spans="1:11" x14ac:dyDescent="0.2">
      <c r="E30" s="1">
        <v>0.51879379341516751</v>
      </c>
      <c r="F30" s="1">
        <v>0.59883650108870401</v>
      </c>
    </row>
    <row r="31" spans="1:11" x14ac:dyDescent="0.2">
      <c r="E31" s="1">
        <v>1.9387416595767009</v>
      </c>
      <c r="F31" s="1">
        <v>2.0630580624293118</v>
      </c>
      <c r="J31" s="3"/>
      <c r="K31" s="3"/>
    </row>
    <row r="32" spans="1:11" x14ac:dyDescent="0.2">
      <c r="E32" s="1">
        <v>4.8790164169432049E-2</v>
      </c>
      <c r="F32" s="1">
        <v>1.1786549963416462</v>
      </c>
    </row>
    <row r="33" spans="5:6" x14ac:dyDescent="0.2">
      <c r="E33" s="1">
        <v>-1.0050335853501451E-2</v>
      </c>
      <c r="F33" s="1">
        <v>2.5168896956410509</v>
      </c>
    </row>
    <row r="34" spans="5:6" x14ac:dyDescent="0.2">
      <c r="E34" s="1">
        <v>1.7227665977411035</v>
      </c>
      <c r="F34" s="1">
        <v>1.5623463049002497</v>
      </c>
    </row>
    <row r="35" spans="5:6" x14ac:dyDescent="0.2">
      <c r="E35" s="1">
        <v>1.1505720275988207</v>
      </c>
      <c r="F35" s="1">
        <v>0.63127177684185776</v>
      </c>
    </row>
    <row r="36" spans="5:6" x14ac:dyDescent="0.2">
      <c r="E36" s="1">
        <v>1.1600209167967532</v>
      </c>
      <c r="F36" s="1">
        <v>1.6054298910365616</v>
      </c>
    </row>
    <row r="37" spans="5:6" x14ac:dyDescent="0.2">
      <c r="E37" s="1">
        <v>2.2854389341590751</v>
      </c>
      <c r="F37" s="1">
        <v>1.965712776351493</v>
      </c>
    </row>
    <row r="38" spans="5:6" x14ac:dyDescent="0.2">
      <c r="E38" s="1">
        <v>1.0681530811834012</v>
      </c>
      <c r="F38" s="1">
        <v>0.59332684527773438</v>
      </c>
    </row>
    <row r="39" spans="5:6" x14ac:dyDescent="0.2">
      <c r="E39" s="1">
        <v>1.5216989981260935</v>
      </c>
      <c r="F39" s="1">
        <v>1.9933388426264242</v>
      </c>
    </row>
    <row r="40" spans="5:6" x14ac:dyDescent="0.2">
      <c r="E40" s="3">
        <v>1.9530276168241774</v>
      </c>
      <c r="F40" s="1">
        <v>1.4469189829363254</v>
      </c>
    </row>
    <row r="41" spans="5:6" x14ac:dyDescent="0.2">
      <c r="E41" s="1">
        <v>1.2267122912954254</v>
      </c>
      <c r="F41" s="1">
        <v>1.8961194845522977</v>
      </c>
    </row>
    <row r="42" spans="5:6" x14ac:dyDescent="0.2">
      <c r="E42" s="1">
        <v>0.91228271047661635</v>
      </c>
      <c r="F42" s="1">
        <v>1.5602476682433286</v>
      </c>
    </row>
    <row r="43" spans="5:6" x14ac:dyDescent="0.2">
      <c r="E43" s="1">
        <v>1.8213182714695995</v>
      </c>
      <c r="F43" s="1">
        <v>1.9685099809725544</v>
      </c>
    </row>
    <row r="44" spans="5:6" x14ac:dyDescent="0.2">
      <c r="E44" s="1">
        <v>1.0473189942805592</v>
      </c>
      <c r="F44" s="1">
        <v>1.7083778602890038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MLE</vt:lpstr>
      <vt:lpstr>MVUE</vt:lpstr>
      <vt:lpstr>MIR</vt:lpstr>
      <vt:lpstr>RM</vt:lpstr>
      <vt:lpstr>Matriz1</vt:lpstr>
      <vt:lpstr>Matriz2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S. Parra G.</dc:creator>
  <cp:lastModifiedBy>Daniel S. Parra G.</cp:lastModifiedBy>
  <dcterms:created xsi:type="dcterms:W3CDTF">2018-09-29T04:18:51Z</dcterms:created>
  <dcterms:modified xsi:type="dcterms:W3CDTF">2018-10-01T05:35:25Z</dcterms:modified>
</cp:coreProperties>
</file>