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Dropbox\Jaracohe - Daniela\Heurística GMOP\HeuristicaSimple\"/>
    </mc:Choice>
  </mc:AlternateContent>
  <bookViews>
    <workbookView xWindow="0" yWindow="0" windowWidth="16380" windowHeight="8190" tabRatio="443" activeTab="5"/>
  </bookViews>
  <sheets>
    <sheet name="Planteamiento" sheetId="1" r:id="rId1"/>
    <sheet name="Nivel 1" sheetId="2" r:id="rId2"/>
    <sheet name="Nivel 2 Opc CA" sheetId="3" r:id="rId3"/>
    <sheet name="Hoja3" sheetId="4" r:id="rId4"/>
    <sheet name="Hoja3 (2)" sheetId="6" r:id="rId5"/>
    <sheet name="Tests fresh" sheetId="5" r:id="rId6"/>
  </sheets>
  <calcPr calcId="152511"/>
</workbook>
</file>

<file path=xl/calcChain.xml><?xml version="1.0" encoding="utf-8"?>
<calcChain xmlns="http://schemas.openxmlformats.org/spreadsheetml/2006/main">
  <c r="M118" i="5" l="1"/>
  <c r="D118" i="5"/>
  <c r="C117" i="5"/>
  <c r="M117" i="5" s="1"/>
  <c r="N118" i="5" s="1"/>
  <c r="E114" i="5"/>
  <c r="D114" i="5"/>
  <c r="C114" i="5"/>
  <c r="M114" i="5" s="1"/>
  <c r="D113" i="5"/>
  <c r="M113" i="5" s="1"/>
  <c r="N113" i="5" s="1"/>
  <c r="M112" i="5"/>
  <c r="C112" i="5"/>
  <c r="M109" i="5"/>
  <c r="N109" i="5" s="1"/>
  <c r="E109" i="5"/>
  <c r="D109" i="5"/>
  <c r="M108" i="5"/>
  <c r="N108" i="5" s="1"/>
  <c r="D108" i="5"/>
  <c r="M107" i="5"/>
  <c r="M104" i="5"/>
  <c r="N104" i="5" s="1"/>
  <c r="D104" i="5"/>
  <c r="C104" i="5"/>
  <c r="C103" i="5"/>
  <c r="M103" i="5" s="1"/>
  <c r="F100" i="5"/>
  <c r="E100" i="5"/>
  <c r="D100" i="5"/>
  <c r="C100" i="5"/>
  <c r="M100" i="5" s="1"/>
  <c r="N100" i="5" s="1"/>
  <c r="M99" i="5"/>
  <c r="N99" i="5" s="1"/>
  <c r="E99" i="5"/>
  <c r="D99" i="5"/>
  <c r="C99" i="5"/>
  <c r="M98" i="5"/>
  <c r="D98" i="5"/>
  <c r="C98" i="5"/>
  <c r="M97" i="5"/>
  <c r="N98" i="5" s="1"/>
  <c r="I92" i="5"/>
  <c r="G92" i="5"/>
  <c r="F92" i="5"/>
  <c r="E92" i="5"/>
  <c r="D92" i="5"/>
  <c r="A92" i="5"/>
  <c r="K90" i="5"/>
  <c r="N89" i="5"/>
  <c r="N88" i="5"/>
  <c r="E71" i="5"/>
  <c r="M66" i="5"/>
  <c r="D60" i="5"/>
  <c r="K92" i="5" l="1"/>
  <c r="N114" i="5"/>
  <c r="K54" i="5"/>
  <c r="I54" i="5"/>
  <c r="G54" i="5"/>
  <c r="E54" i="5"/>
  <c r="D54" i="5"/>
  <c r="A54" i="5"/>
  <c r="D80" i="5"/>
  <c r="C79" i="5"/>
  <c r="E76" i="5"/>
  <c r="D76" i="5"/>
  <c r="C76" i="5"/>
  <c r="D75" i="5"/>
  <c r="D71" i="5"/>
  <c r="D70" i="5"/>
  <c r="D66" i="5"/>
  <c r="C66" i="5"/>
  <c r="C65" i="5"/>
  <c r="F62" i="5"/>
  <c r="E62" i="5"/>
  <c r="D62" i="5"/>
  <c r="C62" i="5"/>
  <c r="E61" i="5"/>
  <c r="D61" i="5"/>
  <c r="C60" i="5"/>
  <c r="M71" i="5" l="1"/>
  <c r="M76" i="5"/>
  <c r="F54" i="5"/>
  <c r="M80" i="5"/>
  <c r="M79" i="5"/>
  <c r="M70" i="5"/>
  <c r="N71" i="5" s="1"/>
  <c r="C74" i="5"/>
  <c r="M74" i="5" s="1"/>
  <c r="M69" i="5"/>
  <c r="N50" i="5"/>
  <c r="N51" i="5" s="1"/>
  <c r="C61" i="5"/>
  <c r="M60" i="5"/>
  <c r="K52" i="5"/>
  <c r="M65" i="5"/>
  <c r="M59" i="5"/>
  <c r="N80" i="5" l="1"/>
  <c r="N66" i="5"/>
  <c r="M75" i="5"/>
  <c r="N75" i="5" s="1"/>
  <c r="N70" i="5"/>
  <c r="M62" i="5"/>
  <c r="N60" i="5"/>
  <c r="M61" i="5"/>
  <c r="N61" i="5" s="1"/>
  <c r="L4" i="2"/>
  <c r="I4" i="2"/>
  <c r="N76" i="5" l="1"/>
  <c r="N62" i="5"/>
  <c r="P19" i="1"/>
  <c r="M7" i="2" l="1"/>
  <c r="G7" i="2"/>
  <c r="E7" i="2"/>
  <c r="H7" i="2" s="1"/>
  <c r="M5" i="2"/>
  <c r="M6" i="2"/>
  <c r="M8" i="2"/>
  <c r="M13" i="2"/>
  <c r="M4" i="2"/>
  <c r="L9" i="2"/>
  <c r="L10" i="2"/>
  <c r="L11" i="2"/>
  <c r="L12" i="2"/>
  <c r="L13" i="2"/>
  <c r="K5" i="2"/>
  <c r="K6" i="2"/>
  <c r="K8" i="2"/>
  <c r="K13" i="2"/>
  <c r="K4" i="2"/>
  <c r="H5" i="2"/>
  <c r="H6" i="2"/>
  <c r="H8" i="2"/>
  <c r="H13" i="2"/>
  <c r="H4" i="2"/>
  <c r="N4" i="2" s="1"/>
  <c r="J5" i="2"/>
  <c r="J6" i="2"/>
  <c r="J8" i="2"/>
  <c r="J13" i="2"/>
  <c r="J4" i="2"/>
  <c r="I9" i="2"/>
  <c r="I10" i="2"/>
  <c r="I11" i="2"/>
  <c r="I12" i="2"/>
  <c r="I13" i="2"/>
  <c r="K7" i="2" l="1"/>
  <c r="N7" i="2" s="1"/>
  <c r="J7" i="2"/>
  <c r="P7" i="2" s="1"/>
  <c r="I6" i="6"/>
  <c r="J6" i="6"/>
  <c r="K6" i="6"/>
  <c r="L6" i="6"/>
  <c r="H6" i="6"/>
  <c r="G6" i="6"/>
  <c r="E6" i="6"/>
  <c r="F6" i="6"/>
  <c r="D6" i="6"/>
  <c r="C7" i="6"/>
  <c r="D7" i="6"/>
  <c r="E7" i="6"/>
  <c r="F7" i="6"/>
  <c r="C3" i="6"/>
  <c r="C11" i="6"/>
  <c r="C12" i="6"/>
  <c r="D15" i="6" s="1"/>
  <c r="D13" i="6" s="1"/>
  <c r="D11" i="6" s="1"/>
  <c r="C4" i="6" l="1"/>
  <c r="D8" i="6" s="1"/>
  <c r="D5" i="6" s="1"/>
  <c r="D4" i="6" s="1"/>
  <c r="E8" i="6" s="1"/>
  <c r="E5" i="6" s="1"/>
  <c r="E3" i="6" s="1"/>
  <c r="D12" i="6"/>
  <c r="AB22" i="1"/>
  <c r="Y24" i="1"/>
  <c r="AB19" i="1"/>
  <c r="Y23" i="1"/>
  <c r="Z22" i="1"/>
  <c r="D3" i="6" l="1"/>
  <c r="E15" i="6"/>
  <c r="E13" i="6" s="1"/>
  <c r="E11" i="6" s="1"/>
  <c r="E4" i="6"/>
  <c r="P22" i="1"/>
  <c r="P18" i="1"/>
  <c r="Q23" i="1"/>
  <c r="Q22" i="1"/>
  <c r="Q19" i="1"/>
  <c r="Q18" i="1" s="1"/>
  <c r="Q21" i="1"/>
  <c r="Q20" i="1"/>
  <c r="R26" i="1"/>
  <c r="R23" i="1"/>
  <c r="Q26" i="1"/>
  <c r="Q25" i="1"/>
  <c r="Q24" i="1"/>
  <c r="E12" i="6" l="1"/>
  <c r="F8" i="6"/>
  <c r="F5" i="6" s="1"/>
  <c r="F3" i="6" s="1"/>
  <c r="A46" i="5"/>
  <c r="B46" i="5"/>
  <c r="D46" i="5"/>
  <c r="E46" i="5"/>
  <c r="F46" i="5"/>
  <c r="G46" i="5"/>
  <c r="H46" i="5"/>
  <c r="I46" i="5"/>
  <c r="J46" i="5"/>
  <c r="C46" i="5"/>
  <c r="O1" i="1"/>
  <c r="F4" i="6" l="1"/>
  <c r="F15" i="6"/>
  <c r="F13" i="6" s="1"/>
  <c r="F12" i="6" s="1"/>
  <c r="T18" i="5"/>
  <c r="R18" i="5"/>
  <c r="P18" i="5"/>
  <c r="T17" i="5"/>
  <c r="S17" i="5"/>
  <c r="R17" i="5"/>
  <c r="U17" i="5" s="1"/>
  <c r="P17" i="5"/>
  <c r="T16" i="5"/>
  <c r="R16" i="5"/>
  <c r="U16" i="5" s="1"/>
  <c r="P16" i="5"/>
  <c r="S16" i="5" s="1"/>
  <c r="T15" i="5"/>
  <c r="R15" i="5"/>
  <c r="U15" i="5" s="1"/>
  <c r="P15" i="5"/>
  <c r="S15" i="5" s="1"/>
  <c r="R14" i="5"/>
  <c r="U14" i="5" s="1"/>
  <c r="Q14" i="5"/>
  <c r="P14" i="5"/>
  <c r="S14" i="5" s="1"/>
  <c r="R13" i="5"/>
  <c r="U13" i="5" s="1"/>
  <c r="Q13" i="5"/>
  <c r="T13" i="5" s="1"/>
  <c r="P13" i="5"/>
  <c r="S13" i="5" s="1"/>
  <c r="R12" i="5"/>
  <c r="U12" i="5" s="1"/>
  <c r="Q12" i="5"/>
  <c r="T12" i="5" s="1"/>
  <c r="P12" i="5"/>
  <c r="S12" i="5" s="1"/>
  <c r="O12" i="5"/>
  <c r="P11" i="5" s="1"/>
  <c r="S11" i="5" s="1"/>
  <c r="Q11" i="5"/>
  <c r="T11" i="5" s="1"/>
  <c r="R10" i="5"/>
  <c r="U10" i="5" s="1"/>
  <c r="Q10" i="5"/>
  <c r="T10" i="5" s="1"/>
  <c r="P10" i="5"/>
  <c r="S10" i="5" s="1"/>
  <c r="R9" i="5"/>
  <c r="U9" i="5" s="1"/>
  <c r="Q9" i="5"/>
  <c r="T9" i="5" s="1"/>
  <c r="P9" i="5"/>
  <c r="S9" i="5" s="1"/>
  <c r="I37" i="5"/>
  <c r="I38" i="5"/>
  <c r="H38" i="5"/>
  <c r="G30" i="5"/>
  <c r="I30" i="5" s="1"/>
  <c r="G31" i="5"/>
  <c r="I31" i="5" s="1"/>
  <c r="G32" i="5"/>
  <c r="I32" i="5" s="1"/>
  <c r="G33" i="5"/>
  <c r="I33" i="5" s="1"/>
  <c r="G34" i="5"/>
  <c r="I34" i="5" s="1"/>
  <c r="G35" i="5"/>
  <c r="I35" i="5" s="1"/>
  <c r="G36" i="5"/>
  <c r="F31" i="5"/>
  <c r="H31" i="5" s="1"/>
  <c r="F32" i="5"/>
  <c r="H32" i="5" s="1"/>
  <c r="F33" i="5"/>
  <c r="H33" i="5" s="1"/>
  <c r="F34" i="5"/>
  <c r="H34" i="5" s="1"/>
  <c r="F35" i="5"/>
  <c r="H35" i="5" s="1"/>
  <c r="F36" i="5"/>
  <c r="H36" i="5" s="1"/>
  <c r="F37" i="5"/>
  <c r="F29" i="5"/>
  <c r="H29" i="5" s="1"/>
  <c r="B12" i="5"/>
  <c r="K13" i="5" s="1"/>
  <c r="J23" i="5" s="1"/>
  <c r="E32" i="5" s="1"/>
  <c r="L33" i="5" s="1"/>
  <c r="R44" i="1"/>
  <c r="G15" i="5"/>
  <c r="G16" i="5"/>
  <c r="G17" i="5"/>
  <c r="G18" i="5"/>
  <c r="E10" i="5"/>
  <c r="H10" i="5" s="1"/>
  <c r="E12" i="5"/>
  <c r="H12" i="5" s="1"/>
  <c r="E13" i="5"/>
  <c r="H13" i="5" s="1"/>
  <c r="E14" i="5"/>
  <c r="H14" i="5" s="1"/>
  <c r="E15" i="5"/>
  <c r="H15" i="5" s="1"/>
  <c r="E16" i="5"/>
  <c r="H16" i="5" s="1"/>
  <c r="E17" i="5"/>
  <c r="H17" i="5" s="1"/>
  <c r="E18" i="5"/>
  <c r="E9" i="5"/>
  <c r="H9" i="5" s="1"/>
  <c r="D10" i="5"/>
  <c r="G10" i="5" s="1"/>
  <c r="D11" i="5"/>
  <c r="G11" i="5" s="1"/>
  <c r="D12" i="5"/>
  <c r="G12" i="5" s="1"/>
  <c r="D13" i="5"/>
  <c r="G13" i="5" s="1"/>
  <c r="D14" i="5"/>
  <c r="D9" i="5"/>
  <c r="G9" i="5" s="1"/>
  <c r="C17" i="5"/>
  <c r="F17" i="5" s="1"/>
  <c r="C18" i="5"/>
  <c r="C12" i="5"/>
  <c r="F12" i="5" s="1"/>
  <c r="C13" i="5"/>
  <c r="F13" i="5" s="1"/>
  <c r="C14" i="5"/>
  <c r="F14" i="5" s="1"/>
  <c r="C15" i="5"/>
  <c r="F15" i="5" s="1"/>
  <c r="C16" i="5"/>
  <c r="F16" i="5" s="1"/>
  <c r="C9" i="5"/>
  <c r="F9" i="5" s="1"/>
  <c r="C10" i="5"/>
  <c r="F10" i="5" s="1"/>
  <c r="M61" i="4" a="1"/>
  <c r="M61" i="4" s="1"/>
  <c r="G57" i="4"/>
  <c r="K23" i="5" l="1"/>
  <c r="C11" i="5"/>
  <c r="F11" i="5" s="1"/>
  <c r="E11" i="5"/>
  <c r="G8" i="6"/>
  <c r="G5" i="6" s="1"/>
  <c r="G3" i="6" s="1"/>
  <c r="G4" i="6"/>
  <c r="H8" i="6" s="1"/>
  <c r="H5" i="6" s="1"/>
  <c r="H4" i="6" s="1"/>
  <c r="I8" i="6" s="1"/>
  <c r="I5" i="6" s="1"/>
  <c r="G15" i="6"/>
  <c r="G13" i="6" s="1"/>
  <c r="G12" i="6" s="1"/>
  <c r="F11" i="6"/>
  <c r="R11" i="5"/>
  <c r="U11" i="5" s="1"/>
  <c r="X13" i="5"/>
  <c r="F30" i="5"/>
  <c r="H30" i="5" s="1"/>
  <c r="G29" i="5"/>
  <c r="I29" i="5" s="1"/>
  <c r="N66" i="4"/>
  <c r="R64" i="4"/>
  <c r="P63" i="4"/>
  <c r="N62" i="4"/>
  <c r="P61" i="4"/>
  <c r="M66" i="4"/>
  <c r="O65" i="4"/>
  <c r="M64" i="4"/>
  <c r="Q62" i="4"/>
  <c r="O61" i="4"/>
  <c r="P66" i="4"/>
  <c r="R65" i="4"/>
  <c r="N65" i="4"/>
  <c r="P64" i="4"/>
  <c r="R63" i="4"/>
  <c r="N63" i="4"/>
  <c r="P62" i="4"/>
  <c r="R61" i="4"/>
  <c r="N61" i="4"/>
  <c r="R66" i="4"/>
  <c r="P65" i="4"/>
  <c r="N64" i="4"/>
  <c r="R62" i="4"/>
  <c r="Q66" i="4"/>
  <c r="Q64" i="4"/>
  <c r="O63" i="4"/>
  <c r="M62" i="4"/>
  <c r="O66" i="4"/>
  <c r="Q65" i="4"/>
  <c r="M65" i="4"/>
  <c r="O64" i="4"/>
  <c r="Q63" i="4"/>
  <c r="M63" i="4"/>
  <c r="O62" i="4"/>
  <c r="Q61" i="4"/>
  <c r="C34" i="4"/>
  <c r="C35" i="4" s="1"/>
  <c r="D35" i="4" s="1"/>
  <c r="C25" i="4"/>
  <c r="C24" i="4"/>
  <c r="C28" i="4"/>
  <c r="C26" i="2"/>
  <c r="D13" i="4"/>
  <c r="D18" i="4"/>
  <c r="D17" i="4"/>
  <c r="D16" i="4"/>
  <c r="D15" i="4"/>
  <c r="D14" i="4"/>
  <c r="D19" i="4" s="1"/>
  <c r="E6" i="4"/>
  <c r="E14" i="4" s="1"/>
  <c r="F6" i="4"/>
  <c r="F14" i="4" s="1"/>
  <c r="G6" i="4"/>
  <c r="G14" i="4" s="1"/>
  <c r="H6" i="4"/>
  <c r="H14" i="4" s="1"/>
  <c r="I6" i="4"/>
  <c r="I14" i="4" s="1"/>
  <c r="J6" i="4"/>
  <c r="J14" i="4" s="1"/>
  <c r="K6" i="4"/>
  <c r="K14" i="4" s="1"/>
  <c r="L6" i="4"/>
  <c r="L14" i="4" s="1"/>
  <c r="M6" i="4"/>
  <c r="M14" i="4" s="1"/>
  <c r="E7" i="4"/>
  <c r="E15" i="4" s="1"/>
  <c r="F7" i="4"/>
  <c r="F15" i="4" s="1"/>
  <c r="G7" i="4"/>
  <c r="G15" i="4" s="1"/>
  <c r="H7" i="4"/>
  <c r="H15" i="4" s="1"/>
  <c r="I7" i="4"/>
  <c r="I15" i="4" s="1"/>
  <c r="J7" i="4"/>
  <c r="J15" i="4" s="1"/>
  <c r="K7" i="4"/>
  <c r="K15" i="4" s="1"/>
  <c r="L7" i="4"/>
  <c r="L15" i="4" s="1"/>
  <c r="M7" i="4"/>
  <c r="M15" i="4" s="1"/>
  <c r="E8" i="4"/>
  <c r="E16" i="4" s="1"/>
  <c r="F8" i="4"/>
  <c r="F16" i="4" s="1"/>
  <c r="G8" i="4"/>
  <c r="G16" i="4" s="1"/>
  <c r="H8" i="4"/>
  <c r="H16" i="4" s="1"/>
  <c r="I8" i="4"/>
  <c r="I16" i="4" s="1"/>
  <c r="J8" i="4"/>
  <c r="J16" i="4" s="1"/>
  <c r="K8" i="4"/>
  <c r="K16" i="4" s="1"/>
  <c r="L8" i="4"/>
  <c r="L16" i="4" s="1"/>
  <c r="M8" i="4"/>
  <c r="M16" i="4" s="1"/>
  <c r="E9" i="4"/>
  <c r="E17" i="4" s="1"/>
  <c r="F9" i="4"/>
  <c r="F17" i="4" s="1"/>
  <c r="G9" i="4"/>
  <c r="G17" i="4" s="1"/>
  <c r="H9" i="4"/>
  <c r="H17" i="4" s="1"/>
  <c r="I9" i="4"/>
  <c r="I17" i="4" s="1"/>
  <c r="J9" i="4"/>
  <c r="J17" i="4" s="1"/>
  <c r="K9" i="4"/>
  <c r="K17" i="4" s="1"/>
  <c r="L9" i="4"/>
  <c r="L17" i="4" s="1"/>
  <c r="M9" i="4"/>
  <c r="M17" i="4" s="1"/>
  <c r="E10" i="4"/>
  <c r="E18" i="4" s="1"/>
  <c r="F10" i="4"/>
  <c r="F18" i="4" s="1"/>
  <c r="G10" i="4"/>
  <c r="G18" i="4" s="1"/>
  <c r="H10" i="4"/>
  <c r="H18" i="4" s="1"/>
  <c r="I10" i="4"/>
  <c r="I18" i="4" s="1"/>
  <c r="J10" i="4"/>
  <c r="J18" i="4" s="1"/>
  <c r="K10" i="4"/>
  <c r="K18" i="4" s="1"/>
  <c r="L10" i="4"/>
  <c r="L18" i="4" s="1"/>
  <c r="M10" i="4"/>
  <c r="M18" i="4" s="1"/>
  <c r="F5" i="4"/>
  <c r="F13" i="4" s="1"/>
  <c r="G5" i="4"/>
  <c r="G13" i="4" s="1"/>
  <c r="H5" i="4"/>
  <c r="H13" i="4" s="1"/>
  <c r="I5" i="4"/>
  <c r="I13" i="4" s="1"/>
  <c r="J5" i="4"/>
  <c r="J13" i="4" s="1"/>
  <c r="K5" i="4"/>
  <c r="K13" i="4" s="1"/>
  <c r="L5" i="4"/>
  <c r="L13" i="4" s="1"/>
  <c r="M5" i="4"/>
  <c r="M13" i="4" s="1"/>
  <c r="E5" i="4"/>
  <c r="E13" i="4" s="1"/>
  <c r="V3" i="4"/>
  <c r="I4" i="6" l="1"/>
  <c r="H3" i="6"/>
  <c r="I3" i="6"/>
  <c r="H15" i="6"/>
  <c r="H13" i="6" s="1"/>
  <c r="H12" i="6" s="1"/>
  <c r="G11" i="6"/>
  <c r="J8" i="6"/>
  <c r="J5" i="6" s="1"/>
  <c r="J4" i="6" s="1"/>
  <c r="D34" i="4"/>
  <c r="C27" i="4"/>
  <c r="C26" i="4" s="1"/>
  <c r="C23" i="4" s="1"/>
  <c r="E35" i="4"/>
  <c r="L19" i="4"/>
  <c r="H19" i="4"/>
  <c r="E19" i="4"/>
  <c r="G19" i="4"/>
  <c r="J19" i="4"/>
  <c r="F19" i="4"/>
  <c r="K19" i="4"/>
  <c r="M19" i="4"/>
  <c r="I19" i="4"/>
  <c r="U20" i="1"/>
  <c r="U21" i="1"/>
  <c r="U25" i="1"/>
  <c r="U26" i="1"/>
  <c r="T22" i="1"/>
  <c r="T19" i="1"/>
  <c r="T20" i="1"/>
  <c r="T21" i="1"/>
  <c r="T23" i="1"/>
  <c r="T24" i="1"/>
  <c r="T25" i="1"/>
  <c r="T26" i="1"/>
  <c r="T18" i="1"/>
  <c r="G25" i="2"/>
  <c r="H1" i="4" a="1"/>
  <c r="I2" i="4" s="1"/>
  <c r="N8" i="2"/>
  <c r="P8" i="2"/>
  <c r="E9" i="2"/>
  <c r="G10" i="2"/>
  <c r="F7" i="2"/>
  <c r="F8" i="2"/>
  <c r="P13" i="2"/>
  <c r="H20" i="2"/>
  <c r="I20" i="2"/>
  <c r="J20" i="2"/>
  <c r="H21" i="2"/>
  <c r="J21" i="2"/>
  <c r="H22" i="2"/>
  <c r="J22" i="2"/>
  <c r="H23" i="2"/>
  <c r="J23" i="2"/>
  <c r="H24" i="2"/>
  <c r="J24" i="2"/>
  <c r="I25" i="2"/>
  <c r="I26" i="2"/>
  <c r="C27" i="2"/>
  <c r="F22" i="2" s="1"/>
  <c r="I27" i="2"/>
  <c r="C28" i="2"/>
  <c r="G27" i="2" s="1"/>
  <c r="I28" i="2"/>
  <c r="L28" i="2"/>
  <c r="O28" i="2" s="1"/>
  <c r="C29" i="2"/>
  <c r="F24" i="2" s="1"/>
  <c r="H29" i="2"/>
  <c r="I29" i="2"/>
  <c r="J29" i="2"/>
  <c r="H30" i="2"/>
  <c r="I30" i="2"/>
  <c r="J30" i="2"/>
  <c r="I33" i="2"/>
  <c r="I34" i="2"/>
  <c r="I35" i="2"/>
  <c r="I36" i="2"/>
  <c r="F4" i="3"/>
  <c r="G4" i="3"/>
  <c r="F5" i="3"/>
  <c r="H5" i="3" s="1"/>
  <c r="G5" i="3"/>
  <c r="F6" i="3"/>
  <c r="G6" i="3"/>
  <c r="C9" i="3"/>
  <c r="E7" i="3" s="1"/>
  <c r="C10" i="3"/>
  <c r="E8" i="3" s="1"/>
  <c r="C11" i="3"/>
  <c r="E9" i="3" s="1"/>
  <c r="G9" i="3" s="1"/>
  <c r="F11" i="3"/>
  <c r="G11" i="3"/>
  <c r="C12" i="3"/>
  <c r="E10" i="3" s="1"/>
  <c r="F12" i="3"/>
  <c r="G12" i="3"/>
  <c r="F13" i="3"/>
  <c r="G13" i="3"/>
  <c r="F14" i="3"/>
  <c r="G14" i="3"/>
  <c r="F15" i="3"/>
  <c r="G15" i="3"/>
  <c r="F16" i="3"/>
  <c r="G16" i="3"/>
  <c r="F17" i="3"/>
  <c r="G17" i="3"/>
  <c r="F23" i="3"/>
  <c r="F24" i="3"/>
  <c r="F25" i="3"/>
  <c r="F26" i="3"/>
  <c r="C28" i="3"/>
  <c r="E27" i="3" s="1"/>
  <c r="G27" i="3" s="1"/>
  <c r="C29" i="3"/>
  <c r="E28" i="3" s="1"/>
  <c r="F28" i="3" s="1"/>
  <c r="C30" i="3"/>
  <c r="E29" i="3" s="1"/>
  <c r="C31" i="3"/>
  <c r="E30" i="3" s="1"/>
  <c r="F31" i="3"/>
  <c r="F32" i="3"/>
  <c r="F33" i="3"/>
  <c r="F34" i="3"/>
  <c r="F35" i="3"/>
  <c r="F36" i="3"/>
  <c r="D38" i="3"/>
  <c r="P20" i="1"/>
  <c r="L26" i="2"/>
  <c r="O26" i="2" s="1"/>
  <c r="P21" i="1"/>
  <c r="P24" i="1"/>
  <c r="P23" i="1" s="1"/>
  <c r="P25" i="1"/>
  <c r="P26" i="1"/>
  <c r="P30" i="1"/>
  <c r="P31" i="1" s="1"/>
  <c r="P33" i="1" s="1"/>
  <c r="O32" i="1"/>
  <c r="P35" i="1"/>
  <c r="P36" i="1" s="1"/>
  <c r="O37" i="1"/>
  <c r="P37" i="1" s="1"/>
  <c r="P41" i="1"/>
  <c r="P43" i="1" s="1"/>
  <c r="P45" i="1" s="1"/>
  <c r="P47" i="1"/>
  <c r="P49" i="1" s="1"/>
  <c r="P50" i="1" s="1"/>
  <c r="C50" i="1"/>
  <c r="G50" i="1"/>
  <c r="C51" i="1"/>
  <c r="G54" i="1"/>
  <c r="H55" i="1"/>
  <c r="C56" i="1"/>
  <c r="G56" i="1"/>
  <c r="D57" i="1"/>
  <c r="P64" i="1" a="1"/>
  <c r="Q64" i="1" s="1"/>
  <c r="P76" i="1"/>
  <c r="Q76" i="1"/>
  <c r="AB68" i="1" s="1"/>
  <c r="R76" i="1"/>
  <c r="R110" i="1" s="1"/>
  <c r="S76" i="1"/>
  <c r="S110" i="1" s="1"/>
  <c r="T76" i="1"/>
  <c r="U76" i="1"/>
  <c r="U98" i="1" s="1"/>
  <c r="V76" i="1"/>
  <c r="V110" i="1" s="1"/>
  <c r="W76" i="1"/>
  <c r="W110" i="1" s="1"/>
  <c r="X76" i="1"/>
  <c r="Z76" i="1"/>
  <c r="P77" i="1"/>
  <c r="P99" i="1" s="1"/>
  <c r="Q77" i="1"/>
  <c r="Q99" i="1" s="1"/>
  <c r="R77" i="1"/>
  <c r="R111" i="1" s="1"/>
  <c r="S77" i="1"/>
  <c r="S111" i="1" s="1"/>
  <c r="T77" i="1"/>
  <c r="T111" i="1" s="1"/>
  <c r="U77" i="1"/>
  <c r="U111" i="1" s="1"/>
  <c r="V77" i="1"/>
  <c r="V99" i="1" s="1"/>
  <c r="W77" i="1"/>
  <c r="W111" i="1" s="1"/>
  <c r="X77" i="1"/>
  <c r="Z77" i="1"/>
  <c r="P78" i="1"/>
  <c r="P112" i="1" s="1"/>
  <c r="Q78" i="1"/>
  <c r="Q112" i="1" s="1"/>
  <c r="R78" i="1"/>
  <c r="R100" i="1" s="1"/>
  <c r="S78" i="1"/>
  <c r="S100" i="1" s="1"/>
  <c r="T78" i="1"/>
  <c r="U78" i="1"/>
  <c r="U112" i="1" s="1"/>
  <c r="V78" i="1"/>
  <c r="V112" i="1" s="1"/>
  <c r="W78" i="1"/>
  <c r="W100" i="1" s="1"/>
  <c r="X78" i="1"/>
  <c r="Z78" i="1"/>
  <c r="P79" i="1"/>
  <c r="P113" i="1" s="1"/>
  <c r="Q79" i="1"/>
  <c r="Q113" i="1" s="1"/>
  <c r="R79" i="1"/>
  <c r="R101" i="1" s="1"/>
  <c r="S79" i="1"/>
  <c r="S113" i="1" s="1"/>
  <c r="T79" i="1"/>
  <c r="T101" i="1" s="1"/>
  <c r="U79" i="1"/>
  <c r="U101" i="1" s="1"/>
  <c r="V79" i="1"/>
  <c r="V113" i="1" s="1"/>
  <c r="W79" i="1"/>
  <c r="W101" i="1" s="1"/>
  <c r="X79" i="1"/>
  <c r="X101" i="1" s="1"/>
  <c r="Z79" i="1"/>
  <c r="P80" i="1"/>
  <c r="P102" i="1" s="1"/>
  <c r="Q80" i="1"/>
  <c r="Q102" i="1" s="1"/>
  <c r="R80" i="1"/>
  <c r="R114" i="1" s="1"/>
  <c r="S80" i="1"/>
  <c r="S114" i="1" s="1"/>
  <c r="T80" i="1"/>
  <c r="T102" i="1" s="1"/>
  <c r="U80" i="1"/>
  <c r="U114" i="1" s="1"/>
  <c r="V80" i="1"/>
  <c r="V102" i="1" s="1"/>
  <c r="W80" i="1"/>
  <c r="W102" i="1" s="1"/>
  <c r="X80" i="1"/>
  <c r="X102" i="1" s="1"/>
  <c r="Z80" i="1"/>
  <c r="P81" i="1"/>
  <c r="P115" i="1" s="1"/>
  <c r="Q81" i="1"/>
  <c r="Q103" i="1" s="1"/>
  <c r="R81" i="1"/>
  <c r="R103" i="1" s="1"/>
  <c r="S81" i="1"/>
  <c r="S115" i="1" s="1"/>
  <c r="T81" i="1"/>
  <c r="T103" i="1" s="1"/>
  <c r="U81" i="1"/>
  <c r="U103" i="1" s="1"/>
  <c r="V81" i="1"/>
  <c r="V115" i="1" s="1"/>
  <c r="W81" i="1"/>
  <c r="W115" i="1" s="1"/>
  <c r="X81" i="1"/>
  <c r="X115" i="1" s="1"/>
  <c r="Z81" i="1"/>
  <c r="P82" i="1"/>
  <c r="P104" i="1" s="1"/>
  <c r="Q82" i="1"/>
  <c r="Q116" i="1" s="1"/>
  <c r="R82" i="1"/>
  <c r="R116" i="1" s="1"/>
  <c r="S82" i="1"/>
  <c r="T82" i="1"/>
  <c r="T104" i="1" s="1"/>
  <c r="U82" i="1"/>
  <c r="U116" i="1" s="1"/>
  <c r="V82" i="1"/>
  <c r="V116" i="1" s="1"/>
  <c r="W82" i="1"/>
  <c r="X82" i="1"/>
  <c r="X116" i="1" s="1"/>
  <c r="Z82" i="1"/>
  <c r="P83" i="1"/>
  <c r="P105" i="1" s="1"/>
  <c r="Q83" i="1"/>
  <c r="Q105" i="1" s="1"/>
  <c r="R83" i="1"/>
  <c r="R117" i="1" s="1"/>
  <c r="S83" i="1"/>
  <c r="S117" i="1" s="1"/>
  <c r="T83" i="1"/>
  <c r="T105" i="1" s="1"/>
  <c r="U83" i="1"/>
  <c r="U105" i="1" s="1"/>
  <c r="V83" i="1"/>
  <c r="V105" i="1" s="1"/>
  <c r="W83" i="1"/>
  <c r="W105" i="1" s="1"/>
  <c r="X83" i="1"/>
  <c r="X105" i="1" s="1"/>
  <c r="Z83" i="1"/>
  <c r="P84" i="1"/>
  <c r="P106" i="1" s="1"/>
  <c r="Q84" i="1"/>
  <c r="Q118" i="1" s="1"/>
  <c r="R84" i="1"/>
  <c r="R118" i="1" s="1"/>
  <c r="S84" i="1"/>
  <c r="S106" i="1" s="1"/>
  <c r="T84" i="1"/>
  <c r="T106" i="1" s="1"/>
  <c r="U84" i="1"/>
  <c r="U118" i="1" s="1"/>
  <c r="V84" i="1"/>
  <c r="V118" i="1" s="1"/>
  <c r="W84" i="1"/>
  <c r="W106" i="1" s="1"/>
  <c r="X84" i="1"/>
  <c r="X106" i="1" s="1"/>
  <c r="Z84" i="1"/>
  <c r="P93" i="1"/>
  <c r="Q93" i="1"/>
  <c r="R93" i="1"/>
  <c r="S93" i="1"/>
  <c r="T93" i="1"/>
  <c r="U93" i="1"/>
  <c r="V93" i="1"/>
  <c r="W93" i="1"/>
  <c r="X93" i="1"/>
  <c r="P94" i="1"/>
  <c r="Q94" i="1"/>
  <c r="R94" i="1"/>
  <c r="S94" i="1"/>
  <c r="T94" i="1"/>
  <c r="U94" i="1"/>
  <c r="V94" i="1"/>
  <c r="W94" i="1"/>
  <c r="X94" i="1"/>
  <c r="P95" i="1"/>
  <c r="Q95" i="1"/>
  <c r="R95" i="1"/>
  <c r="S95" i="1"/>
  <c r="T95" i="1"/>
  <c r="U95" i="1"/>
  <c r="V95" i="1"/>
  <c r="W95" i="1"/>
  <c r="X95" i="1"/>
  <c r="P98" i="1"/>
  <c r="Q98" i="1"/>
  <c r="T98" i="1"/>
  <c r="X98" i="1"/>
  <c r="R99" i="1"/>
  <c r="X99" i="1"/>
  <c r="T100" i="1"/>
  <c r="X100" i="1"/>
  <c r="S101" i="1"/>
  <c r="V103" i="1"/>
  <c r="X103" i="1"/>
  <c r="S104" i="1"/>
  <c r="W104" i="1"/>
  <c r="X104" i="1"/>
  <c r="P110" i="1"/>
  <c r="Q110" i="1"/>
  <c r="T110" i="1"/>
  <c r="X110" i="1"/>
  <c r="P111" i="1"/>
  <c r="V111" i="1"/>
  <c r="X111" i="1"/>
  <c r="T112" i="1"/>
  <c r="X112" i="1"/>
  <c r="W113" i="1"/>
  <c r="P114" i="1"/>
  <c r="W114" i="1"/>
  <c r="R115" i="1"/>
  <c r="P116" i="1"/>
  <c r="S116" i="1"/>
  <c r="W116" i="1"/>
  <c r="W118" i="1"/>
  <c r="G33" i="2"/>
  <c r="M29" i="2"/>
  <c r="P29" i="2" s="1"/>
  <c r="M20" i="2"/>
  <c r="M22" i="2"/>
  <c r="M24" i="2"/>
  <c r="M23" i="2"/>
  <c r="P23" i="2" s="1"/>
  <c r="M30" i="2"/>
  <c r="P30" i="2" s="1"/>
  <c r="M21" i="2"/>
  <c r="P21" i="2" s="1"/>
  <c r="G23" i="3"/>
  <c r="G31" i="3"/>
  <c r="H31" i="3" s="1"/>
  <c r="G35" i="3"/>
  <c r="H35" i="3" s="1"/>
  <c r="K29" i="2"/>
  <c r="G25" i="3"/>
  <c r="G33" i="3"/>
  <c r="K21" i="2"/>
  <c r="K23" i="2"/>
  <c r="K30" i="2"/>
  <c r="G24" i="3"/>
  <c r="G32" i="3"/>
  <c r="G36" i="3"/>
  <c r="K24" i="2"/>
  <c r="G26" i="3"/>
  <c r="H26" i="3" s="1"/>
  <c r="K20" i="2"/>
  <c r="G34" i="3"/>
  <c r="H34" i="3" s="1"/>
  <c r="K22" i="2"/>
  <c r="L27" i="2"/>
  <c r="F5" i="2"/>
  <c r="P42" i="1"/>
  <c r="P44" i="1" s="1"/>
  <c r="L30" i="2"/>
  <c r="L20" i="2"/>
  <c r="O20" i="2" s="1"/>
  <c r="L29" i="2"/>
  <c r="O29" i="2" s="1"/>
  <c r="L25" i="2"/>
  <c r="P48" i="1"/>
  <c r="E26" i="2"/>
  <c r="K26" i="2" s="1"/>
  <c r="E25" i="2"/>
  <c r="F21" i="2"/>
  <c r="I21" i="2" s="1"/>
  <c r="L7" i="2" l="1"/>
  <c r="I7" i="2"/>
  <c r="M10" i="2"/>
  <c r="J10" i="2"/>
  <c r="L8" i="2"/>
  <c r="I8" i="2"/>
  <c r="L5" i="2"/>
  <c r="I5" i="2"/>
  <c r="O5" i="2" s="1"/>
  <c r="K9" i="2"/>
  <c r="H9" i="2"/>
  <c r="H11" i="6"/>
  <c r="I15" i="6"/>
  <c r="I13" i="6" s="1"/>
  <c r="I11" i="6" s="1"/>
  <c r="J3" i="6"/>
  <c r="K8" i="6"/>
  <c r="K5" i="6" s="1"/>
  <c r="K4" i="6" s="1"/>
  <c r="P101" i="1"/>
  <c r="T99" i="1"/>
  <c r="V98" i="1"/>
  <c r="T113" i="1"/>
  <c r="R112" i="1"/>
  <c r="V104" i="1"/>
  <c r="Q100" i="1"/>
  <c r="V114" i="1"/>
  <c r="V120" i="1" s="1"/>
  <c r="S103" i="1"/>
  <c r="P118" i="1"/>
  <c r="T114" i="1"/>
  <c r="U110" i="1"/>
  <c r="S105" i="1"/>
  <c r="U100" i="1"/>
  <c r="P100" i="1"/>
  <c r="R98" i="1"/>
  <c r="W112" i="1"/>
  <c r="P117" i="1"/>
  <c r="Q101" i="1"/>
  <c r="P69" i="1"/>
  <c r="U115" i="1"/>
  <c r="U113" i="1"/>
  <c r="R106" i="1"/>
  <c r="R104" i="1"/>
  <c r="S102" i="1"/>
  <c r="Q114" i="1"/>
  <c r="U99" i="1"/>
  <c r="W103" i="1"/>
  <c r="N21" i="2"/>
  <c r="O27" i="2"/>
  <c r="P4" i="2"/>
  <c r="N22" i="2"/>
  <c r="N24" i="2"/>
  <c r="N30" i="2"/>
  <c r="H23" i="3"/>
  <c r="P24" i="2"/>
  <c r="O4" i="2"/>
  <c r="U72" i="1"/>
  <c r="E28" i="2"/>
  <c r="K28" i="2" s="1"/>
  <c r="G11" i="2"/>
  <c r="S98" i="1"/>
  <c r="P22" i="2"/>
  <c r="X118" i="1"/>
  <c r="W117" i="1"/>
  <c r="W120" i="1" s="1"/>
  <c r="X113" i="1"/>
  <c r="Q106" i="1"/>
  <c r="P103" i="1"/>
  <c r="R102" i="1"/>
  <c r="T65" i="1"/>
  <c r="E11" i="2"/>
  <c r="W98" i="1"/>
  <c r="P20" i="2"/>
  <c r="Q111" i="1"/>
  <c r="P32" i="1"/>
  <c r="R67" i="1"/>
  <c r="S112" i="1"/>
  <c r="H24" i="3"/>
  <c r="U106" i="1"/>
  <c r="U24" i="1"/>
  <c r="P120" i="1"/>
  <c r="Y98" i="1"/>
  <c r="T118" i="1"/>
  <c r="V117" i="1"/>
  <c r="Q117" i="1"/>
  <c r="W99" i="1"/>
  <c r="W107" i="1" s="1"/>
  <c r="AB76" i="1"/>
  <c r="U117" i="1"/>
  <c r="T116" i="1"/>
  <c r="Q115" i="1"/>
  <c r="Y106" i="1"/>
  <c r="U104" i="1"/>
  <c r="Q104" i="1"/>
  <c r="Q107" i="1" s="1"/>
  <c r="AB74" i="1"/>
  <c r="V106" i="1"/>
  <c r="Y103" i="1"/>
  <c r="AA83" i="1" a="1"/>
  <c r="AA83" i="1" s="1"/>
  <c r="H33" i="3"/>
  <c r="O25" i="2"/>
  <c r="E10" i="2"/>
  <c r="O30" i="2"/>
  <c r="N23" i="2"/>
  <c r="N29" i="2"/>
  <c r="P5" i="2"/>
  <c r="O13" i="2"/>
  <c r="O9" i="2"/>
  <c r="O11" i="2"/>
  <c r="T107" i="1"/>
  <c r="X107" i="1"/>
  <c r="P107" i="1"/>
  <c r="P122" i="1" s="1"/>
  <c r="P124" i="1" s="1"/>
  <c r="AA82" i="1" a="1"/>
  <c r="AA82" i="1" s="1"/>
  <c r="AC74" i="1" s="1"/>
  <c r="AB72" i="1"/>
  <c r="AA79" i="1" a="1"/>
  <c r="AA79" i="1" s="1"/>
  <c r="AC71" i="1" s="1"/>
  <c r="AA76" i="1" a="1"/>
  <c r="AA76" i="1" s="1"/>
  <c r="AC68" i="1" s="1"/>
  <c r="V72" i="1"/>
  <c r="W71" i="1"/>
  <c r="X70" i="1"/>
  <c r="P70" i="1"/>
  <c r="Q69" i="1"/>
  <c r="R68" i="1"/>
  <c r="S67" i="1"/>
  <c r="T66" i="1"/>
  <c r="R71" i="1"/>
  <c r="P71" i="1"/>
  <c r="AB69" i="1"/>
  <c r="AA78" i="1" a="1"/>
  <c r="AA78" i="1" s="1"/>
  <c r="T115" i="1"/>
  <c r="X114" i="1"/>
  <c r="U102" i="1"/>
  <c r="V101" i="1"/>
  <c r="Y101" i="1" s="1"/>
  <c r="S99" i="1"/>
  <c r="AA84" i="1" a="1"/>
  <c r="AA84" i="1" s="1"/>
  <c r="AC76" i="1" s="1"/>
  <c r="AB75" i="1"/>
  <c r="AB71" i="1"/>
  <c r="T72" i="1"/>
  <c r="U71" i="1"/>
  <c r="V70" i="1"/>
  <c r="W69" i="1"/>
  <c r="X68" i="1"/>
  <c r="P68" i="1"/>
  <c r="Q67" i="1"/>
  <c r="R66" i="1"/>
  <c r="S65" i="1"/>
  <c r="T64" i="1"/>
  <c r="O10" i="2"/>
  <c r="W70" i="1"/>
  <c r="R65" i="1"/>
  <c r="U70" i="1"/>
  <c r="AB73" i="1"/>
  <c r="AA80" i="1" a="1"/>
  <c r="AA80" i="1" s="1"/>
  <c r="AC72" i="1" s="1"/>
  <c r="U65" i="1"/>
  <c r="X65" i="1"/>
  <c r="T69" i="1"/>
  <c r="V65" i="1"/>
  <c r="R69" i="1"/>
  <c r="H26" i="2"/>
  <c r="N26" i="2" s="1"/>
  <c r="U64" i="1"/>
  <c r="S66" i="1"/>
  <c r="Q68" i="1"/>
  <c r="X69" i="1"/>
  <c r="V71" i="1"/>
  <c r="S64" i="1"/>
  <c r="Q66" i="1"/>
  <c r="X67" i="1"/>
  <c r="V69" i="1"/>
  <c r="T71" i="1"/>
  <c r="AB70" i="1"/>
  <c r="AA81" i="1" a="1"/>
  <c r="AA81" i="1" s="1"/>
  <c r="X117" i="1"/>
  <c r="T117" i="1"/>
  <c r="R113" i="1"/>
  <c r="R120" i="1" s="1"/>
  <c r="R105" i="1"/>
  <c r="R107" i="1" s="1"/>
  <c r="V100" i="1"/>
  <c r="Y100" i="1" s="1"/>
  <c r="R72" i="1"/>
  <c r="S71" i="1"/>
  <c r="T70" i="1"/>
  <c r="U69" i="1"/>
  <c r="V68" i="1"/>
  <c r="W67" i="1"/>
  <c r="X66" i="1"/>
  <c r="P66" i="1"/>
  <c r="Q65" i="1"/>
  <c r="R64" i="1"/>
  <c r="P6" i="2"/>
  <c r="P67" i="1"/>
  <c r="W68" i="1"/>
  <c r="S72" i="1"/>
  <c r="V64" i="1"/>
  <c r="V67" i="1"/>
  <c r="P64" i="1"/>
  <c r="T67" i="1"/>
  <c r="W72" i="1"/>
  <c r="P65" i="1"/>
  <c r="W66" i="1"/>
  <c r="U68" i="1"/>
  <c r="S70" i="1"/>
  <c r="Q72" i="1"/>
  <c r="W64" i="1"/>
  <c r="U66" i="1"/>
  <c r="S68" i="1"/>
  <c r="Q70" i="1"/>
  <c r="X71" i="1"/>
  <c r="P87" i="1" a="1"/>
  <c r="AA77" i="1" a="1"/>
  <c r="AA77" i="1" s="1"/>
  <c r="S118" i="1"/>
  <c r="X72" i="1"/>
  <c r="P72" i="1"/>
  <c r="Q71" i="1"/>
  <c r="R70" i="1"/>
  <c r="S69" i="1"/>
  <c r="T68" i="1"/>
  <c r="U67" i="1"/>
  <c r="V66" i="1"/>
  <c r="W65" i="1"/>
  <c r="X64" i="1"/>
  <c r="H11" i="3"/>
  <c r="O12" i="2"/>
  <c r="H6" i="3"/>
  <c r="H4" i="3"/>
  <c r="N6" i="2"/>
  <c r="H36" i="3"/>
  <c r="H32" i="3"/>
  <c r="H25" i="3"/>
  <c r="H17" i="3"/>
  <c r="H15" i="3"/>
  <c r="H13" i="3"/>
  <c r="N20" i="2"/>
  <c r="N13" i="2"/>
  <c r="N5" i="2"/>
  <c r="H16" i="3"/>
  <c r="H14" i="3"/>
  <c r="H12" i="3"/>
  <c r="H2" i="4"/>
  <c r="H1" i="4"/>
  <c r="I1" i="4"/>
  <c r="F35" i="4"/>
  <c r="H35" i="4" s="1"/>
  <c r="H34" i="4" s="1"/>
  <c r="E34" i="4"/>
  <c r="L21" i="2"/>
  <c r="O21" i="2" s="1"/>
  <c r="H33" i="2" s="1"/>
  <c r="P127" i="1"/>
  <c r="G12" i="2"/>
  <c r="E12" i="2"/>
  <c r="G36" i="2"/>
  <c r="P10" i="2"/>
  <c r="F6" i="2"/>
  <c r="F7" i="3"/>
  <c r="G7" i="3"/>
  <c r="J25" i="2"/>
  <c r="M25" i="2"/>
  <c r="H25" i="2"/>
  <c r="K25" i="2"/>
  <c r="G30" i="3"/>
  <c r="F30" i="3"/>
  <c r="I24" i="2"/>
  <c r="L24" i="2"/>
  <c r="G28" i="2"/>
  <c r="M28" i="2" s="1"/>
  <c r="G34" i="2"/>
  <c r="G9" i="2"/>
  <c r="F27" i="3"/>
  <c r="H27" i="3" s="1"/>
  <c r="G10" i="3"/>
  <c r="F10" i="3"/>
  <c r="F29" i="3"/>
  <c r="G29" i="3"/>
  <c r="M27" i="2"/>
  <c r="J27" i="2"/>
  <c r="F9" i="3"/>
  <c r="H9" i="3" s="1"/>
  <c r="G35" i="2"/>
  <c r="O7" i="2"/>
  <c r="F23" i="2"/>
  <c r="E27" i="2"/>
  <c r="G8" i="3"/>
  <c r="F8" i="3"/>
  <c r="L22" i="2"/>
  <c r="I22" i="2"/>
  <c r="G26" i="2"/>
  <c r="G28" i="3"/>
  <c r="H28" i="3" s="1"/>
  <c r="O8" i="2" l="1"/>
  <c r="K11" i="2"/>
  <c r="H11" i="2"/>
  <c r="M11" i="2"/>
  <c r="J11" i="2"/>
  <c r="L6" i="2"/>
  <c r="I6" i="2"/>
  <c r="H10" i="2"/>
  <c r="N10" i="2" s="1"/>
  <c r="K10" i="2"/>
  <c r="N9" i="2"/>
  <c r="K12" i="2"/>
  <c r="H12" i="2"/>
  <c r="M12" i="2"/>
  <c r="J12" i="2"/>
  <c r="J9" i="2"/>
  <c r="M9" i="2"/>
  <c r="I12" i="6"/>
  <c r="L8" i="6"/>
  <c r="L5" i="6" s="1"/>
  <c r="L4" i="6" s="1"/>
  <c r="K3" i="6"/>
  <c r="Y104" i="1"/>
  <c r="U120" i="1"/>
  <c r="S120" i="1"/>
  <c r="S122" i="1" s="1"/>
  <c r="S127" i="1" s="1"/>
  <c r="O22" i="1"/>
  <c r="H11" i="5" s="1"/>
  <c r="O22" i="2"/>
  <c r="H34" i="2" s="1"/>
  <c r="H28" i="2"/>
  <c r="N28" i="2" s="1"/>
  <c r="P126" i="1"/>
  <c r="U107" i="1"/>
  <c r="Q120" i="1"/>
  <c r="Q122" i="1" s="1"/>
  <c r="AC70" i="1"/>
  <c r="S107" i="1"/>
  <c r="T120" i="1"/>
  <c r="T122" i="1" s="1"/>
  <c r="W122" i="1"/>
  <c r="W127" i="1" s="1"/>
  <c r="U23" i="1"/>
  <c r="AC75" i="1"/>
  <c r="U122" i="1"/>
  <c r="U126" i="1" s="1"/>
  <c r="R122" i="1"/>
  <c r="R127" i="1" s="1"/>
  <c r="X120" i="1"/>
  <c r="X122" i="1" s="1"/>
  <c r="X124" i="1" s="1"/>
  <c r="R126" i="1"/>
  <c r="R124" i="1"/>
  <c r="V107" i="1"/>
  <c r="V122" i="1" s="1"/>
  <c r="Y99" i="1"/>
  <c r="AC69" i="1"/>
  <c r="Y105" i="1"/>
  <c r="AC73" i="1"/>
  <c r="Y102" i="1"/>
  <c r="R88" i="1"/>
  <c r="P90" i="1"/>
  <c r="W91" i="1"/>
  <c r="X87" i="1"/>
  <c r="V89" i="1"/>
  <c r="T91" i="1"/>
  <c r="R87" i="1"/>
  <c r="P89" i="1"/>
  <c r="R91" i="1"/>
  <c r="U87" i="1"/>
  <c r="S89" i="1"/>
  <c r="Q91" i="1"/>
  <c r="X92" i="1"/>
  <c r="T88" i="1"/>
  <c r="P87" i="1"/>
  <c r="V88" i="1"/>
  <c r="T90" i="1"/>
  <c r="R92" i="1"/>
  <c r="S88" i="1"/>
  <c r="Q90" i="1"/>
  <c r="X91" i="1"/>
  <c r="V87" i="1"/>
  <c r="T89" i="1"/>
  <c r="V91" i="1"/>
  <c r="P88" i="1"/>
  <c r="W89" i="1"/>
  <c r="U91" i="1"/>
  <c r="S90" i="1"/>
  <c r="Q89" i="1"/>
  <c r="X90" i="1"/>
  <c r="V92" i="1"/>
  <c r="U90" i="1"/>
  <c r="S92" i="1"/>
  <c r="X89" i="1"/>
  <c r="R90" i="1"/>
  <c r="U92" i="1"/>
  <c r="S87" i="1"/>
  <c r="W88" i="1"/>
  <c r="Q88" i="1"/>
  <c r="Q92" i="1"/>
  <c r="P92" i="1"/>
  <c r="U89" i="1"/>
  <c r="P91" i="1"/>
  <c r="U88" i="1"/>
  <c r="S91" i="1"/>
  <c r="W92" i="1"/>
  <c r="X88" i="1"/>
  <c r="T87" i="1"/>
  <c r="V90" i="1"/>
  <c r="W87" i="1"/>
  <c r="R89" i="1"/>
  <c r="W90" i="1"/>
  <c r="T92" i="1"/>
  <c r="Q87" i="1"/>
  <c r="N25" i="2"/>
  <c r="H7" i="3"/>
  <c r="F34" i="4"/>
  <c r="J28" i="2"/>
  <c r="P28" i="2" s="1"/>
  <c r="H30" i="3"/>
  <c r="P25" i="2"/>
  <c r="O24" i="2"/>
  <c r="H36" i="2" s="1"/>
  <c r="P27" i="2"/>
  <c r="H8" i="3"/>
  <c r="H10" i="3"/>
  <c r="H27" i="2"/>
  <c r="K27" i="2"/>
  <c r="L23" i="2"/>
  <c r="I23" i="2"/>
  <c r="H29" i="3"/>
  <c r="M26" i="2"/>
  <c r="J26" i="2"/>
  <c r="P9" i="2" l="1"/>
  <c r="P12" i="2"/>
  <c r="P14" i="2"/>
  <c r="J15" i="6"/>
  <c r="J13" i="6" s="1"/>
  <c r="J12" i="6" s="1"/>
  <c r="L3" i="6"/>
  <c r="W126" i="1"/>
  <c r="U124" i="1"/>
  <c r="X126" i="1"/>
  <c r="S126" i="1"/>
  <c r="W124" i="1"/>
  <c r="U127" i="1"/>
  <c r="S124" i="1"/>
  <c r="N11" i="2"/>
  <c r="P11" i="2"/>
  <c r="X127" i="1"/>
  <c r="U19" i="1"/>
  <c r="U18" i="1"/>
  <c r="U22" i="1"/>
  <c r="Q127" i="1"/>
  <c r="Q124" i="1"/>
  <c r="Q126" i="1"/>
  <c r="N12" i="2"/>
  <c r="V127" i="1"/>
  <c r="V124" i="1"/>
  <c r="V126" i="1"/>
  <c r="T124" i="1"/>
  <c r="T126" i="1"/>
  <c r="T127" i="1"/>
  <c r="H37" i="3"/>
  <c r="H18" i="3"/>
  <c r="O6" i="2"/>
  <c r="O14" i="2" s="1"/>
  <c r="P26" i="2"/>
  <c r="P31" i="2" s="1"/>
  <c r="O23" i="2"/>
  <c r="N27" i="2"/>
  <c r="N31" i="2" s="1"/>
  <c r="K15" i="6" l="1"/>
  <c r="K13" i="6" s="1"/>
  <c r="K12" i="6" s="1"/>
  <c r="J11" i="6"/>
  <c r="N14" i="2"/>
  <c r="K38" i="3" s="1"/>
  <c r="I35" i="4"/>
  <c r="H35" i="2"/>
  <c r="O31" i="2"/>
  <c r="K11" i="6" l="1"/>
  <c r="L15" i="6"/>
  <c r="L13" i="6" s="1"/>
  <c r="L12" i="6" s="1"/>
  <c r="J35" i="4"/>
  <c r="I34" i="4"/>
  <c r="L11" i="6" l="1"/>
  <c r="K35" i="4"/>
  <c r="J34" i="4"/>
  <c r="L35" i="4" l="1"/>
  <c r="L34" i="4" s="1"/>
  <c r="K34" i="4"/>
</calcChain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Stock Keep Unit</t>
        </r>
      </text>
    </comment>
    <comment ref="C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Holding Cost</t>
        </r>
      </text>
    </comment>
    <comment ref="C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Setup Cost</t>
        </r>
      </text>
    </comment>
    <comment ref="D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Operation Cost</t>
        </r>
      </text>
    </comment>
    <comment ref="E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Lead Time
Unidades: días</t>
        </r>
      </text>
    </comment>
    <comment ref="F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Setup Time</t>
        </r>
      </text>
    </comment>
    <comment ref="G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Operation Time</t>
        </r>
      </text>
    </comment>
    <comment ref="M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Setup Cost</t>
        </r>
      </text>
    </comment>
    <comment ref="Q1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Operation Cost</t>
        </r>
      </text>
    </comment>
    <comment ref="N9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Operation Cost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9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El total de B's = número de A's a producir * el número de B's que necesita el S1 por cada A.</t>
        </r>
      </text>
    </comment>
    <comment ref="C28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El total de B's = número de A's a producir * el número de B's que necesita el S1 por cada A.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2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Daniela Simancas Mateus:
</t>
        </r>
        <r>
          <rPr>
            <sz val="9"/>
            <color indexed="8"/>
            <rFont val="Tahoma"/>
            <family val="2"/>
            <charset val="1"/>
          </rPr>
          <t>Lead Time
Unidades: días</t>
        </r>
      </text>
    </comment>
  </commentList>
</comments>
</file>

<file path=xl/sharedStrings.xml><?xml version="1.0" encoding="utf-8"?>
<sst xmlns="http://schemas.openxmlformats.org/spreadsheetml/2006/main" count="702" uniqueCount="137">
  <si>
    <t>Demanda</t>
  </si>
  <si>
    <t>A</t>
  </si>
  <si>
    <t>Los tiempos son acumulativos?</t>
  </si>
  <si>
    <t>B</t>
  </si>
  <si>
    <t>Es necesario sumar los tiempos de lead time, setup time y operation time?</t>
  </si>
  <si>
    <t>Estos tiempos se siguen sumando a los strokes de los siguientes niveles?</t>
  </si>
  <si>
    <t>Inventario Inicial</t>
  </si>
  <si>
    <t>SKU</t>
  </si>
  <si>
    <t>HC</t>
  </si>
  <si>
    <t>Hay un solo recurso de capacidad 500 unidades</t>
  </si>
  <si>
    <t>C</t>
  </si>
  <si>
    <t>D</t>
  </si>
  <si>
    <t>E</t>
  </si>
  <si>
    <t>F</t>
  </si>
  <si>
    <t>Relative costs and times</t>
  </si>
  <si>
    <t>Accumulated costs</t>
  </si>
  <si>
    <t>COSTS</t>
  </si>
  <si>
    <t>TIMES</t>
  </si>
  <si>
    <t>Stroke</t>
  </si>
  <si>
    <t>SC</t>
  </si>
  <si>
    <t>OC</t>
  </si>
  <si>
    <t>LT</t>
  </si>
  <si>
    <t>ST</t>
  </si>
  <si>
    <t>OT</t>
  </si>
  <si>
    <t>Nivel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</si>
  <si>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</si>
  <si>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</si>
  <si>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</si>
  <si>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</si>
  <si>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</si>
  <si>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</si>
  <si>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</si>
  <si>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</si>
  <si>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</si>
  <si>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Stroke INPUT</t>
  </si>
  <si>
    <t>1.1</t>
  </si>
  <si>
    <t>Acc LT</t>
  </si>
  <si>
    <t>Mik</t>
  </si>
  <si>
    <t>1.2</t>
  </si>
  <si>
    <t>Stroke OUTPUT</t>
  </si>
  <si>
    <t>Nik</t>
  </si>
  <si>
    <t>3.1</t>
  </si>
  <si>
    <t>3.2</t>
  </si>
  <si>
    <t>Stroke-Stroke necessity matrix</t>
  </si>
  <si>
    <t>AND</t>
  </si>
  <si>
    <t>OR</t>
  </si>
  <si>
    <t>El número de B's que necesito por cada A que produzco</t>
  </si>
  <si>
    <t>1st level Stroke</t>
  </si>
  <si>
    <t>For each stroke in the columns, there will be x strokes in the rows needed. Leaf-strokes won't require any other strokes.</t>
  </si>
  <si>
    <t>j</t>
  </si>
  <si>
    <t>i</t>
  </si>
  <si>
    <t>Número de strokes i que requiere el stroke j</t>
  </si>
  <si>
    <t>Stroke-stroke x Output</t>
  </si>
  <si>
    <t>REL</t>
  </si>
  <si>
    <t>ACC</t>
  </si>
  <si>
    <t>Operation costs</t>
  </si>
  <si>
    <t>OC de los strokes de la Stroke-stroke</t>
  </si>
  <si>
    <t>No hay diferenciación para and u or</t>
  </si>
  <si>
    <t xml:space="preserve">suma costos operativos </t>
  </si>
  <si>
    <t>val 1</t>
  </si>
  <si>
    <t>val2</t>
  </si>
  <si>
    <t>MAX</t>
  </si>
  <si>
    <t>Opción1</t>
  </si>
  <si>
    <t>Costos A Jarcohe</t>
  </si>
  <si>
    <t>SUM</t>
  </si>
  <si>
    <t>Opción 2</t>
  </si>
  <si>
    <t>Costs A Daniela</t>
  </si>
  <si>
    <t>No estas teniendo en cuenta los strokes</t>
  </si>
  <si>
    <t>Verifica bien los costos</t>
  </si>
  <si>
    <t>Si el stroke S1 necesita de S2,S8 y S3, verificar cuales de ellos tienen como output el mismo producto.</t>
  </si>
  <si>
    <t>Si mas de un stroke tiene como output el mismo producto entonces colocar un 2 para OR.</t>
  </si>
  <si>
    <t>Si sólo un stroke tiene como output ese mismo producto entonces colocar un 1 para AND.</t>
  </si>
  <si>
    <t>Unidades</t>
  </si>
  <si>
    <t>Costo preparar</t>
  </si>
  <si>
    <t>Costo producir</t>
  </si>
  <si>
    <t>Costo total</t>
  </si>
  <si>
    <t>Req</t>
  </si>
  <si>
    <t>Balance</t>
  </si>
  <si>
    <t>COSTO ACUMULADO</t>
  </si>
  <si>
    <t>Producir A a partir del Stroke 1, produciendo B a partir del Stroke 2</t>
  </si>
  <si>
    <t>Costo ciclo</t>
  </si>
  <si>
    <t>Producir A a partir del Stroke 1, produciendo C a partir del Stroke 3</t>
  </si>
  <si>
    <t xml:space="preserve">Costo total de producir </t>
  </si>
  <si>
    <t>unidades de A en un ciclo de 4 días utilizando la alternativa número 1</t>
  </si>
  <si>
    <t>Antiguos OC</t>
  </si>
  <si>
    <t>Algoritmo</t>
  </si>
  <si>
    <t>Yo</t>
  </si>
  <si>
    <t>¿</t>
  </si>
  <si>
    <t>MMULT</t>
  </si>
  <si>
    <t># columnas A = # filas B</t>
  </si>
  <si>
    <t># filas A, # columnas B</t>
  </si>
  <si>
    <t>RESULT</t>
  </si>
  <si>
    <t>FILAS</t>
  </si>
  <si>
    <t>COLUMNAS</t>
  </si>
  <si>
    <t>EOQ</t>
  </si>
  <si>
    <t>Qopt</t>
  </si>
  <si>
    <t>S</t>
  </si>
  <si>
    <t>H</t>
  </si>
  <si>
    <t>Costo</t>
  </si>
  <si>
    <t>MPS</t>
  </si>
  <si>
    <t>TEMP</t>
  </si>
  <si>
    <t>REQUIREM</t>
  </si>
  <si>
    <t>input</t>
  </si>
  <si>
    <t>Day</t>
  </si>
  <si>
    <t>Producto A</t>
  </si>
  <si>
    <t>NULL</t>
  </si>
  <si>
    <t>Costos totales</t>
  </si>
  <si>
    <t>Stroke:</t>
  </si>
  <si>
    <t>Ejecutado el día:</t>
  </si>
  <si>
    <t>Veces:</t>
  </si>
  <si>
    <t>INICIAL</t>
  </si>
  <si>
    <t>Producto B</t>
  </si>
  <si>
    <t>Demand</t>
  </si>
  <si>
    <t>Produced</t>
  </si>
  <si>
    <t>Difference</t>
  </si>
  <si>
    <t>FOQ</t>
  </si>
  <si>
    <t>INVENTORY</t>
  </si>
  <si>
    <t>ON-HAND</t>
  </si>
  <si>
    <t>REQUIREM.</t>
  </si>
  <si>
    <t>IF I DIDNT PRODUCE</t>
  </si>
  <si>
    <t>LxL</t>
  </si>
  <si>
    <t>Costos setup</t>
  </si>
  <si>
    <t>Costos operación</t>
  </si>
  <si>
    <t>Tiempo</t>
  </si>
  <si>
    <t>GMOP</t>
  </si>
  <si>
    <t>L4L</t>
  </si>
  <si>
    <t>L4L Y FOQ</t>
  </si>
  <si>
    <t>FOQ Y L4L</t>
  </si>
  <si>
    <t>REQ</t>
  </si>
  <si>
    <t>M</t>
  </si>
  <si>
    <t>ORDEN</t>
  </si>
  <si>
    <t>EME indica hasta donde cubre la ultima orden</t>
  </si>
  <si>
    <t>CONT indica cuando se debe colocar la siguiente orden</t>
  </si>
  <si>
    <t>k</t>
  </si>
  <si>
    <t>ordenar</t>
  </si>
  <si>
    <t>hasta</t>
  </si>
  <si>
    <t>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</si>
</sst>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(* #,##0.00_);_(* \(#,##0.00\);_(* \-??_);_(@_)"/>
    <numFmt numFmtId="166" formatCode="_(* #,##0_);_(* \(#,##0\);_(* \-??_);_(@_)"/>
    <numFmt numFmtId="167" formatCode="_(* #,##0.0_);_(* \(#,##0.0\);_(* \-??_);_(@_)"/>
  </numFmts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sz val="11"/>
      <color indexed="17"/>
      <name val="Calibri"/>
      <family val="2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262626"/>
      <name val="Arial"/>
      <family val="2"/>
    </font>
    <font>
      <sz val="8"/>
      <color rgb="FF000000"/>
      <name val="Trebuchet MS"/>
      <family val="2"/>
    </font>
  </fonts>
  <fills count="2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20"/>
        <bgColor indexed="3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50"/>
        <bgColor indexed="51"/>
      </patternFill>
    </fill>
    <fill>
      <patternFill patternType="solid">
        <fgColor indexed="13"/>
        <bgColor indexed="34"/>
      </patternFill>
    </fill>
    <fill>
      <patternFill patternType="solid">
        <fgColor indexed="56"/>
        <b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49"/>
        <bgColor indexed="40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6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22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22"/>
      </right>
      <top style="thin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22"/>
      </right>
      <top style="thin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22"/>
      </right>
      <top style="thin">
        <color indexed="8"/>
      </top>
      <bottom/>
      <diagonal/>
    </border>
    <border>
      <left style="thin">
        <color indexed="22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22"/>
      </right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0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  <xf numFmtId="0" fontId="13" fillId="5" borderId="2" applyNumberFormat="0" applyAlignment="0" applyProtection="0"/>
    <xf numFmtId="165" fontId="13" fillId="0" borderId="0" applyFill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</cellStyleXfs>
  <cellXfs count="244">
    <xf numFmtId="0" fontId="0" fillId="0" borderId="0" xfId="0"/>
    <xf numFmtId="0" fontId="0" fillId="0" borderId="0" xfId="0" applyAlignment="1">
      <alignment horizontal="center"/>
    </xf>
    <xf numFmtId="0" fontId="2" fillId="5" borderId="2" xfId="4" applyNumberFormat="1" applyFont="1" applyAlignment="1" applyProtection="1">
      <alignment horizontal="center"/>
    </xf>
    <xf numFmtId="0" fontId="0" fillId="0" borderId="3" xfId="0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2" fillId="3" borderId="1" xfId="2" applyNumberFormat="1" applyFont="1" applyAlignment="1" applyProtection="1">
      <alignment horizontal="center"/>
    </xf>
    <xf numFmtId="0" fontId="0" fillId="5" borderId="4" xfId="4" applyNumberFormat="1" applyFont="1" applyBorder="1" applyAlignment="1" applyProtection="1"/>
    <xf numFmtId="0" fontId="0" fillId="5" borderId="2" xfId="4" applyNumberFormat="1" applyFont="1" applyAlignment="1" applyProtection="1">
      <alignment horizontal="center"/>
    </xf>
    <xf numFmtId="0" fontId="0" fillId="0" borderId="0" xfId="0" applyNumberFormat="1" applyFont="1" applyFill="1" applyBorder="1" applyAlignment="1"/>
    <xf numFmtId="0" fontId="0" fillId="0" borderId="0" xfId="0" applyFill="1"/>
    <xf numFmtId="0" fontId="3" fillId="0" borderId="0" xfId="0" applyNumberFormat="1" applyFont="1" applyFill="1" applyBorder="1" applyAlignment="1"/>
    <xf numFmtId="0" fontId="3" fillId="0" borderId="0" xfId="0" applyFont="1" applyFill="1"/>
    <xf numFmtId="0" fontId="3" fillId="0" borderId="5" xfId="0" applyNumberFormat="1" applyFont="1" applyFill="1" applyBorder="1" applyAlignment="1"/>
    <xf numFmtId="0" fontId="3" fillId="0" borderId="5" xfId="0" applyFont="1" applyFill="1" applyBorder="1"/>
    <xf numFmtId="0" fontId="3" fillId="0" borderId="0" xfId="0" applyFont="1" applyFill="1" applyBorder="1"/>
    <xf numFmtId="0" fontId="4" fillId="0" borderId="0" xfId="0" applyNumberFormat="1" applyFont="1" applyFill="1" applyBorder="1" applyAlignment="1"/>
    <xf numFmtId="0" fontId="1" fillId="0" borderId="0" xfId="0" applyFont="1"/>
    <xf numFmtId="0" fontId="3" fillId="5" borderId="6" xfId="4" applyNumberFormat="1" applyFont="1" applyBorder="1" applyAlignment="1" applyProtection="1">
      <alignment horizontal="center"/>
    </xf>
    <xf numFmtId="0" fontId="0" fillId="5" borderId="7" xfId="4" applyNumberFormat="1" applyFont="1" applyBorder="1" applyAlignment="1" applyProtection="1">
      <alignment horizontal="center"/>
    </xf>
    <xf numFmtId="0" fontId="0" fillId="5" borderId="8" xfId="4" applyNumberFormat="1" applyFont="1" applyBorder="1" applyAlignment="1" applyProtection="1">
      <alignment horizontal="center"/>
    </xf>
    <xf numFmtId="0" fontId="0" fillId="5" borderId="9" xfId="4" applyNumberFormat="1" applyFont="1" applyBorder="1" applyAlignment="1" applyProtection="1">
      <alignment horizontal="center"/>
    </xf>
    <xf numFmtId="0" fontId="0" fillId="5" borderId="10" xfId="4" applyNumberFormat="1" applyFont="1" applyBorder="1" applyAlignment="1" applyProtection="1">
      <alignment horizontal="center"/>
    </xf>
    <xf numFmtId="0" fontId="3" fillId="5" borderId="7" xfId="4" applyNumberFormat="1" applyFont="1" applyBorder="1" applyAlignment="1" applyProtection="1">
      <alignment horizontal="center"/>
    </xf>
    <xf numFmtId="0" fontId="3" fillId="5" borderId="11" xfId="4" applyNumberFormat="1" applyFont="1" applyBorder="1" applyAlignment="1" applyProtection="1">
      <alignment horizontal="center"/>
    </xf>
    <xf numFmtId="0" fontId="0" fillId="5" borderId="12" xfId="4" applyNumberFormat="1" applyFont="1" applyBorder="1" applyAlignment="1" applyProtection="1">
      <alignment horizontal="center"/>
    </xf>
    <xf numFmtId="0" fontId="0" fillId="5" borderId="13" xfId="4" applyNumberFormat="1" applyFont="1" applyBorder="1" applyAlignment="1" applyProtection="1">
      <alignment horizontal="center"/>
    </xf>
    <xf numFmtId="0" fontId="0" fillId="0" borderId="14" xfId="0" applyBorder="1"/>
    <xf numFmtId="0" fontId="0" fillId="0" borderId="15" xfId="0" applyFill="1" applyBorder="1"/>
    <xf numFmtId="0" fontId="0" fillId="0" borderId="0" xfId="0" applyBorder="1"/>
    <xf numFmtId="0" fontId="3" fillId="0" borderId="15" xfId="0" applyNumberFormat="1" applyFont="1" applyFill="1" applyBorder="1" applyAlignment="1"/>
    <xf numFmtId="0" fontId="0" fillId="0" borderId="14" xfId="0" applyFill="1" applyBorder="1"/>
    <xf numFmtId="0" fontId="3" fillId="0" borderId="16" xfId="0" applyNumberFormat="1" applyFont="1" applyFill="1" applyBorder="1" applyAlignment="1"/>
    <xf numFmtId="0" fontId="0" fillId="0" borderId="17" xfId="0" applyFill="1" applyBorder="1"/>
    <xf numFmtId="2" fontId="0" fillId="0" borderId="0" xfId="0" applyNumberFormat="1"/>
    <xf numFmtId="0" fontId="3" fillId="0" borderId="15" xfId="0" applyFont="1" applyFill="1" applyBorder="1"/>
    <xf numFmtId="0" fontId="3" fillId="0" borderId="14" xfId="0" applyFont="1" applyFill="1" applyBorder="1"/>
    <xf numFmtId="0" fontId="5" fillId="0" borderId="0" xfId="0" applyNumberFormat="1" applyFont="1" applyFill="1" applyBorder="1" applyAlignment="1"/>
    <xf numFmtId="0" fontId="5" fillId="0" borderId="16" xfId="0" applyNumberFormat="1" applyFont="1" applyFill="1" applyBorder="1" applyAlignment="1"/>
    <xf numFmtId="0" fontId="6" fillId="4" borderId="0" xfId="3" applyNumberFormat="1" applyBorder="1" applyAlignment="1" applyProtection="1"/>
    <xf numFmtId="0" fontId="0" fillId="0" borderId="0" xfId="0" applyBorder="1" applyAlignment="1">
      <alignment horizontal="center"/>
    </xf>
    <xf numFmtId="0" fontId="3" fillId="0" borderId="14" xfId="0" applyNumberFormat="1" applyFont="1" applyFill="1" applyBorder="1" applyAlignment="1"/>
    <xf numFmtId="0" fontId="0" fillId="0" borderId="0" xfId="0" applyFill="1" applyBorder="1"/>
    <xf numFmtId="0" fontId="5" fillId="0" borderId="5" xfId="0" applyNumberFormat="1" applyFont="1" applyFill="1" applyBorder="1" applyAlignment="1"/>
    <xf numFmtId="0" fontId="0" fillId="0" borderId="18" xfId="0" applyBorder="1"/>
    <xf numFmtId="0" fontId="0" fillId="0" borderId="5" xfId="0" applyBorder="1"/>
    <xf numFmtId="0" fontId="3" fillId="0" borderId="19" xfId="0" applyNumberFormat="1" applyFont="1" applyFill="1" applyBorder="1" applyAlignment="1"/>
    <xf numFmtId="0" fontId="3" fillId="0" borderId="18" xfId="0" applyFont="1" applyFill="1" applyBorder="1"/>
    <xf numFmtId="0" fontId="5" fillId="0" borderId="2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5" borderId="9" xfId="4" applyNumberFormat="1" applyFont="1" applyBorder="1" applyAlignment="1" applyProtection="1">
      <alignment horizontal="center"/>
    </xf>
    <xf numFmtId="0" fontId="0" fillId="5" borderId="10" xfId="4" applyNumberFormat="1" applyFont="1" applyBorder="1" applyAlignment="1" applyProtection="1"/>
    <xf numFmtId="0" fontId="0" fillId="5" borderId="21" xfId="4" applyNumberFormat="1" applyFont="1" applyBorder="1" applyAlignment="1" applyProtection="1">
      <alignment horizontal="center"/>
    </xf>
    <xf numFmtId="0" fontId="7" fillId="5" borderId="22" xfId="4" applyNumberFormat="1" applyFont="1" applyBorder="1" applyAlignment="1" applyProtection="1">
      <alignment horizontal="center"/>
    </xf>
    <xf numFmtId="0" fontId="0" fillId="5" borderId="23" xfId="4" applyNumberFormat="1" applyFont="1" applyBorder="1" applyAlignment="1" applyProtection="1">
      <alignment horizontal="center"/>
    </xf>
    <xf numFmtId="0" fontId="7" fillId="5" borderId="24" xfId="4" applyNumberFormat="1" applyFont="1" applyBorder="1" applyAlignment="1" applyProtection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0" borderId="0" xfId="4" applyNumberFormat="1" applyFont="1" applyFill="1" applyBorder="1" applyAlignment="1" applyProtection="1"/>
    <xf numFmtId="0" fontId="3" fillId="0" borderId="0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3" fillId="5" borderId="34" xfId="4" applyNumberFormat="1" applyFont="1" applyBorder="1" applyAlignment="1" applyProtection="1">
      <alignment horizontal="center"/>
    </xf>
    <xf numFmtId="0" fontId="0" fillId="5" borderId="35" xfId="4" applyNumberFormat="1" applyFont="1" applyBorder="1" applyAlignment="1" applyProtection="1">
      <alignment horizontal="center"/>
    </xf>
    <xf numFmtId="0" fontId="8" fillId="6" borderId="2" xfId="4" applyNumberFormat="1" applyFont="1" applyFill="1" applyAlignment="1" applyProtection="1">
      <alignment horizontal="center"/>
    </xf>
    <xf numFmtId="0" fontId="8" fillId="6" borderId="22" xfId="4" applyNumberFormat="1" applyFont="1" applyFill="1" applyBorder="1" applyAlignment="1" applyProtection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7" borderId="0" xfId="0" applyFill="1"/>
    <xf numFmtId="0" fontId="9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/>
    <xf numFmtId="0" fontId="7" fillId="4" borderId="22" xfId="4" applyNumberFormat="1" applyFont="1" applyFill="1" applyBorder="1" applyAlignment="1" applyProtection="1">
      <alignment horizontal="center"/>
    </xf>
    <xf numFmtId="0" fontId="0" fillId="4" borderId="0" xfId="0" applyFill="1"/>
    <xf numFmtId="0" fontId="0" fillId="5" borderId="36" xfId="4" applyNumberFormat="1" applyFont="1" applyBorder="1" applyAlignment="1" applyProtection="1">
      <alignment horizontal="center"/>
    </xf>
    <xf numFmtId="0" fontId="0" fillId="9" borderId="0" xfId="0" applyFill="1"/>
    <xf numFmtId="0" fontId="7" fillId="10" borderId="37" xfId="4" applyNumberFormat="1" applyFont="1" applyFill="1" applyBorder="1" applyAlignment="1" applyProtection="1">
      <alignment horizontal="center"/>
    </xf>
    <xf numFmtId="0" fontId="0" fillId="11" borderId="38" xfId="0" applyFill="1" applyBorder="1"/>
    <xf numFmtId="0" fontId="0" fillId="10" borderId="38" xfId="0" applyFill="1" applyBorder="1"/>
    <xf numFmtId="0" fontId="0" fillId="10" borderId="39" xfId="0" applyFill="1" applyBorder="1"/>
    <xf numFmtId="0" fontId="8" fillId="6" borderId="40" xfId="4" applyNumberFormat="1" applyFont="1" applyFill="1" applyBorder="1" applyAlignment="1" applyProtection="1">
      <alignment horizontal="center"/>
    </xf>
    <xf numFmtId="0" fontId="0" fillId="11" borderId="0" xfId="0" applyFill="1"/>
    <xf numFmtId="0" fontId="8" fillId="4" borderId="22" xfId="4" applyNumberFormat="1" applyFont="1" applyFill="1" applyBorder="1" applyAlignment="1" applyProtection="1">
      <alignment horizontal="center"/>
    </xf>
    <xf numFmtId="0" fontId="7" fillId="5" borderId="0" xfId="4" applyNumberFormat="1" applyFont="1" applyBorder="1" applyAlignment="1" applyProtection="1">
      <alignment horizontal="center"/>
    </xf>
    <xf numFmtId="0" fontId="0" fillId="0" borderId="0" xfId="0" applyFont="1" applyAlignment="1">
      <alignment horizontal="left"/>
    </xf>
    <xf numFmtId="0" fontId="9" fillId="5" borderId="0" xfId="4" applyNumberFormat="1" applyFont="1" applyBorder="1" applyAlignment="1" applyProtection="1">
      <alignment horizontal="center"/>
    </xf>
    <xf numFmtId="0" fontId="8" fillId="12" borderId="32" xfId="0" applyFont="1" applyFill="1" applyBorder="1" applyAlignment="1">
      <alignment horizontal="center"/>
    </xf>
    <xf numFmtId="0" fontId="8" fillId="13" borderId="32" xfId="0" applyFont="1" applyFill="1" applyBorder="1" applyAlignment="1">
      <alignment horizontal="center"/>
    </xf>
    <xf numFmtId="0" fontId="8" fillId="7" borderId="32" xfId="0" applyFont="1" applyFill="1" applyBorder="1" applyAlignment="1">
      <alignment horizontal="center"/>
    </xf>
    <xf numFmtId="164" fontId="0" fillId="0" borderId="0" xfId="0" applyNumberFormat="1"/>
    <xf numFmtId="0" fontId="8" fillId="6" borderId="32" xfId="0" applyFont="1" applyFill="1" applyBorder="1" applyAlignment="1">
      <alignment horizontal="center"/>
    </xf>
    <xf numFmtId="0" fontId="10" fillId="2" borderId="0" xfId="1" applyNumberFormat="1" applyBorder="1" applyAlignment="1" applyProtection="1"/>
    <xf numFmtId="0" fontId="10" fillId="2" borderId="0" xfId="1" applyNumberFormat="1" applyBorder="1" applyAlignment="1" applyProtection="1">
      <alignment horizontal="center"/>
    </xf>
    <xf numFmtId="0" fontId="8" fillId="14" borderId="32" xfId="0" applyFont="1" applyFill="1" applyBorder="1" applyAlignment="1">
      <alignment horizontal="center"/>
    </xf>
    <xf numFmtId="0" fontId="7" fillId="11" borderId="0" xfId="0" applyFont="1" applyFill="1"/>
    <xf numFmtId="0" fontId="8" fillId="8" borderId="32" xfId="0" applyFont="1" applyFill="1" applyBorder="1" applyAlignment="1">
      <alignment horizontal="center"/>
    </xf>
    <xf numFmtId="0" fontId="7" fillId="0" borderId="0" xfId="0" applyFont="1"/>
    <xf numFmtId="0" fontId="0" fillId="0" borderId="3" xfId="0" applyBorder="1"/>
    <xf numFmtId="0" fontId="0" fillId="0" borderId="2" xfId="4" applyNumberFormat="1" applyFont="1" applyFill="1" applyAlignment="1" applyProtection="1">
      <alignment horizontal="center"/>
    </xf>
    <xf numFmtId="0" fontId="0" fillId="15" borderId="3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0" xfId="0" applyFill="1"/>
    <xf numFmtId="0" fontId="0" fillId="9" borderId="0" xfId="0" applyFill="1" applyAlignment="1">
      <alignment horizontal="center" vertical="center"/>
    </xf>
    <xf numFmtId="0" fontId="1" fillId="0" borderId="0" xfId="4" applyNumberFormat="1" applyFont="1" applyFill="1" applyBorder="1" applyAlignment="1" applyProtection="1">
      <alignment vertical="center"/>
    </xf>
    <xf numFmtId="0" fontId="3" fillId="0" borderId="0" xfId="4" applyNumberFormat="1" applyFont="1" applyFill="1" applyBorder="1" applyAlignment="1" applyProtection="1">
      <alignment horizontal="center"/>
    </xf>
    <xf numFmtId="0" fontId="0" fillId="0" borderId="0" xfId="4" applyNumberFormat="1" applyFont="1" applyFill="1" applyBorder="1" applyAlignment="1" applyProtection="1">
      <alignment horizontal="center"/>
    </xf>
    <xf numFmtId="0" fontId="8" fillId="16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41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42" xfId="0" applyFont="1" applyFill="1" applyBorder="1" applyAlignment="1">
      <alignment horizontal="center"/>
    </xf>
    <xf numFmtId="0" fontId="0" fillId="11" borderId="43" xfId="0" applyFont="1" applyFill="1" applyBorder="1" applyAlignment="1">
      <alignment horizontal="center"/>
    </xf>
    <xf numFmtId="0" fontId="0" fillId="11" borderId="44" xfId="0" applyFont="1" applyFill="1" applyBorder="1" applyAlignment="1">
      <alignment horizontal="center"/>
    </xf>
    <xf numFmtId="0" fontId="0" fillId="11" borderId="45" xfId="0" applyFont="1" applyFill="1" applyBorder="1" applyAlignment="1">
      <alignment horizontal="center"/>
    </xf>
    <xf numFmtId="0" fontId="0" fillId="11" borderId="4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6" fontId="0" fillId="0" borderId="44" xfId="5" applyNumberFormat="1" applyFont="1" applyFill="1" applyBorder="1" applyAlignment="1" applyProtection="1">
      <alignment horizontal="center"/>
    </xf>
    <xf numFmtId="166" fontId="0" fillId="0" borderId="45" xfId="5" applyNumberFormat="1" applyFont="1" applyFill="1" applyBorder="1" applyAlignment="1" applyProtection="1"/>
    <xf numFmtId="166" fontId="0" fillId="0" borderId="46" xfId="5" applyNumberFormat="1" applyFont="1" applyFill="1" applyBorder="1" applyAlignment="1" applyProtection="1">
      <alignment horizontal="center"/>
    </xf>
    <xf numFmtId="166" fontId="0" fillId="0" borderId="45" xfId="5" applyNumberFormat="1" applyFont="1" applyFill="1" applyBorder="1" applyAlignment="1" applyProtection="1">
      <alignment horizontal="center"/>
    </xf>
    <xf numFmtId="166" fontId="0" fillId="0" borderId="41" xfId="5" applyNumberFormat="1" applyFont="1" applyFill="1" applyBorder="1" applyAlignment="1" applyProtection="1">
      <alignment horizontal="center"/>
    </xf>
    <xf numFmtId="166" fontId="0" fillId="0" borderId="0" xfId="5" applyNumberFormat="1" applyFont="1" applyFill="1" applyBorder="1" applyAlignment="1" applyProtection="1"/>
    <xf numFmtId="166" fontId="0" fillId="0" borderId="42" xfId="5" applyNumberFormat="1" applyFont="1" applyFill="1" applyBorder="1" applyAlignment="1" applyProtection="1">
      <alignment horizontal="center"/>
    </xf>
    <xf numFmtId="166" fontId="0" fillId="0" borderId="0" xfId="5" applyNumberFormat="1" applyFont="1" applyFill="1" applyBorder="1" applyAlignment="1" applyProtection="1">
      <alignment horizontal="center"/>
    </xf>
    <xf numFmtId="166" fontId="0" fillId="0" borderId="41" xfId="5" applyNumberFormat="1" applyFont="1" applyFill="1" applyBorder="1" applyAlignment="1" applyProtection="1"/>
    <xf numFmtId="0" fontId="8" fillId="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7" borderId="0" xfId="0" applyFill="1" applyAlignment="1">
      <alignment horizontal="center"/>
    </xf>
    <xf numFmtId="166" fontId="0" fillId="0" borderId="47" xfId="5" applyNumberFormat="1" applyFont="1" applyFill="1" applyBorder="1" applyAlignment="1" applyProtection="1">
      <alignment horizontal="center"/>
    </xf>
    <xf numFmtId="166" fontId="0" fillId="0" borderId="48" xfId="5" applyNumberFormat="1" applyFont="1" applyFill="1" applyBorder="1" applyAlignment="1" applyProtection="1">
      <alignment horizontal="center"/>
    </xf>
    <xf numFmtId="166" fontId="0" fillId="0" borderId="49" xfId="5" applyNumberFormat="1" applyFont="1" applyFill="1" applyBorder="1" applyAlignment="1" applyProtection="1">
      <alignment horizontal="center"/>
    </xf>
    <xf numFmtId="166" fontId="0" fillId="0" borderId="0" xfId="0" applyNumberFormat="1"/>
    <xf numFmtId="165" fontId="0" fillId="0" borderId="44" xfId="5" applyNumberFormat="1" applyFont="1" applyFill="1" applyBorder="1" applyAlignment="1" applyProtection="1">
      <alignment horizontal="center"/>
    </xf>
    <xf numFmtId="165" fontId="0" fillId="0" borderId="45" xfId="5" applyNumberFormat="1" applyFont="1" applyFill="1" applyBorder="1" applyAlignment="1" applyProtection="1">
      <alignment horizontal="center"/>
    </xf>
    <xf numFmtId="165" fontId="0" fillId="0" borderId="46" xfId="5" applyNumberFormat="1" applyFont="1" applyFill="1" applyBorder="1" applyAlignment="1" applyProtection="1">
      <alignment horizontal="center"/>
    </xf>
    <xf numFmtId="165" fontId="0" fillId="0" borderId="41" xfId="5" applyNumberFormat="1" applyFont="1" applyFill="1" applyBorder="1" applyAlignment="1" applyProtection="1">
      <alignment horizontal="center"/>
    </xf>
    <xf numFmtId="165" fontId="0" fillId="0" borderId="0" xfId="5" applyNumberFormat="1" applyFont="1" applyFill="1" applyBorder="1" applyAlignment="1" applyProtection="1">
      <alignment horizontal="center"/>
    </xf>
    <xf numFmtId="165" fontId="0" fillId="0" borderId="42" xfId="5" applyNumberFormat="1" applyFont="1" applyFill="1" applyBorder="1" applyAlignment="1" applyProtection="1">
      <alignment horizontal="center"/>
    </xf>
    <xf numFmtId="165" fontId="0" fillId="0" borderId="47" xfId="5" applyNumberFormat="1" applyFont="1" applyFill="1" applyBorder="1" applyAlignment="1" applyProtection="1">
      <alignment horizontal="center"/>
    </xf>
    <xf numFmtId="165" fontId="0" fillId="0" borderId="48" xfId="5" applyNumberFormat="1" applyFont="1" applyFill="1" applyBorder="1" applyAlignment="1" applyProtection="1">
      <alignment horizontal="center"/>
    </xf>
    <xf numFmtId="165" fontId="0" fillId="0" borderId="49" xfId="5" applyNumberFormat="1" applyFont="1" applyFill="1" applyBorder="1" applyAlignment="1" applyProtection="1">
      <alignment horizontal="center"/>
    </xf>
    <xf numFmtId="165" fontId="0" fillId="0" borderId="0" xfId="0" applyNumberFormat="1"/>
    <xf numFmtId="165" fontId="10" fillId="2" borderId="0" xfId="1" applyNumberFormat="1" applyBorder="1" applyAlignment="1" applyProtection="1"/>
    <xf numFmtId="0" fontId="0" fillId="0" borderId="43" xfId="0" applyFont="1" applyBorder="1" applyAlignment="1"/>
    <xf numFmtId="0" fontId="0" fillId="0" borderId="50" xfId="0" applyFont="1" applyBorder="1" applyAlignment="1"/>
    <xf numFmtId="0" fontId="0" fillId="11" borderId="51" xfId="0" applyFont="1" applyFill="1" applyBorder="1" applyAlignment="1">
      <alignment horizontal="center"/>
    </xf>
    <xf numFmtId="166" fontId="0" fillId="0" borderId="52" xfId="5" applyNumberFormat="1" applyFont="1" applyFill="1" applyBorder="1" applyAlignment="1" applyProtection="1">
      <alignment horizontal="center"/>
    </xf>
    <xf numFmtId="166" fontId="0" fillId="8" borderId="52" xfId="5" applyNumberFormat="1" applyFont="1" applyFill="1" applyBorder="1" applyAlignment="1" applyProtection="1">
      <alignment horizontal="center"/>
    </xf>
    <xf numFmtId="166" fontId="0" fillId="6" borderId="52" xfId="5" applyNumberFormat="1" applyFont="1" applyFill="1" applyBorder="1" applyAlignment="1" applyProtection="1">
      <alignment horizontal="center"/>
    </xf>
    <xf numFmtId="166" fontId="0" fillId="7" borderId="52" xfId="5" applyNumberFormat="1" applyFont="1" applyFill="1" applyBorder="1" applyAlignment="1" applyProtection="1">
      <alignment horizontal="center"/>
    </xf>
    <xf numFmtId="166" fontId="0" fillId="17" borderId="52" xfId="5" applyNumberFormat="1" applyFont="1" applyFill="1" applyBorder="1" applyAlignment="1" applyProtection="1">
      <alignment horizontal="center"/>
    </xf>
    <xf numFmtId="166" fontId="0" fillId="0" borderId="53" xfId="5" applyNumberFormat="1" applyFont="1" applyFill="1" applyBorder="1" applyAlignment="1" applyProtection="1">
      <alignment horizontal="center"/>
    </xf>
    <xf numFmtId="0" fontId="0" fillId="0" borderId="51" xfId="0" applyFont="1" applyBorder="1" applyAlignment="1"/>
    <xf numFmtId="0" fontId="0" fillId="11" borderId="50" xfId="0" applyFont="1" applyFill="1" applyBorder="1" applyAlignment="1">
      <alignment horizontal="center"/>
    </xf>
    <xf numFmtId="166" fontId="0" fillId="0" borderId="50" xfId="5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18" borderId="0" xfId="0" applyNumberFormat="1" applyFill="1" applyAlignment="1">
      <alignment horizontal="center"/>
    </xf>
    <xf numFmtId="164" fontId="0" fillId="18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19" borderId="0" xfId="0" applyNumberFormat="1" applyFill="1" applyAlignment="1">
      <alignment horizontal="center"/>
    </xf>
    <xf numFmtId="2" fontId="0" fillId="19" borderId="0" xfId="0" applyNumberFormat="1" applyFill="1" applyAlignment="1">
      <alignment horizontal="center"/>
    </xf>
    <xf numFmtId="0" fontId="0" fillId="5" borderId="0" xfId="4" applyNumberFormat="1" applyFont="1" applyBorder="1" applyAlignment="1" applyProtection="1">
      <alignment horizontal="center"/>
    </xf>
    <xf numFmtId="165" fontId="9" fillId="0" borderId="41" xfId="5" applyNumberFormat="1" applyFont="1" applyFill="1" applyBorder="1" applyAlignment="1" applyProtection="1">
      <alignment horizontal="center"/>
    </xf>
    <xf numFmtId="165" fontId="9" fillId="0" borderId="0" xfId="5" applyNumberFormat="1" applyFont="1" applyFill="1" applyBorder="1" applyAlignment="1" applyProtection="1">
      <alignment horizontal="center"/>
    </xf>
    <xf numFmtId="165" fontId="14" fillId="6" borderId="0" xfId="5" applyNumberFormat="1" applyFont="1" applyFill="1" applyBorder="1" applyAlignment="1" applyProtection="1">
      <alignment horizontal="center"/>
    </xf>
    <xf numFmtId="165" fontId="14" fillId="7" borderId="0" xfId="5" applyNumberFormat="1" applyFont="1" applyFill="1" applyBorder="1" applyAlignment="1" applyProtection="1">
      <alignment horizontal="center"/>
    </xf>
    <xf numFmtId="165" fontId="14" fillId="17" borderId="0" xfId="5" applyNumberFormat="1" applyFont="1" applyFill="1" applyBorder="1" applyAlignment="1" applyProtection="1">
      <alignment horizontal="center"/>
    </xf>
    <xf numFmtId="165" fontId="14" fillId="8" borderId="0" xfId="5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56" xfId="0" applyBorder="1"/>
    <xf numFmtId="0" fontId="0" fillId="0" borderId="56" xfId="0" applyBorder="1" applyAlignment="1">
      <alignment horizontal="center" vertical="center"/>
    </xf>
    <xf numFmtId="164" fontId="15" fillId="20" borderId="0" xfId="6" applyNumberFormat="1"/>
    <xf numFmtId="0" fontId="0" fillId="0" borderId="0" xfId="0" applyAlignment="1">
      <alignment horizontal="right"/>
    </xf>
    <xf numFmtId="0" fontId="0" fillId="0" borderId="56" xfId="0" applyFont="1" applyFill="1" applyBorder="1" applyAlignment="1">
      <alignment horizontal="center"/>
    </xf>
    <xf numFmtId="166" fontId="0" fillId="0" borderId="56" xfId="5" applyNumberFormat="1" applyFont="1" applyFill="1" applyBorder="1" applyAlignment="1" applyProtection="1">
      <alignment horizontal="center"/>
    </xf>
    <xf numFmtId="166" fontId="0" fillId="0" borderId="56" xfId="5" applyNumberFormat="1" applyFont="1" applyFill="1" applyBorder="1" applyAlignment="1" applyProtection="1"/>
    <xf numFmtId="164" fontId="0" fillId="0" borderId="56" xfId="0" applyNumberFormat="1" applyBorder="1"/>
    <xf numFmtId="2" fontId="16" fillId="21" borderId="0" xfId="7" applyNumberFormat="1"/>
    <xf numFmtId="0" fontId="16" fillId="21" borderId="15" xfId="7" applyBorder="1"/>
    <xf numFmtId="0" fontId="16" fillId="21" borderId="19" xfId="7" applyBorder="1"/>
    <xf numFmtId="164" fontId="0" fillId="0" borderId="14" xfId="0" applyNumberFormat="1" applyBorder="1"/>
    <xf numFmtId="164" fontId="16" fillId="21" borderId="14" xfId="7" applyNumberFormat="1" applyBorder="1"/>
    <xf numFmtId="164" fontId="16" fillId="21" borderId="18" xfId="7" applyNumberFormat="1" applyBorder="1"/>
    <xf numFmtId="164" fontId="0" fillId="0" borderId="3" xfId="0" applyNumberFormat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  <xf numFmtId="164" fontId="2" fillId="3" borderId="1" xfId="2" applyNumberFormat="1" applyFont="1" applyAlignment="1" applyProtection="1">
      <alignment horizontal="center"/>
    </xf>
    <xf numFmtId="164" fontId="2" fillId="3" borderId="1" xfId="2" applyNumberFormat="1" applyAlignment="1" applyProtection="1"/>
    <xf numFmtId="0" fontId="16" fillId="21" borderId="0" xfId="7"/>
    <xf numFmtId="0" fontId="15" fillId="20" borderId="0" xfId="6"/>
    <xf numFmtId="0" fontId="15" fillId="20" borderId="0" xfId="6" applyAlignment="1">
      <alignment horizontal="center"/>
    </xf>
    <xf numFmtId="0" fontId="16" fillId="21" borderId="0" xfId="7" applyAlignment="1">
      <alignment horizontal="center"/>
    </xf>
    <xf numFmtId="167" fontId="0" fillId="0" borderId="0" xfId="5" applyNumberFormat="1" applyFont="1" applyFill="1" applyBorder="1" applyAlignment="1" applyProtection="1"/>
    <xf numFmtId="166" fontId="0" fillId="0" borderId="59" xfId="5" applyNumberFormat="1" applyFont="1" applyFill="1" applyBorder="1" applyAlignment="1" applyProtection="1">
      <alignment horizontal="center"/>
    </xf>
    <xf numFmtId="166" fontId="0" fillId="0" borderId="60" xfId="5" applyNumberFormat="1" applyFont="1" applyFill="1" applyBorder="1" applyAlignment="1" applyProtection="1">
      <alignment horizontal="center"/>
    </xf>
    <xf numFmtId="166" fontId="0" fillId="0" borderId="61" xfId="5" applyNumberFormat="1" applyFont="1" applyFill="1" applyBorder="1" applyAlignment="1" applyProtection="1">
      <alignment horizontal="center"/>
    </xf>
    <xf numFmtId="166" fontId="0" fillId="0" borderId="62" xfId="5" applyNumberFormat="1" applyFont="1" applyFill="1" applyBorder="1" applyAlignment="1" applyProtection="1">
      <alignment horizontal="center"/>
    </xf>
    <xf numFmtId="166" fontId="0" fillId="0" borderId="63" xfId="5" applyNumberFormat="1" applyFont="1" applyFill="1" applyBorder="1" applyAlignment="1" applyProtection="1">
      <alignment horizontal="center"/>
    </xf>
    <xf numFmtId="166" fontId="0" fillId="0" borderId="64" xfId="5" applyNumberFormat="1" applyFont="1" applyFill="1" applyBorder="1" applyAlignment="1" applyProtection="1">
      <alignment horizontal="center"/>
    </xf>
    <xf numFmtId="166" fontId="0" fillId="0" borderId="65" xfId="5" applyNumberFormat="1" applyFont="1" applyFill="1" applyBorder="1" applyAlignment="1" applyProtection="1">
      <alignment horizontal="center"/>
    </xf>
    <xf numFmtId="166" fontId="0" fillId="0" borderId="66" xfId="5" applyNumberFormat="1" applyFont="1" applyFill="1" applyBorder="1" applyAlignment="1" applyProtection="1">
      <alignment horizontal="center"/>
    </xf>
    <xf numFmtId="0" fontId="17" fillId="0" borderId="0" xfId="0" applyFont="1"/>
    <xf numFmtId="0" fontId="18" fillId="0" borderId="0" xfId="0" applyFont="1"/>
    <xf numFmtId="0" fontId="1" fillId="19" borderId="0" xfId="0" applyFont="1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/>
    </xf>
    <xf numFmtId="166" fontId="13" fillId="22" borderId="0" xfId="5" applyNumberForma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1" fillId="5" borderId="3" xfId="4" applyNumberFormat="1" applyFont="1" applyBorder="1" applyAlignment="1" applyProtection="1">
      <alignment horizontal="center" vertical="center"/>
    </xf>
    <xf numFmtId="0" fontId="1" fillId="0" borderId="54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5" borderId="55" xfId="4" applyNumberFormat="1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left"/>
    </xf>
    <xf numFmtId="0" fontId="0" fillId="0" borderId="51" xfId="0" applyFont="1" applyBorder="1" applyAlignment="1">
      <alignment horizontal="center"/>
    </xf>
    <xf numFmtId="166" fontId="1" fillId="0" borderId="0" xfId="5" applyNumberFormat="1" applyFont="1" applyFill="1" applyBorder="1" applyAlignment="1" applyProtection="1"/>
    <xf numFmtId="0" fontId="0" fillId="0" borderId="56" xfId="0" applyBorder="1" applyAlignment="1">
      <alignment horizontal="center" vertical="center"/>
    </xf>
    <xf numFmtId="0" fontId="1" fillId="19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0" fillId="0" borderId="56" xfId="0" applyFont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166" fontId="15" fillId="20" borderId="0" xfId="6" applyNumberFormat="1" applyAlignment="1">
      <alignment horizontal="center"/>
    </xf>
  </cellXfs>
  <cellStyles count="8">
    <cellStyle name="Buena" xfId="6" builtinId="26"/>
    <cellStyle name="Excel_BuiltIn_Buena 1" xfId="1"/>
    <cellStyle name="Excel_BuiltIn_Entrada 1" xfId="2"/>
    <cellStyle name="Excel_BuiltIn_Incorrecto 1" xfId="3"/>
    <cellStyle name="Excel_BuiltIn_Notas 1" xfId="4"/>
    <cellStyle name="Millares" xfId="5" builtinId="3"/>
    <cellStyle name="Neutral" xfId="7" builtinId="28"/>
    <cellStyle name="Normal" xfId="0" builtinId="0"/>
  </cellStyles>
  <dxfs count="1">
    <dxf>
      <font>
        <b val="0"/>
        <condense val="0"/>
        <extend val="0"/>
        <sz val="11"/>
        <color indexed="17"/>
      </font>
      <fill>
        <patternFill patternType="solid">
          <fgColor indexed="27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EOQ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Hoja3!$C$35:$L$35</c:f>
              <c:numCache>
                <c:formatCode>General</c:formatCode>
                <c:ptCount val="10"/>
                <c:pt idx="0">
                  <c:v>2700</c:v>
                </c:pt>
                <c:pt idx="1">
                  <c:v>2100</c:v>
                </c:pt>
                <c:pt idx="2">
                  <c:v>1700</c:v>
                </c:pt>
                <c:pt idx="3">
                  <c:v>750</c:v>
                </c:pt>
                <c:pt idx="4">
                  <c:v>2950</c:v>
                </c:pt>
                <c:pt idx="5">
                  <c:v>2650</c:v>
                </c:pt>
                <c:pt idx="6">
                  <c:v>2350</c:v>
                </c:pt>
                <c:pt idx="7">
                  <c:v>2050</c:v>
                </c:pt>
                <c:pt idx="8">
                  <c:v>1950</c:v>
                </c:pt>
                <c:pt idx="9">
                  <c:v>1750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288728"/>
        <c:axId val="309292256"/>
      </c:lineChart>
      <c:catAx>
        <c:axId val="309288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9292256"/>
        <c:crosses val="autoZero"/>
        <c:auto val="1"/>
        <c:lblAlgn val="ctr"/>
        <c:lblOffset val="100"/>
        <c:noMultiLvlLbl val="0"/>
      </c:catAx>
      <c:valAx>
        <c:axId val="30929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9288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7.tmp"/><Relationship Id="rId1" Type="http://schemas.openxmlformats.org/officeDocument/2006/relationships/image" Target="../media/image6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556260</xdr:colOff>
      <xdr:row>5</xdr:row>
      <xdr:rowOff>38100</xdr:rowOff>
    </xdr:from>
    <xdr:to>
      <xdr:col>28</xdr:col>
      <xdr:colOff>182880</xdr:colOff>
      <xdr:row>15</xdr:row>
      <xdr:rowOff>38100</xdr:rowOff>
    </xdr:to>
    <xdr:pic>
      <xdr:nvPicPr>
        <xdr:cNvPr id="104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2720" y="952500"/>
          <a:ext cx="8366760" cy="1828800"/>
        </a:xfrm>
        <a:prstGeom prst="rect">
          <a:avLst/>
        </a:prstGeom>
        <a:noFill/>
        <a:ln w="3240" cap="sq">
          <a:solidFill>
            <a:srgbClr val="000000"/>
          </a:solidFill>
          <a:miter lim="800000"/>
          <a:headEnd/>
          <a:tailEnd/>
        </a:ln>
        <a:effectLst>
          <a:outerShdw dist="38184" dir="2700000" algn="ctr" rotWithShape="0">
            <a:srgbClr val="000000">
              <a:alpha val="43030"/>
            </a:srgbClr>
          </a:outerShdw>
        </a:effectLst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 editAs="oneCell">
    <xdr:from>
      <xdr:col>27</xdr:col>
      <xdr:colOff>264584</xdr:colOff>
      <xdr:row>26</xdr:row>
      <xdr:rowOff>116416</xdr:rowOff>
    </xdr:from>
    <xdr:to>
      <xdr:col>32</xdr:col>
      <xdr:colOff>42084</xdr:colOff>
      <xdr:row>37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7584" y="5069416"/>
          <a:ext cx="2000000" cy="1979084"/>
        </a:xfrm>
        <a:prstGeom prst="rect">
          <a:avLst/>
        </a:prstGeom>
        <a:ln w="28575" cap="sq">
          <a:solidFill>
            <a:srgbClr val="FF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17</xdr:col>
      <xdr:colOff>10583</xdr:colOff>
      <xdr:row>29</xdr:row>
      <xdr:rowOff>158750</xdr:rowOff>
    </xdr:from>
    <xdr:to>
      <xdr:col>19</xdr:col>
      <xdr:colOff>464393</xdr:colOff>
      <xdr:row>40</xdr:row>
      <xdr:rowOff>116417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9166" y="5683250"/>
          <a:ext cx="1723810" cy="2053167"/>
        </a:xfrm>
        <a:prstGeom prst="rect">
          <a:avLst/>
        </a:prstGeom>
        <a:ln w="28575" cap="sq">
          <a:solidFill>
            <a:srgbClr val="FF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20</xdr:col>
      <xdr:colOff>52917</xdr:colOff>
      <xdr:row>29</xdr:row>
      <xdr:rowOff>179916</xdr:rowOff>
    </xdr:from>
    <xdr:to>
      <xdr:col>22</xdr:col>
      <xdr:colOff>316656</xdr:colOff>
      <xdr:row>38</xdr:row>
      <xdr:rowOff>65839</xdr:rowOff>
    </xdr:to>
    <xdr:pic>
      <xdr:nvPicPr>
        <xdr:cNvPr id="4" name="Imagen 3" descr="Recorte de pantalla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5704416"/>
          <a:ext cx="1533739" cy="1600423"/>
        </a:xfrm>
        <a:prstGeom prst="rect">
          <a:avLst/>
        </a:prstGeom>
        <a:ln w="28575" cap="sq">
          <a:solidFill>
            <a:srgbClr val="92D05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23</xdr:col>
      <xdr:colOff>190500</xdr:colOff>
      <xdr:row>26</xdr:row>
      <xdr:rowOff>127001</xdr:rowOff>
    </xdr:from>
    <xdr:to>
      <xdr:col>26</xdr:col>
      <xdr:colOff>382310</xdr:colOff>
      <xdr:row>37</xdr:row>
      <xdr:rowOff>21167</xdr:rowOff>
    </xdr:to>
    <xdr:pic>
      <xdr:nvPicPr>
        <xdr:cNvPr id="5" name="Imagen 4" descr="Recorte de pantalla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3917" y="5080001"/>
          <a:ext cx="1800476" cy="1989666"/>
        </a:xfrm>
        <a:prstGeom prst="rect">
          <a:avLst/>
        </a:prstGeom>
        <a:ln w="38100" cap="sq">
          <a:solidFill>
            <a:srgbClr val="92D05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323850</xdr:colOff>
      <xdr:row>2</xdr:row>
      <xdr:rowOff>72390</xdr:rowOff>
    </xdr:from>
    <xdr:to>
      <xdr:col>35</xdr:col>
      <xdr:colOff>87630</xdr:colOff>
      <xdr:row>13</xdr:row>
      <xdr:rowOff>55245</xdr:rowOff>
    </xdr:to>
    <xdr:pic>
      <xdr:nvPicPr>
        <xdr:cNvPr id="205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462915"/>
          <a:ext cx="8993505" cy="2097405"/>
        </a:xfrm>
        <a:prstGeom prst="rect">
          <a:avLst/>
        </a:prstGeom>
        <a:noFill/>
        <a:ln w="12700" cap="sq">
          <a:solidFill>
            <a:srgbClr val="000000"/>
          </a:solidFill>
          <a:miter lim="800000"/>
          <a:headEnd/>
          <a:tailEnd/>
        </a:ln>
        <a:effectLst>
          <a:outerShdw dist="38184" dir="2700000" algn="ctr" rotWithShape="0">
            <a:srgbClr val="000000">
              <a:alpha val="43030"/>
            </a:srgbClr>
          </a:outerShdw>
        </a:effectLst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19</xdr:row>
      <xdr:rowOff>95250</xdr:rowOff>
    </xdr:from>
    <xdr:to>
      <xdr:col>15</xdr:col>
      <xdr:colOff>581835</xdr:colOff>
      <xdr:row>29</xdr:row>
      <xdr:rowOff>76463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3714750"/>
          <a:ext cx="5801535" cy="1886213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742950</xdr:colOff>
      <xdr:row>23</xdr:row>
      <xdr:rowOff>76200</xdr:rowOff>
    </xdr:from>
    <xdr:to>
      <xdr:col>6</xdr:col>
      <xdr:colOff>466899</xdr:colOff>
      <xdr:row>26</xdr:row>
      <xdr:rowOff>133438</xdr:rowOff>
    </xdr:to>
    <xdr:pic>
      <xdr:nvPicPr>
        <xdr:cNvPr id="3" name="Imagen 2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4457700"/>
          <a:ext cx="1247949" cy="628738"/>
        </a:xfrm>
        <a:prstGeom prst="rect">
          <a:avLst/>
        </a:prstGeom>
      </xdr:spPr>
    </xdr:pic>
    <xdr:clientData/>
  </xdr:twoCellAnchor>
  <xdr:twoCellAnchor>
    <xdr:from>
      <xdr:col>2</xdr:col>
      <xdr:colOff>390525</xdr:colOff>
      <xdr:row>38</xdr:row>
      <xdr:rowOff>23812</xdr:rowOff>
    </xdr:from>
    <xdr:to>
      <xdr:col>8</xdr:col>
      <xdr:colOff>352425</xdr:colOff>
      <xdr:row>52</xdr:row>
      <xdr:rowOff>100012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48</xdr:row>
      <xdr:rowOff>0</xdr:rowOff>
    </xdr:from>
    <xdr:to>
      <xdr:col>22</xdr:col>
      <xdr:colOff>334166</xdr:colOff>
      <xdr:row>51</xdr:row>
      <xdr:rowOff>9606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125" y="9153525"/>
          <a:ext cx="5668166" cy="581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58"/>
  <sheetViews>
    <sheetView zoomScale="90" zoomScaleNormal="90" workbookViewId="0">
      <selection activeCell="T53" sqref="T53"/>
    </sheetView>
  </sheetViews>
  <sheetFormatPr baseColWidth="10" defaultColWidth="6.7109375" defaultRowHeight="15" x14ac:dyDescent="0.25"/>
  <cols>
    <col min="3" max="3" width="7.7109375" customWidth="1"/>
    <col min="4" max="4" width="7" customWidth="1"/>
    <col min="5" max="5" width="6.28515625" customWidth="1"/>
    <col min="6" max="6" width="6.5703125" customWidth="1"/>
    <col min="7" max="7" width="8.140625" customWidth="1"/>
    <col min="8" max="8" width="8.5703125" customWidth="1"/>
    <col min="9" max="9" width="7.140625" customWidth="1"/>
    <col min="10" max="10" width="6.85546875" customWidth="1"/>
    <col min="11" max="11" width="7.28515625" customWidth="1"/>
    <col min="12" max="12" width="7.140625" customWidth="1"/>
    <col min="14" max="14" width="9.42578125" customWidth="1"/>
    <col min="15" max="15" width="15.7109375" customWidth="1"/>
    <col min="16" max="16" width="9.85546875" customWidth="1"/>
    <col min="17" max="22" width="9.5703125" customWidth="1"/>
    <col min="23" max="24" width="9.42578125" customWidth="1"/>
    <col min="25" max="25" width="6.5703125" customWidth="1"/>
    <col min="26" max="26" width="8.28515625" style="1" customWidth="1"/>
    <col min="27" max="27" width="8.42578125" style="1" customWidth="1"/>
    <col min="28" max="28" width="6.7109375" style="1"/>
    <col min="29" max="29" width="6.7109375" style="1" bestFit="1" customWidth="1"/>
    <col min="30" max="30" width="6.7109375" style="1"/>
  </cols>
  <sheetData>
    <row r="1" spans="1:22" x14ac:dyDescent="0.25">
      <c r="C1" s="229" t="s">
        <v>0</v>
      </c>
      <c r="D1" s="229"/>
      <c r="E1" s="229"/>
      <c r="F1" s="229"/>
      <c r="G1" s="229"/>
      <c r="H1" s="229"/>
      <c r="I1" s="229"/>
      <c r="J1" s="229"/>
      <c r="K1" s="229"/>
      <c r="L1" s="229"/>
      <c r="O1">
        <f>2500*3</f>
        <v>7500</v>
      </c>
    </row>
    <row r="2" spans="1:22" x14ac:dyDescent="0.25">
      <c r="A2" t="s">
        <v>98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22" x14ac:dyDescent="0.25">
      <c r="A3">
        <v>14966.666666666666</v>
      </c>
      <c r="B3" s="1" t="s">
        <v>1</v>
      </c>
      <c r="C3" s="200">
        <v>0</v>
      </c>
      <c r="D3" s="200">
        <v>0</v>
      </c>
      <c r="E3" s="200">
        <v>0</v>
      </c>
      <c r="F3" s="200">
        <v>0</v>
      </c>
      <c r="G3" s="200">
        <v>800</v>
      </c>
      <c r="H3" s="200">
        <v>300</v>
      </c>
      <c r="I3" s="201">
        <v>300</v>
      </c>
      <c r="J3" s="201">
        <v>300</v>
      </c>
      <c r="K3" s="201">
        <v>100</v>
      </c>
      <c r="L3" s="201">
        <v>200</v>
      </c>
      <c r="V3" t="s">
        <v>2</v>
      </c>
    </row>
    <row r="4" spans="1:22" x14ac:dyDescent="0.25">
      <c r="B4" s="5" t="s">
        <v>3</v>
      </c>
      <c r="C4" s="202">
        <v>0</v>
      </c>
      <c r="D4" s="202">
        <v>0</v>
      </c>
      <c r="E4" s="202">
        <v>0</v>
      </c>
      <c r="F4" s="202">
        <v>0</v>
      </c>
      <c r="G4" s="202">
        <v>0</v>
      </c>
      <c r="H4" s="202">
        <v>0</v>
      </c>
      <c r="I4" s="203">
        <v>230</v>
      </c>
      <c r="J4" s="203">
        <v>100</v>
      </c>
      <c r="K4" s="203">
        <v>347</v>
      </c>
      <c r="L4" s="203">
        <v>900</v>
      </c>
      <c r="V4" t="s">
        <v>4</v>
      </c>
    </row>
    <row r="5" spans="1:22" x14ac:dyDescent="0.25">
      <c r="I5" s="98"/>
      <c r="V5" t="s">
        <v>5</v>
      </c>
    </row>
    <row r="6" spans="1:22" x14ac:dyDescent="0.25">
      <c r="E6" s="233" t="s">
        <v>6</v>
      </c>
      <c r="F6" s="233"/>
      <c r="G6" s="233"/>
    </row>
    <row r="7" spans="1:22" x14ac:dyDescent="0.25">
      <c r="B7" s="6" t="s">
        <v>7</v>
      </c>
      <c r="C7" s="6" t="s">
        <v>8</v>
      </c>
      <c r="F7" s="7" t="s">
        <v>1</v>
      </c>
      <c r="G7">
        <v>200</v>
      </c>
      <c r="I7" t="s">
        <v>9</v>
      </c>
    </row>
    <row r="8" spans="1:22" x14ac:dyDescent="0.25">
      <c r="B8" s="8" t="s">
        <v>1</v>
      </c>
      <c r="C8" s="9">
        <v>500</v>
      </c>
      <c r="F8" s="7" t="s">
        <v>3</v>
      </c>
      <c r="G8">
        <v>150</v>
      </c>
    </row>
    <row r="9" spans="1:22" x14ac:dyDescent="0.25">
      <c r="B9" s="10" t="s">
        <v>3</v>
      </c>
      <c r="C9" s="11">
        <v>600</v>
      </c>
      <c r="F9" s="7" t="s">
        <v>10</v>
      </c>
      <c r="G9">
        <v>30</v>
      </c>
    </row>
    <row r="10" spans="1:22" x14ac:dyDescent="0.25">
      <c r="B10" s="10" t="s">
        <v>10</v>
      </c>
      <c r="C10" s="11">
        <v>560</v>
      </c>
      <c r="F10" s="7" t="s">
        <v>11</v>
      </c>
      <c r="G10">
        <v>20</v>
      </c>
    </row>
    <row r="11" spans="1:22" x14ac:dyDescent="0.25">
      <c r="B11" s="10" t="s">
        <v>11</v>
      </c>
      <c r="C11" s="11">
        <v>360</v>
      </c>
      <c r="F11" s="7" t="s">
        <v>12</v>
      </c>
      <c r="G11">
        <v>90</v>
      </c>
    </row>
    <row r="12" spans="1:22" x14ac:dyDescent="0.25">
      <c r="B12" s="10" t="s">
        <v>12</v>
      </c>
      <c r="C12" s="11">
        <v>210</v>
      </c>
      <c r="F12" s="7" t="s">
        <v>13</v>
      </c>
      <c r="G12">
        <v>10</v>
      </c>
    </row>
    <row r="13" spans="1:22" x14ac:dyDescent="0.25">
      <c r="B13" s="12" t="s">
        <v>13</v>
      </c>
      <c r="C13" s="13">
        <v>356</v>
      </c>
    </row>
    <row r="14" spans="1:22" x14ac:dyDescent="0.25">
      <c r="B14" s="10"/>
      <c r="C14" s="14"/>
    </row>
    <row r="15" spans="1:22" x14ac:dyDescent="0.25">
      <c r="B15" s="15" t="s">
        <v>14</v>
      </c>
      <c r="C15" s="11"/>
      <c r="L15" s="16" t="s">
        <v>15</v>
      </c>
    </row>
    <row r="16" spans="1:22" x14ac:dyDescent="0.25">
      <c r="B16" s="9"/>
      <c r="C16" s="230" t="s">
        <v>16</v>
      </c>
      <c r="D16" s="230"/>
      <c r="E16" s="231" t="s">
        <v>17</v>
      </c>
      <c r="F16" s="231"/>
      <c r="G16" s="231"/>
      <c r="L16" s="9"/>
      <c r="M16" s="230" t="s">
        <v>16</v>
      </c>
      <c r="N16" s="230"/>
    </row>
    <row r="17" spans="1:35" x14ac:dyDescent="0.25">
      <c r="B17" s="17" t="s">
        <v>18</v>
      </c>
      <c r="C17" s="18" t="s">
        <v>19</v>
      </c>
      <c r="D17" s="19" t="s">
        <v>20</v>
      </c>
      <c r="E17" s="20" t="s">
        <v>21</v>
      </c>
      <c r="F17" s="21" t="s">
        <v>22</v>
      </c>
      <c r="G17" s="19" t="s">
        <v>23</v>
      </c>
      <c r="I17" s="22" t="s">
        <v>18</v>
      </c>
      <c r="J17" s="19" t="s">
        <v>24</v>
      </c>
      <c r="L17" s="23" t="s">
        <v>18</v>
      </c>
      <c r="M17" s="24" t="s">
        <v>19</v>
      </c>
      <c r="O17" s="178" t="s">
        <v>85</v>
      </c>
      <c r="P17" s="178" t="s">
        <v>86</v>
      </c>
      <c r="Q17" s="25" t="s">
        <v>20</v>
      </c>
      <c r="T17" s="1"/>
      <c r="U17" s="1"/>
      <c r="V17" s="1"/>
      <c r="W17" t="s">
        <v>84</v>
      </c>
      <c r="AH17" s="10" t="s">
        <v>25</v>
      </c>
      <c r="AI17" s="26">
        <v>2</v>
      </c>
    </row>
    <row r="18" spans="1:35" x14ac:dyDescent="0.25">
      <c r="B18" s="10" t="s">
        <v>25</v>
      </c>
      <c r="C18" s="27">
        <v>2000</v>
      </c>
      <c r="D18" s="197">
        <v>2</v>
      </c>
      <c r="E18" s="28">
        <v>1</v>
      </c>
      <c r="F18" s="28">
        <v>5</v>
      </c>
      <c r="G18" s="26">
        <v>1</v>
      </c>
      <c r="I18" s="29" t="s">
        <v>25</v>
      </c>
      <c r="J18" s="30">
        <v>1</v>
      </c>
      <c r="L18" s="31" t="s">
        <v>25</v>
      </c>
      <c r="M18">
        <v>10050</v>
      </c>
      <c r="N18" s="171">
        <v>8</v>
      </c>
      <c r="O18">
        <v>10050</v>
      </c>
      <c r="P18">
        <f>+C18+P20+AVERAGE(P19,P25)</f>
        <v>10050</v>
      </c>
      <c r="Q18" s="33">
        <f>D18+3*Q20+AVERAGE(Q19*2,Q25*2)</f>
        <v>8</v>
      </c>
      <c r="R18" s="1">
        <v>1</v>
      </c>
      <c r="S18" s="171">
        <v>8</v>
      </c>
      <c r="T18" s="171">
        <f t="shared" ref="T18:T26" si="0">+S18-N18</f>
        <v>0</v>
      </c>
      <c r="U18" s="173">
        <f>+S18-Q18</f>
        <v>0</v>
      </c>
      <c r="V18" s="1"/>
      <c r="W18">
        <v>4</v>
      </c>
      <c r="AH18" s="10" t="s">
        <v>26</v>
      </c>
      <c r="AI18" s="26">
        <v>0.5</v>
      </c>
    </row>
    <row r="19" spans="1:35" x14ac:dyDescent="0.25">
      <c r="B19" s="10" t="s">
        <v>26</v>
      </c>
      <c r="C19" s="34">
        <v>1800</v>
      </c>
      <c r="D19" s="197">
        <v>0.5</v>
      </c>
      <c r="E19" s="28">
        <v>2</v>
      </c>
      <c r="F19" s="28">
        <v>5</v>
      </c>
      <c r="G19" s="26">
        <v>0</v>
      </c>
      <c r="I19" s="29" t="s">
        <v>26</v>
      </c>
      <c r="J19" s="35">
        <v>2</v>
      </c>
      <c r="L19" s="31" t="s">
        <v>26</v>
      </c>
      <c r="M19">
        <v>10100</v>
      </c>
      <c r="N19" s="170">
        <v>4</v>
      </c>
      <c r="O19">
        <v>10100</v>
      </c>
      <c r="P19">
        <f>+C19+P23+P26</f>
        <v>10100</v>
      </c>
      <c r="Q19" s="33">
        <f>D19+Q23*2+Q26*1</f>
        <v>4</v>
      </c>
      <c r="R19" s="1">
        <v>2</v>
      </c>
      <c r="S19" s="170">
        <v>4</v>
      </c>
      <c r="T19" s="171">
        <f t="shared" si="0"/>
        <v>0</v>
      </c>
      <c r="U19" s="173">
        <f t="shared" ref="U19:U26" si="1">+S19-Q19</f>
        <v>0</v>
      </c>
      <c r="V19" s="1"/>
      <c r="W19">
        <v>1</v>
      </c>
      <c r="AB19" s="1">
        <f>+C22</f>
        <v>7300</v>
      </c>
      <c r="AH19" s="36" t="s">
        <v>27</v>
      </c>
      <c r="AI19" s="26">
        <v>0.5</v>
      </c>
    </row>
    <row r="20" spans="1:35" x14ac:dyDescent="0.25">
      <c r="B20" s="36" t="s">
        <v>27</v>
      </c>
      <c r="C20" s="195">
        <v>1500</v>
      </c>
      <c r="D20" s="198">
        <v>0.5</v>
      </c>
      <c r="E20" s="28">
        <v>1</v>
      </c>
      <c r="F20" s="28">
        <v>5</v>
      </c>
      <c r="G20" s="26">
        <v>0</v>
      </c>
      <c r="I20" s="29" t="s">
        <v>27</v>
      </c>
      <c r="J20" s="35">
        <v>2</v>
      </c>
      <c r="L20" s="37" t="s">
        <v>27</v>
      </c>
      <c r="M20">
        <v>1500</v>
      </c>
      <c r="N20" s="170">
        <v>0.5</v>
      </c>
      <c r="O20">
        <v>1500</v>
      </c>
      <c r="P20">
        <f>+C20</f>
        <v>1500</v>
      </c>
      <c r="Q20" s="194">
        <f>D20</f>
        <v>0.5</v>
      </c>
      <c r="R20" s="1">
        <v>3</v>
      </c>
      <c r="S20" s="170">
        <v>0.5</v>
      </c>
      <c r="T20" s="174">
        <f t="shared" si="0"/>
        <v>0</v>
      </c>
      <c r="U20" s="175">
        <f t="shared" si="1"/>
        <v>0</v>
      </c>
      <c r="V20" s="1"/>
      <c r="W20">
        <v>0.5</v>
      </c>
      <c r="AB20" s="1">
        <v>2400</v>
      </c>
      <c r="AH20" s="36" t="s">
        <v>28</v>
      </c>
      <c r="AI20" s="26">
        <v>0.5</v>
      </c>
    </row>
    <row r="21" spans="1:35" x14ac:dyDescent="0.25">
      <c r="B21" s="36" t="s">
        <v>28</v>
      </c>
      <c r="C21" s="195">
        <v>18000</v>
      </c>
      <c r="D21" s="198">
        <v>0.5</v>
      </c>
      <c r="E21" s="28">
        <v>5</v>
      </c>
      <c r="F21" s="28">
        <v>5</v>
      </c>
      <c r="G21" s="26">
        <v>0</v>
      </c>
      <c r="I21" s="29" t="s">
        <v>28</v>
      </c>
      <c r="J21" s="35">
        <v>1</v>
      </c>
      <c r="L21" s="37" t="s">
        <v>28</v>
      </c>
      <c r="M21">
        <v>18000</v>
      </c>
      <c r="N21" s="172">
        <v>0.5</v>
      </c>
      <c r="O21">
        <v>18000</v>
      </c>
      <c r="P21">
        <f>+C21</f>
        <v>18000</v>
      </c>
      <c r="Q21" s="194">
        <f>D21</f>
        <v>0.5</v>
      </c>
      <c r="R21" s="1">
        <v>1</v>
      </c>
      <c r="S21" s="172">
        <v>0.5</v>
      </c>
      <c r="T21" s="176">
        <f t="shared" si="0"/>
        <v>0</v>
      </c>
      <c r="U21" s="177">
        <f t="shared" si="1"/>
        <v>0</v>
      </c>
      <c r="V21" s="1"/>
      <c r="W21">
        <v>0.5</v>
      </c>
      <c r="Y21">
        <v>1800</v>
      </c>
      <c r="AB21" s="1">
        <v>5800</v>
      </c>
      <c r="AH21" s="10" t="s">
        <v>29</v>
      </c>
      <c r="AI21" s="26">
        <v>2</v>
      </c>
    </row>
    <row r="22" spans="1:35" x14ac:dyDescent="0.25">
      <c r="B22" s="10" t="s">
        <v>29</v>
      </c>
      <c r="C22" s="27">
        <v>7300</v>
      </c>
      <c r="D22" s="197">
        <v>2</v>
      </c>
      <c r="E22" s="28">
        <v>1</v>
      </c>
      <c r="F22" s="28">
        <v>5</v>
      </c>
      <c r="G22" s="26">
        <v>1</v>
      </c>
      <c r="I22" s="29" t="s">
        <v>29</v>
      </c>
      <c r="J22" s="30">
        <v>1</v>
      </c>
      <c r="L22" s="31" t="s">
        <v>29</v>
      </c>
      <c r="M22" s="38">
        <v>19650</v>
      </c>
      <c r="N22" s="170">
        <v>10.25</v>
      </c>
      <c r="O22" s="38">
        <f>+P22-M22</f>
        <v>0</v>
      </c>
      <c r="P22">
        <f>+C22+P23+AVERAGE(P19,P25)</f>
        <v>19650</v>
      </c>
      <c r="Q22" s="33">
        <f>D22+Q23+3*AVERAGE(Q19,Q25)</f>
        <v>10.25</v>
      </c>
      <c r="R22" s="1">
        <v>1</v>
      </c>
      <c r="S22" s="170">
        <v>5</v>
      </c>
      <c r="T22" s="171">
        <f t="shared" si="0"/>
        <v>-5.25</v>
      </c>
      <c r="U22" s="173">
        <f t="shared" si="1"/>
        <v>-5.25</v>
      </c>
      <c r="V22" s="1"/>
      <c r="W22">
        <v>5.75</v>
      </c>
      <c r="Y22">
        <v>4800</v>
      </c>
      <c r="Z22" s="1">
        <f>+Y22-Y21</f>
        <v>3000</v>
      </c>
      <c r="AB22" s="1">
        <f>SUM(AB19:AB21)</f>
        <v>15500</v>
      </c>
      <c r="AH22" s="10" t="s">
        <v>30</v>
      </c>
      <c r="AI22" s="26">
        <v>1</v>
      </c>
    </row>
    <row r="23" spans="1:35" x14ac:dyDescent="0.25">
      <c r="B23" s="10" t="s">
        <v>30</v>
      </c>
      <c r="C23" s="29">
        <v>4000</v>
      </c>
      <c r="D23" s="197">
        <v>1</v>
      </c>
      <c r="E23" s="28">
        <v>2</v>
      </c>
      <c r="F23" s="28">
        <v>5</v>
      </c>
      <c r="G23" s="26">
        <v>1</v>
      </c>
      <c r="I23" s="29" t="s">
        <v>30</v>
      </c>
      <c r="J23" s="40">
        <v>2</v>
      </c>
      <c r="L23" s="31" t="s">
        <v>30</v>
      </c>
      <c r="M23">
        <v>5800</v>
      </c>
      <c r="N23" s="172">
        <v>1.5</v>
      </c>
      <c r="O23">
        <v>5800</v>
      </c>
      <c r="P23">
        <f>+C23+P24</f>
        <v>5800</v>
      </c>
      <c r="Q23" s="33">
        <f>D23+Q24</f>
        <v>1.5</v>
      </c>
      <c r="R23" s="1">
        <f>D34</f>
        <v>2</v>
      </c>
      <c r="S23" s="172">
        <v>1.5</v>
      </c>
      <c r="T23" s="176">
        <f t="shared" si="0"/>
        <v>0</v>
      </c>
      <c r="U23" s="177">
        <f t="shared" si="1"/>
        <v>0</v>
      </c>
      <c r="V23" s="1"/>
      <c r="W23">
        <v>1.5</v>
      </c>
      <c r="Y23">
        <f>+Y22/2</f>
        <v>2400</v>
      </c>
      <c r="AH23" s="36" t="s">
        <v>31</v>
      </c>
      <c r="AI23" s="26">
        <v>0.5</v>
      </c>
    </row>
    <row r="24" spans="1:35" x14ac:dyDescent="0.25">
      <c r="B24" s="36" t="s">
        <v>31</v>
      </c>
      <c r="C24" s="195">
        <v>1800</v>
      </c>
      <c r="D24" s="198">
        <v>0.5</v>
      </c>
      <c r="E24" s="28">
        <v>1</v>
      </c>
      <c r="F24" s="28">
        <v>5</v>
      </c>
      <c r="G24" s="26">
        <v>0</v>
      </c>
      <c r="I24" s="29" t="s">
        <v>31</v>
      </c>
      <c r="J24" s="40">
        <v>3</v>
      </c>
      <c r="L24" s="37" t="s">
        <v>31</v>
      </c>
      <c r="M24">
        <v>1800</v>
      </c>
      <c r="N24" s="172">
        <v>0.5</v>
      </c>
      <c r="O24">
        <v>1800</v>
      </c>
      <c r="P24">
        <f>+C24</f>
        <v>1800</v>
      </c>
      <c r="Q24" s="194">
        <f>D24</f>
        <v>0.5</v>
      </c>
      <c r="R24" s="1">
        <v>1</v>
      </c>
      <c r="S24" s="172">
        <v>0.5</v>
      </c>
      <c r="T24" s="176">
        <f t="shared" si="0"/>
        <v>0</v>
      </c>
      <c r="U24" s="177">
        <f t="shared" si="1"/>
        <v>0</v>
      </c>
      <c r="V24" s="1"/>
      <c r="W24">
        <v>0.5</v>
      </c>
      <c r="Y24">
        <f>+O23</f>
        <v>5800</v>
      </c>
      <c r="AH24" s="36" t="s">
        <v>32</v>
      </c>
      <c r="AI24" s="26">
        <v>0.5</v>
      </c>
    </row>
    <row r="25" spans="1:35" x14ac:dyDescent="0.25">
      <c r="B25" s="36" t="s">
        <v>32</v>
      </c>
      <c r="C25" s="195">
        <v>3000</v>
      </c>
      <c r="D25" s="198">
        <v>0.5</v>
      </c>
      <c r="E25" s="41">
        <v>3</v>
      </c>
      <c r="F25" s="41">
        <v>5</v>
      </c>
      <c r="G25" s="26">
        <v>0</v>
      </c>
      <c r="I25" s="29" t="s">
        <v>32</v>
      </c>
      <c r="J25" s="40">
        <v>2</v>
      </c>
      <c r="L25" s="37" t="s">
        <v>32</v>
      </c>
      <c r="M25">
        <v>3000</v>
      </c>
      <c r="N25" s="172">
        <v>0.5</v>
      </c>
      <c r="O25">
        <v>3000</v>
      </c>
      <c r="P25">
        <f>+C25</f>
        <v>3000</v>
      </c>
      <c r="Q25" s="194">
        <f>+D25</f>
        <v>0.5</v>
      </c>
      <c r="R25" s="1">
        <v>1</v>
      </c>
      <c r="S25" s="172">
        <v>0.5</v>
      </c>
      <c r="T25" s="176">
        <f t="shared" si="0"/>
        <v>0</v>
      </c>
      <c r="U25" s="177">
        <f t="shared" si="1"/>
        <v>0</v>
      </c>
      <c r="V25" s="1"/>
      <c r="W25">
        <v>0.5</v>
      </c>
      <c r="AH25" s="42" t="s">
        <v>33</v>
      </c>
      <c r="AI25" s="43">
        <v>0.5</v>
      </c>
    </row>
    <row r="26" spans="1:35" x14ac:dyDescent="0.25">
      <c r="B26" s="42" t="s">
        <v>33</v>
      </c>
      <c r="C26" s="196">
        <v>2500</v>
      </c>
      <c r="D26" s="199">
        <v>0.5</v>
      </c>
      <c r="E26" s="44">
        <v>1</v>
      </c>
      <c r="F26" s="44">
        <v>5</v>
      </c>
      <c r="G26" s="43">
        <v>0</v>
      </c>
      <c r="I26" s="45" t="s">
        <v>33</v>
      </c>
      <c r="J26" s="46">
        <v>3</v>
      </c>
      <c r="L26" s="47" t="s">
        <v>33</v>
      </c>
      <c r="M26">
        <v>2500</v>
      </c>
      <c r="N26" s="172">
        <v>0.5</v>
      </c>
      <c r="O26">
        <v>2500</v>
      </c>
      <c r="P26">
        <f>+C26</f>
        <v>2500</v>
      </c>
      <c r="Q26" s="194">
        <f>+D26</f>
        <v>0.5</v>
      </c>
      <c r="R26" s="1">
        <f>D36</f>
        <v>1</v>
      </c>
      <c r="S26" s="172">
        <v>0.5</v>
      </c>
      <c r="T26" s="176">
        <f t="shared" si="0"/>
        <v>0</v>
      </c>
      <c r="U26" s="177">
        <f t="shared" si="1"/>
        <v>0</v>
      </c>
      <c r="V26" s="1"/>
      <c r="W26">
        <v>0.5</v>
      </c>
    </row>
    <row r="27" spans="1:35" x14ac:dyDescent="0.25">
      <c r="B27" s="10"/>
      <c r="T27" s="1"/>
      <c r="U27" s="1"/>
      <c r="V27" s="1"/>
    </row>
    <row r="28" spans="1:35" x14ac:dyDescent="0.25">
      <c r="B28" s="10" t="s">
        <v>34</v>
      </c>
    </row>
    <row r="29" spans="1:35" x14ac:dyDescent="0.25">
      <c r="C29" s="48">
        <v>0</v>
      </c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  <c r="J29" s="1">
        <v>7</v>
      </c>
      <c r="K29" s="1">
        <v>8</v>
      </c>
      <c r="M29" s="232" t="s">
        <v>35</v>
      </c>
      <c r="N29" s="49" t="s">
        <v>18</v>
      </c>
      <c r="O29" s="21" t="s">
        <v>21</v>
      </c>
      <c r="P29" s="50" t="s">
        <v>36</v>
      </c>
    </row>
    <row r="30" spans="1:35" x14ac:dyDescent="0.25">
      <c r="B30" s="7" t="s">
        <v>37</v>
      </c>
      <c r="C30" s="7" t="s">
        <v>25</v>
      </c>
      <c r="D30" s="51" t="s">
        <v>26</v>
      </c>
      <c r="E30" s="52" t="s">
        <v>27</v>
      </c>
      <c r="F30" s="52" t="s">
        <v>28</v>
      </c>
      <c r="G30" s="53" t="s">
        <v>29</v>
      </c>
      <c r="H30" s="51" t="s">
        <v>30</v>
      </c>
      <c r="I30" s="52" t="s">
        <v>31</v>
      </c>
      <c r="J30" s="52" t="s">
        <v>32</v>
      </c>
      <c r="K30" s="54" t="s">
        <v>33</v>
      </c>
      <c r="M30" s="232"/>
      <c r="N30" s="10" t="s">
        <v>25</v>
      </c>
      <c r="O30" s="55">
        <v>1</v>
      </c>
      <c r="P30">
        <f>+O30</f>
        <v>1</v>
      </c>
    </row>
    <row r="31" spans="1:35" x14ac:dyDescent="0.25">
      <c r="A31">
        <v>0</v>
      </c>
      <c r="B31" s="7" t="s">
        <v>1</v>
      </c>
      <c r="C31" s="56">
        <v>0</v>
      </c>
      <c r="D31" s="56">
        <v>0</v>
      </c>
      <c r="E31" s="57">
        <v>0</v>
      </c>
      <c r="F31" s="58">
        <v>0</v>
      </c>
      <c r="G31" s="56">
        <v>0</v>
      </c>
      <c r="H31" s="56">
        <v>0</v>
      </c>
      <c r="I31" s="57">
        <v>0</v>
      </c>
      <c r="J31" s="59">
        <v>0</v>
      </c>
      <c r="K31" s="58">
        <v>0</v>
      </c>
      <c r="M31" s="232"/>
      <c r="N31" s="10" t="s">
        <v>26</v>
      </c>
      <c r="O31" s="60">
        <v>2</v>
      </c>
      <c r="P31">
        <f>+O31+P30</f>
        <v>3</v>
      </c>
    </row>
    <row r="32" spans="1:35" x14ac:dyDescent="0.25">
      <c r="A32">
        <v>1</v>
      </c>
      <c r="B32" s="7" t="s">
        <v>3</v>
      </c>
      <c r="C32" s="56">
        <v>2</v>
      </c>
      <c r="D32" s="56">
        <v>0</v>
      </c>
      <c r="E32" s="61">
        <v>0</v>
      </c>
      <c r="F32" s="62">
        <v>0</v>
      </c>
      <c r="G32" s="56">
        <v>3</v>
      </c>
      <c r="H32" s="56">
        <v>0</v>
      </c>
      <c r="I32" s="61">
        <v>0</v>
      </c>
      <c r="J32" s="63">
        <v>0</v>
      </c>
      <c r="K32" s="64">
        <v>0</v>
      </c>
      <c r="M32" s="232"/>
      <c r="N32" s="10" t="s">
        <v>27</v>
      </c>
      <c r="O32" s="60">
        <f>1+O30</f>
        <v>2</v>
      </c>
      <c r="P32">
        <f>+O32+P30</f>
        <v>3</v>
      </c>
    </row>
    <row r="33" spans="1:30" x14ac:dyDescent="0.25">
      <c r="A33">
        <v>2</v>
      </c>
      <c r="B33" s="7" t="s">
        <v>10</v>
      </c>
      <c r="C33" s="56">
        <v>3</v>
      </c>
      <c r="D33" s="56">
        <v>0</v>
      </c>
      <c r="E33" s="61">
        <v>0</v>
      </c>
      <c r="F33" s="62">
        <v>0</v>
      </c>
      <c r="G33" s="56">
        <v>0</v>
      </c>
      <c r="H33" s="56">
        <v>0</v>
      </c>
      <c r="I33" s="61">
        <v>0</v>
      </c>
      <c r="J33" s="63">
        <v>0</v>
      </c>
      <c r="K33" s="64">
        <v>0</v>
      </c>
      <c r="M33" s="232"/>
      <c r="N33" s="10" t="s">
        <v>33</v>
      </c>
      <c r="O33" s="60">
        <v>2</v>
      </c>
      <c r="P33">
        <f>+O33+P31</f>
        <v>5</v>
      </c>
      <c r="V33" s="7" t="s">
        <v>1</v>
      </c>
      <c r="W33" s="7" t="s">
        <v>3</v>
      </c>
      <c r="X33" s="7" t="s">
        <v>10</v>
      </c>
      <c r="Y33" s="7" t="s">
        <v>11</v>
      </c>
      <c r="Z33" s="7" t="s">
        <v>12</v>
      </c>
      <c r="AA33" s="7" t="s">
        <v>13</v>
      </c>
    </row>
    <row r="34" spans="1:30" x14ac:dyDescent="0.25">
      <c r="A34">
        <v>3</v>
      </c>
      <c r="B34" s="7" t="s">
        <v>11</v>
      </c>
      <c r="C34" s="56">
        <v>0</v>
      </c>
      <c r="D34" s="56">
        <v>2</v>
      </c>
      <c r="E34" s="61">
        <v>0</v>
      </c>
      <c r="F34" s="64">
        <v>0</v>
      </c>
      <c r="G34" s="56">
        <v>1</v>
      </c>
      <c r="H34" s="56">
        <v>0</v>
      </c>
      <c r="I34" s="61">
        <v>0</v>
      </c>
      <c r="J34" s="63">
        <v>0</v>
      </c>
      <c r="K34" s="62">
        <v>0</v>
      </c>
      <c r="M34" s="228" t="s">
        <v>38</v>
      </c>
      <c r="N34" s="49" t="s">
        <v>18</v>
      </c>
      <c r="O34" s="21" t="s">
        <v>21</v>
      </c>
      <c r="P34" s="50" t="s">
        <v>36</v>
      </c>
      <c r="U34" s="7" t="s">
        <v>1</v>
      </c>
      <c r="V34" s="1"/>
      <c r="W34" s="1"/>
      <c r="X34" s="1"/>
      <c r="Z34"/>
      <c r="AA34"/>
      <c r="AB34"/>
      <c r="AC34"/>
      <c r="AD34"/>
    </row>
    <row r="35" spans="1:30" x14ac:dyDescent="0.25">
      <c r="A35">
        <v>4</v>
      </c>
      <c r="B35" s="7" t="s">
        <v>12</v>
      </c>
      <c r="C35" s="56">
        <v>0</v>
      </c>
      <c r="D35" s="56">
        <v>0</v>
      </c>
      <c r="E35" s="61">
        <v>0</v>
      </c>
      <c r="F35" s="64">
        <v>0</v>
      </c>
      <c r="G35" s="56">
        <v>0</v>
      </c>
      <c r="H35" s="56">
        <v>1</v>
      </c>
      <c r="I35" s="61">
        <v>0</v>
      </c>
      <c r="J35" s="65">
        <v>0</v>
      </c>
      <c r="K35" s="64">
        <v>0</v>
      </c>
      <c r="M35" s="228"/>
      <c r="N35" s="10" t="s">
        <v>25</v>
      </c>
      <c r="O35" s="55">
        <v>1</v>
      </c>
      <c r="P35">
        <f>+O35</f>
        <v>1</v>
      </c>
      <c r="U35" s="7" t="s">
        <v>3</v>
      </c>
      <c r="V35" s="1"/>
      <c r="W35" s="1"/>
      <c r="X35" s="1"/>
      <c r="Z35"/>
      <c r="AA35"/>
      <c r="AB35"/>
      <c r="AC35"/>
      <c r="AD35"/>
    </row>
    <row r="36" spans="1:30" x14ac:dyDescent="0.25">
      <c r="A36">
        <v>5</v>
      </c>
      <c r="B36" s="7" t="s">
        <v>13</v>
      </c>
      <c r="C36" s="56">
        <v>0</v>
      </c>
      <c r="D36" s="56">
        <v>1</v>
      </c>
      <c r="E36" s="66">
        <v>0</v>
      </c>
      <c r="F36" s="64">
        <v>0</v>
      </c>
      <c r="G36" s="56">
        <v>0</v>
      </c>
      <c r="H36" s="56">
        <v>0</v>
      </c>
      <c r="I36" s="61">
        <v>0</v>
      </c>
      <c r="J36" s="63">
        <v>0</v>
      </c>
      <c r="K36" s="64">
        <v>0</v>
      </c>
      <c r="M36" s="228"/>
      <c r="N36" s="10" t="s">
        <v>32</v>
      </c>
      <c r="O36" s="60">
        <v>2</v>
      </c>
      <c r="P36">
        <f>+O36+P35</f>
        <v>3</v>
      </c>
      <c r="U36" s="7" t="s">
        <v>10</v>
      </c>
      <c r="V36" s="1"/>
      <c r="W36" s="1"/>
      <c r="X36" s="1"/>
      <c r="Z36"/>
      <c r="AA36"/>
      <c r="AB36"/>
      <c r="AC36"/>
      <c r="AD36"/>
    </row>
    <row r="37" spans="1:30" x14ac:dyDescent="0.25">
      <c r="M37" s="228"/>
      <c r="N37" s="10" t="s">
        <v>27</v>
      </c>
      <c r="O37" s="60">
        <f>1+O35</f>
        <v>2</v>
      </c>
      <c r="P37">
        <f>+O37+P35</f>
        <v>3</v>
      </c>
      <c r="U37" s="7" t="s">
        <v>11</v>
      </c>
      <c r="V37" s="1"/>
      <c r="W37" s="1"/>
      <c r="X37" s="1"/>
      <c r="Z37"/>
      <c r="AA37"/>
      <c r="AB37"/>
      <c r="AC37"/>
      <c r="AD37"/>
    </row>
    <row r="38" spans="1:30" x14ac:dyDescent="0.25">
      <c r="B38" s="67" t="s">
        <v>39</v>
      </c>
      <c r="M38" s="228">
        <v>2</v>
      </c>
      <c r="N38" s="49" t="s">
        <v>18</v>
      </c>
      <c r="O38" s="21" t="s">
        <v>21</v>
      </c>
      <c r="P38" s="50" t="s">
        <v>36</v>
      </c>
      <c r="U38" s="7" t="s">
        <v>12</v>
      </c>
      <c r="V38" s="1"/>
      <c r="W38" s="1"/>
      <c r="X38" s="1"/>
      <c r="Z38"/>
      <c r="AA38"/>
      <c r="AB38"/>
      <c r="AC38"/>
      <c r="AD38"/>
    </row>
    <row r="39" spans="1:30" x14ac:dyDescent="0.25">
      <c r="B39" s="7" t="s">
        <v>40</v>
      </c>
      <c r="C39" s="7" t="s">
        <v>25</v>
      </c>
      <c r="D39" s="7" t="s">
        <v>26</v>
      </c>
      <c r="E39" s="7" t="s">
        <v>27</v>
      </c>
      <c r="F39" s="7" t="s">
        <v>28</v>
      </c>
      <c r="G39" s="7" t="s">
        <v>29</v>
      </c>
      <c r="H39" s="7" t="s">
        <v>30</v>
      </c>
      <c r="I39" s="7" t="s">
        <v>31</v>
      </c>
      <c r="J39" s="7" t="s">
        <v>32</v>
      </c>
      <c r="K39" s="7" t="s">
        <v>33</v>
      </c>
      <c r="M39" s="228"/>
      <c r="N39" s="10" t="s">
        <v>28</v>
      </c>
      <c r="O39" s="60">
        <v>5</v>
      </c>
      <c r="U39" s="7" t="s">
        <v>13</v>
      </c>
      <c r="V39" s="1"/>
      <c r="W39" s="1"/>
      <c r="X39" s="1"/>
      <c r="Z39"/>
      <c r="AA39"/>
      <c r="AB39"/>
      <c r="AC39"/>
      <c r="AD39"/>
    </row>
    <row r="40" spans="1:30" x14ac:dyDescent="0.25">
      <c r="A40">
        <v>200</v>
      </c>
      <c r="B40" s="7" t="s">
        <v>1</v>
      </c>
      <c r="C40" s="56">
        <v>1</v>
      </c>
      <c r="D40" s="56">
        <v>0</v>
      </c>
      <c r="E40" s="56">
        <v>0</v>
      </c>
      <c r="F40" s="56">
        <v>1</v>
      </c>
      <c r="G40" s="56">
        <v>1</v>
      </c>
      <c r="H40" s="56">
        <v>0</v>
      </c>
      <c r="I40" s="56">
        <v>0</v>
      </c>
      <c r="J40" s="56">
        <v>0</v>
      </c>
      <c r="K40" s="56">
        <v>0</v>
      </c>
      <c r="M40" s="228" t="s">
        <v>41</v>
      </c>
      <c r="N40" s="49" t="s">
        <v>18</v>
      </c>
      <c r="O40" s="21" t="s">
        <v>21</v>
      </c>
      <c r="P40" s="50" t="s">
        <v>36</v>
      </c>
    </row>
    <row r="41" spans="1:30" x14ac:dyDescent="0.25">
      <c r="A41">
        <v>150</v>
      </c>
      <c r="B41" s="7" t="s">
        <v>3</v>
      </c>
      <c r="C41" s="56">
        <v>0</v>
      </c>
      <c r="D41" s="56">
        <v>1</v>
      </c>
      <c r="E41" s="56">
        <v>0</v>
      </c>
      <c r="F41" s="56">
        <v>0</v>
      </c>
      <c r="G41" s="56">
        <v>0</v>
      </c>
      <c r="H41" s="56">
        <v>0</v>
      </c>
      <c r="I41" s="56">
        <v>0</v>
      </c>
      <c r="J41" s="56">
        <v>1</v>
      </c>
      <c r="K41" s="56">
        <v>0</v>
      </c>
      <c r="M41" s="228"/>
      <c r="N41" s="10" t="s">
        <v>29</v>
      </c>
      <c r="O41" s="55">
        <v>1</v>
      </c>
      <c r="P41">
        <f>+O41</f>
        <v>1</v>
      </c>
    </row>
    <row r="42" spans="1:30" x14ac:dyDescent="0.25">
      <c r="A42">
        <v>30</v>
      </c>
      <c r="B42" s="7" t="s">
        <v>10</v>
      </c>
      <c r="C42" s="56">
        <v>0</v>
      </c>
      <c r="D42" s="56">
        <v>0</v>
      </c>
      <c r="E42" s="56">
        <v>1</v>
      </c>
      <c r="F42" s="56">
        <v>0</v>
      </c>
      <c r="G42" s="56">
        <v>0</v>
      </c>
      <c r="H42" s="56">
        <v>0</v>
      </c>
      <c r="I42" s="56">
        <v>0</v>
      </c>
      <c r="J42" s="56">
        <v>0</v>
      </c>
      <c r="K42" s="56">
        <v>0</v>
      </c>
      <c r="M42" s="228"/>
      <c r="N42" s="10" t="s">
        <v>26</v>
      </c>
      <c r="O42" s="60">
        <v>3</v>
      </c>
      <c r="P42">
        <f>+O42+P41</f>
        <v>4</v>
      </c>
    </row>
    <row r="43" spans="1:30" x14ac:dyDescent="0.25">
      <c r="A43">
        <v>20</v>
      </c>
      <c r="B43" s="7" t="s">
        <v>11</v>
      </c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1</v>
      </c>
      <c r="I43" s="56">
        <v>0</v>
      </c>
      <c r="J43" s="56">
        <v>0</v>
      </c>
      <c r="K43" s="56">
        <v>0</v>
      </c>
      <c r="M43" s="228"/>
      <c r="N43" s="10" t="s">
        <v>30</v>
      </c>
      <c r="O43" s="60">
        <v>1</v>
      </c>
      <c r="P43">
        <f>+O43+P41</f>
        <v>2</v>
      </c>
    </row>
    <row r="44" spans="1:30" x14ac:dyDescent="0.25">
      <c r="A44">
        <v>90</v>
      </c>
      <c r="B44" s="7" t="s">
        <v>12</v>
      </c>
      <c r="C44" s="56">
        <v>0</v>
      </c>
      <c r="D44" s="56">
        <v>0</v>
      </c>
      <c r="E44" s="56">
        <v>0</v>
      </c>
      <c r="F44" s="56">
        <v>0</v>
      </c>
      <c r="G44" s="56">
        <v>0</v>
      </c>
      <c r="H44" s="56">
        <v>0</v>
      </c>
      <c r="I44" s="56">
        <v>1</v>
      </c>
      <c r="J44" s="56">
        <v>0</v>
      </c>
      <c r="K44" s="56">
        <v>0</v>
      </c>
      <c r="M44" s="228"/>
      <c r="N44" s="10" t="s">
        <v>33</v>
      </c>
      <c r="O44" s="68">
        <v>1</v>
      </c>
      <c r="P44">
        <f>+O44+P42</f>
        <v>5</v>
      </c>
      <c r="R44">
        <f>3895.66/3.6</f>
        <v>1082.1277777777777</v>
      </c>
    </row>
    <row r="45" spans="1:30" x14ac:dyDescent="0.25">
      <c r="A45">
        <v>10</v>
      </c>
      <c r="B45" s="7" t="s">
        <v>13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1</v>
      </c>
      <c r="M45" s="228"/>
      <c r="N45" s="12" t="s">
        <v>31</v>
      </c>
      <c r="O45" s="69">
        <v>1</v>
      </c>
      <c r="P45">
        <f>+O45+P43</f>
        <v>3</v>
      </c>
    </row>
    <row r="46" spans="1:30" x14ac:dyDescent="0.25">
      <c r="M46" s="228" t="s">
        <v>42</v>
      </c>
      <c r="N46" s="70" t="s">
        <v>18</v>
      </c>
      <c r="O46" s="71" t="s">
        <v>21</v>
      </c>
      <c r="P46" s="50" t="s">
        <v>36</v>
      </c>
    </row>
    <row r="47" spans="1:30" x14ac:dyDescent="0.25">
      <c r="B47" s="67" t="s">
        <v>43</v>
      </c>
      <c r="M47" s="228"/>
      <c r="N47" s="10" t="s">
        <v>29</v>
      </c>
      <c r="O47" s="55">
        <v>1</v>
      </c>
      <c r="P47">
        <f>+O47</f>
        <v>1</v>
      </c>
      <c r="U47" t="s">
        <v>123</v>
      </c>
    </row>
    <row r="48" spans="1:30" x14ac:dyDescent="0.25">
      <c r="B48" s="7" t="s">
        <v>1</v>
      </c>
      <c r="C48" s="72" t="s">
        <v>25</v>
      </c>
      <c r="D48" s="7" t="s">
        <v>26</v>
      </c>
      <c r="E48" s="52" t="s">
        <v>27</v>
      </c>
      <c r="F48" s="73" t="s">
        <v>28</v>
      </c>
      <c r="G48" s="72" t="s">
        <v>29</v>
      </c>
      <c r="H48" s="7" t="s">
        <v>30</v>
      </c>
      <c r="I48" s="52" t="s">
        <v>31</v>
      </c>
      <c r="J48" s="52" t="s">
        <v>32</v>
      </c>
      <c r="K48" s="52" t="s">
        <v>33</v>
      </c>
      <c r="M48" s="228"/>
      <c r="N48" s="10" t="s">
        <v>32</v>
      </c>
      <c r="O48" s="60">
        <v>3</v>
      </c>
      <c r="P48">
        <f>+O48+P47</f>
        <v>4</v>
      </c>
      <c r="T48" t="s">
        <v>124</v>
      </c>
      <c r="U48" s="217">
        <v>228000000</v>
      </c>
    </row>
    <row r="49" spans="2:24" ht="15.75" x14ac:dyDescent="0.3">
      <c r="B49" s="7" t="s">
        <v>25</v>
      </c>
      <c r="C49" s="56"/>
      <c r="D49" s="56"/>
      <c r="E49" s="57"/>
      <c r="F49" s="57"/>
      <c r="G49" s="56"/>
      <c r="H49" s="56"/>
      <c r="I49" s="57"/>
      <c r="J49" s="57"/>
      <c r="K49" s="57"/>
      <c r="M49" s="228"/>
      <c r="N49" s="10" t="s">
        <v>30</v>
      </c>
      <c r="O49" s="60">
        <v>1</v>
      </c>
      <c r="P49">
        <f>+O49+P47</f>
        <v>2</v>
      </c>
      <c r="T49" t="s">
        <v>125</v>
      </c>
      <c r="U49" s="218">
        <v>17745495</v>
      </c>
    </row>
    <row r="50" spans="2:24" ht="15.75" x14ac:dyDescent="0.3">
      <c r="B50" s="7" t="s">
        <v>26</v>
      </c>
      <c r="C50" s="74">
        <f>C32*C40</f>
        <v>2</v>
      </c>
      <c r="D50" s="56"/>
      <c r="E50" s="61"/>
      <c r="F50" s="61"/>
      <c r="G50" s="74">
        <f>G32*G40</f>
        <v>3</v>
      </c>
      <c r="H50" s="56"/>
      <c r="I50" s="61"/>
      <c r="J50" s="61"/>
      <c r="K50" s="61"/>
      <c r="M50" s="228"/>
      <c r="N50" s="12" t="s">
        <v>31</v>
      </c>
      <c r="O50" s="69">
        <v>1</v>
      </c>
      <c r="P50" s="44">
        <f>O50+P49</f>
        <v>3</v>
      </c>
      <c r="T50" t="s">
        <v>115</v>
      </c>
      <c r="U50" s="218">
        <v>18618336</v>
      </c>
    </row>
    <row r="51" spans="2:24" ht="15.75" x14ac:dyDescent="0.3">
      <c r="B51" s="7" t="s">
        <v>27</v>
      </c>
      <c r="C51" s="75">
        <f>C33*C40</f>
        <v>3</v>
      </c>
      <c r="D51" s="56"/>
      <c r="E51" s="61"/>
      <c r="F51" s="61"/>
      <c r="G51" s="56"/>
      <c r="H51" s="56"/>
      <c r="I51" s="61"/>
      <c r="J51" s="61"/>
      <c r="K51" s="61"/>
      <c r="T51" t="s">
        <v>126</v>
      </c>
      <c r="U51" s="218">
        <v>20926811</v>
      </c>
    </row>
    <row r="52" spans="2:24" ht="15.75" x14ac:dyDescent="0.3">
      <c r="B52" s="7" t="s">
        <v>28</v>
      </c>
      <c r="C52" s="56"/>
      <c r="D52" s="56"/>
      <c r="E52" s="61"/>
      <c r="F52" s="61"/>
      <c r="G52" s="56"/>
      <c r="H52" s="56"/>
      <c r="I52" s="61"/>
      <c r="J52" s="61"/>
      <c r="K52" s="61"/>
      <c r="T52" t="s">
        <v>127</v>
      </c>
      <c r="U52" s="218">
        <v>17535944</v>
      </c>
    </row>
    <row r="53" spans="2:24" x14ac:dyDescent="0.25">
      <c r="B53" s="7" t="s">
        <v>29</v>
      </c>
      <c r="C53" s="56"/>
      <c r="D53" s="56"/>
      <c r="E53" s="61"/>
      <c r="F53" s="61"/>
      <c r="G53" s="56"/>
      <c r="H53" s="56"/>
      <c r="I53" s="61"/>
      <c r="J53" s="61"/>
      <c r="K53" s="61"/>
      <c r="N53" s="76"/>
      <c r="O53" t="s">
        <v>44</v>
      </c>
    </row>
    <row r="54" spans="2:24" x14ac:dyDescent="0.25">
      <c r="B54" s="7" t="s">
        <v>30</v>
      </c>
      <c r="C54" s="56"/>
      <c r="D54" s="56"/>
      <c r="E54" s="66"/>
      <c r="F54" s="66"/>
      <c r="G54" s="75">
        <f>G34*H43</f>
        <v>1</v>
      </c>
      <c r="H54" s="56"/>
      <c r="I54" s="66"/>
      <c r="J54" s="66"/>
      <c r="K54" s="66"/>
      <c r="N54" s="77"/>
      <c r="O54" t="s">
        <v>45</v>
      </c>
    </row>
    <row r="55" spans="2:24" x14ac:dyDescent="0.25">
      <c r="B55" s="7" t="s">
        <v>31</v>
      </c>
      <c r="C55" s="56"/>
      <c r="D55" s="56"/>
      <c r="E55" s="61"/>
      <c r="F55" s="61"/>
      <c r="G55" s="56"/>
      <c r="H55" s="75">
        <f>H35*H43</f>
        <v>1</v>
      </c>
      <c r="I55" s="61"/>
      <c r="J55" s="61"/>
      <c r="K55" s="61"/>
      <c r="N55" s="9"/>
      <c r="O55" s="9"/>
    </row>
    <row r="56" spans="2:24" x14ac:dyDescent="0.25">
      <c r="B56" s="7" t="s">
        <v>32</v>
      </c>
      <c r="C56" s="78">
        <f>C32*C40</f>
        <v>2</v>
      </c>
      <c r="D56" s="56"/>
      <c r="E56" s="61"/>
      <c r="F56" s="61"/>
      <c r="G56" s="74">
        <f>G32*J41</f>
        <v>3</v>
      </c>
      <c r="H56" s="56"/>
      <c r="I56" s="61"/>
      <c r="J56" s="61"/>
      <c r="K56" s="61"/>
      <c r="N56" t="s">
        <v>46</v>
      </c>
    </row>
    <row r="57" spans="2:24" x14ac:dyDescent="0.25">
      <c r="B57" s="7" t="s">
        <v>33</v>
      </c>
      <c r="C57" s="79"/>
      <c r="D57" s="75">
        <f>D36*D41</f>
        <v>1</v>
      </c>
      <c r="E57" s="61"/>
      <c r="F57" s="61"/>
      <c r="G57" s="56"/>
      <c r="H57" s="56"/>
      <c r="I57" s="61"/>
      <c r="J57" s="61"/>
      <c r="K57" s="61"/>
    </row>
    <row r="58" spans="2:24" x14ac:dyDescent="0.25">
      <c r="N58" s="80"/>
      <c r="O58" t="s">
        <v>47</v>
      </c>
    </row>
    <row r="60" spans="2:24" x14ac:dyDescent="0.25">
      <c r="N60" t="s">
        <v>48</v>
      </c>
    </row>
    <row r="62" spans="2:24" x14ac:dyDescent="0.25">
      <c r="O62" s="1" t="s">
        <v>49</v>
      </c>
      <c r="P62">
        <v>0</v>
      </c>
      <c r="Q62">
        <v>1</v>
      </c>
      <c r="R62">
        <v>2</v>
      </c>
      <c r="S62">
        <v>3</v>
      </c>
      <c r="T62">
        <v>4</v>
      </c>
      <c r="U62">
        <v>5</v>
      </c>
      <c r="V62">
        <v>6</v>
      </c>
      <c r="W62">
        <v>7</v>
      </c>
      <c r="X62">
        <v>8</v>
      </c>
    </row>
    <row r="63" spans="2:24" x14ac:dyDescent="0.25">
      <c r="C63" s="9"/>
      <c r="D63" s="9"/>
      <c r="E63" s="9"/>
      <c r="F63" s="9"/>
      <c r="G63" s="9"/>
      <c r="H63" s="9"/>
      <c r="I63" s="9"/>
      <c r="J63" s="9"/>
      <c r="K63" s="9"/>
      <c r="N63" s="1" t="s">
        <v>50</v>
      </c>
      <c r="P63" s="72" t="s">
        <v>25</v>
      </c>
      <c r="Q63" s="7" t="s">
        <v>26</v>
      </c>
      <c r="R63" s="52" t="s">
        <v>27</v>
      </c>
      <c r="S63" s="73" t="s">
        <v>28</v>
      </c>
      <c r="T63" s="72" t="s">
        <v>29</v>
      </c>
      <c r="U63" s="7" t="s">
        <v>30</v>
      </c>
      <c r="V63" s="52" t="s">
        <v>31</v>
      </c>
      <c r="W63" s="52" t="s">
        <v>32</v>
      </c>
      <c r="X63" s="52" t="s">
        <v>33</v>
      </c>
    </row>
    <row r="64" spans="2:24" x14ac:dyDescent="0.25">
      <c r="C64" s="79"/>
      <c r="D64" s="1" t="s">
        <v>40</v>
      </c>
      <c r="E64" s="1" t="s">
        <v>1</v>
      </c>
      <c r="F64" s="1" t="s">
        <v>3</v>
      </c>
      <c r="G64" s="1" t="s">
        <v>10</v>
      </c>
      <c r="H64" s="1" t="s">
        <v>11</v>
      </c>
      <c r="I64" s="1" t="s">
        <v>12</v>
      </c>
      <c r="J64" s="1" t="s">
        <v>13</v>
      </c>
      <c r="N64">
        <v>0</v>
      </c>
      <c r="O64" s="72" t="s">
        <v>25</v>
      </c>
      <c r="P64" s="1">
        <f t="array" ref="P64:X72">MMULT(E65:J73,C31:K36)</f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3:29" x14ac:dyDescent="0.25">
      <c r="D65" s="1" t="s">
        <v>25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N65">
        <v>1</v>
      </c>
      <c r="O65" s="7" t="s">
        <v>26</v>
      </c>
      <c r="P65" s="1">
        <v>2</v>
      </c>
      <c r="Q65" s="1">
        <v>0</v>
      </c>
      <c r="R65" s="1">
        <v>0</v>
      </c>
      <c r="S65" s="1">
        <v>0</v>
      </c>
      <c r="T65" s="1">
        <v>3</v>
      </c>
      <c r="U65" s="1">
        <v>0</v>
      </c>
      <c r="V65" s="1">
        <v>0</v>
      </c>
      <c r="W65" s="1">
        <v>0</v>
      </c>
      <c r="X65" s="1">
        <v>0</v>
      </c>
    </row>
    <row r="66" spans="3:29" x14ac:dyDescent="0.25">
      <c r="D66" s="1" t="s">
        <v>26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N66">
        <v>2</v>
      </c>
      <c r="O66" s="52" t="s">
        <v>27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3:29" x14ac:dyDescent="0.25">
      <c r="D67" s="1" t="s">
        <v>27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N67">
        <v>3</v>
      </c>
      <c r="O67" s="73" t="s">
        <v>28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3:29" x14ac:dyDescent="0.25">
      <c r="D68" s="1" t="s">
        <v>28</v>
      </c>
      <c r="E68" s="1">
        <v>1</v>
      </c>
      <c r="F68" s="1">
        <v>0</v>
      </c>
      <c r="G68" s="55">
        <v>0</v>
      </c>
      <c r="H68" s="1">
        <v>0</v>
      </c>
      <c r="I68" s="1">
        <v>0</v>
      </c>
      <c r="J68" s="1">
        <v>0</v>
      </c>
      <c r="N68">
        <v>4</v>
      </c>
      <c r="O68" s="72" t="s">
        <v>29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AB68" s="1">
        <f t="shared" ref="AB68:AB76" si="2">MMULT(P76:X76,$C$18:$C$26)</f>
        <v>0</v>
      </c>
      <c r="AC68" s="1">
        <f t="shared" ref="AC68:AC76" si="3">IF(AA76=0,0,AB68/AA76)</f>
        <v>0</v>
      </c>
    </row>
    <row r="69" spans="3:29" x14ac:dyDescent="0.25">
      <c r="D69" s="1" t="s">
        <v>29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N69">
        <v>5</v>
      </c>
      <c r="O69" s="7" t="s">
        <v>30</v>
      </c>
      <c r="P69" s="1">
        <v>0</v>
      </c>
      <c r="Q69" s="1">
        <v>2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AB69" s="1">
        <f t="shared" si="2"/>
        <v>25900</v>
      </c>
      <c r="AC69" s="1">
        <f t="shared" si="3"/>
        <v>12950</v>
      </c>
    </row>
    <row r="70" spans="3:29" x14ac:dyDescent="0.25">
      <c r="D70" s="1" t="s">
        <v>30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N70">
        <v>6</v>
      </c>
      <c r="O70" s="52" t="s">
        <v>31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AB70" s="1">
        <f t="shared" si="2"/>
        <v>6000</v>
      </c>
      <c r="AC70" s="1">
        <f t="shared" si="3"/>
        <v>6000</v>
      </c>
    </row>
    <row r="71" spans="3:29" x14ac:dyDescent="0.25">
      <c r="D71" s="1" t="s">
        <v>31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N71">
        <v>7</v>
      </c>
      <c r="O71" s="52" t="s">
        <v>32</v>
      </c>
      <c r="P71" s="1">
        <v>2</v>
      </c>
      <c r="Q71" s="1">
        <v>0</v>
      </c>
      <c r="R71" s="1">
        <v>0</v>
      </c>
      <c r="S71" s="1">
        <v>0</v>
      </c>
      <c r="T71" s="1">
        <v>3</v>
      </c>
      <c r="U71" s="1">
        <v>0</v>
      </c>
      <c r="V71" s="1">
        <v>0</v>
      </c>
      <c r="W71" s="1">
        <v>0</v>
      </c>
      <c r="X71" s="1">
        <v>0</v>
      </c>
      <c r="AB71" s="1">
        <f t="shared" si="2"/>
        <v>0</v>
      </c>
      <c r="AC71" s="1">
        <f t="shared" si="3"/>
        <v>0</v>
      </c>
    </row>
    <row r="72" spans="3:29" x14ac:dyDescent="0.25">
      <c r="D72" s="1" t="s">
        <v>32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N72">
        <v>8</v>
      </c>
      <c r="O72" s="52" t="s">
        <v>33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AB72" s="1">
        <f t="shared" si="2"/>
        <v>0</v>
      </c>
      <c r="AC72" s="1">
        <f t="shared" si="3"/>
        <v>0</v>
      </c>
    </row>
    <row r="73" spans="3:29" x14ac:dyDescent="0.25">
      <c r="D73" s="1" t="s">
        <v>33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Z73" s="1" t="s">
        <v>51</v>
      </c>
      <c r="AB73" s="1">
        <f t="shared" si="2"/>
        <v>10900</v>
      </c>
      <c r="AC73" s="1">
        <f t="shared" si="3"/>
        <v>5450</v>
      </c>
    </row>
    <row r="74" spans="3:29" x14ac:dyDescent="0.25">
      <c r="AB74" s="1">
        <f t="shared" si="2"/>
        <v>4000</v>
      </c>
      <c r="AC74" s="1">
        <f t="shared" si="3"/>
        <v>4000</v>
      </c>
    </row>
    <row r="75" spans="3:29" x14ac:dyDescent="0.25">
      <c r="J75" s="1"/>
      <c r="K75" s="1"/>
      <c r="L75" s="1"/>
      <c r="P75" s="72" t="s">
        <v>25</v>
      </c>
      <c r="Q75" s="7" t="s">
        <v>26</v>
      </c>
      <c r="R75" s="81" t="s">
        <v>27</v>
      </c>
      <c r="S75" s="81" t="s">
        <v>28</v>
      </c>
      <c r="T75" s="7" t="s">
        <v>29</v>
      </c>
      <c r="U75" s="7" t="s">
        <v>30</v>
      </c>
      <c r="V75" s="81" t="s">
        <v>31</v>
      </c>
      <c r="W75" s="81" t="s">
        <v>32</v>
      </c>
      <c r="X75" s="81" t="s">
        <v>33</v>
      </c>
      <c r="AB75" s="1">
        <f t="shared" si="2"/>
        <v>25900</v>
      </c>
      <c r="AC75" s="1">
        <f t="shared" si="3"/>
        <v>12950</v>
      </c>
    </row>
    <row r="76" spans="3:29" x14ac:dyDescent="0.25">
      <c r="J76" s="1"/>
      <c r="K76" s="1"/>
      <c r="L76" s="1"/>
      <c r="O76" s="72" t="s">
        <v>25</v>
      </c>
      <c r="P76">
        <f t="shared" ref="P76:P84" si="4">MMULT($E65:$J65,D$78:D$83)</f>
        <v>0</v>
      </c>
      <c r="Q76">
        <f t="shared" ref="Q76:Q84" si="5">MMULT($E65:$J65,E$78:E$83)</f>
        <v>0</v>
      </c>
      <c r="R76" s="82">
        <f t="shared" ref="R76:R84" si="6">MMULT($E65:$J65,F$78:F$83)</f>
        <v>0</v>
      </c>
      <c r="S76" s="82">
        <f t="shared" ref="S76:S84" si="7">MMULT($E65:$J65,G$78:G$83)</f>
        <v>0</v>
      </c>
      <c r="T76" s="9">
        <f t="shared" ref="T76:T84" si="8">MMULT($E65:$J65,H$78:H$83)</f>
        <v>0</v>
      </c>
      <c r="U76">
        <f t="shared" ref="U76:U84" si="9">MMULT($E65:$J65,I$78:I$83)</f>
        <v>0</v>
      </c>
      <c r="V76" s="82">
        <f t="shared" ref="V76:V84" si="10">MMULT($E65:$J65,J$78:J$83)</f>
        <v>0</v>
      </c>
      <c r="W76" s="82">
        <f t="shared" ref="W76:W84" si="11">MMULT($E65:$J65,K$78:K$83)</f>
        <v>0</v>
      </c>
      <c r="X76" s="82">
        <f t="shared" ref="X76:X84" si="12">MMULT($E65:$J65,L$78:L$83)</f>
        <v>0</v>
      </c>
      <c r="Z76" s="1">
        <f t="shared" ref="Z76:Z84" si="13">C18</f>
        <v>2000</v>
      </c>
      <c r="AA76" s="1">
        <f t="array" ref="AA76">SUM(IF(P76:X76&gt;0,1))</f>
        <v>0</v>
      </c>
      <c r="AB76" s="1">
        <f t="shared" si="2"/>
        <v>1800</v>
      </c>
      <c r="AC76" s="1">
        <f t="shared" si="3"/>
        <v>1800</v>
      </c>
    </row>
    <row r="77" spans="3:29" x14ac:dyDescent="0.25">
      <c r="C77" s="1" t="s">
        <v>37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29</v>
      </c>
      <c r="I77" s="1" t="s">
        <v>30</v>
      </c>
      <c r="J77" s="1" t="s">
        <v>31</v>
      </c>
      <c r="K77" s="1" t="s">
        <v>32</v>
      </c>
      <c r="L77" s="1" t="s">
        <v>33</v>
      </c>
      <c r="O77" s="83" t="s">
        <v>26</v>
      </c>
      <c r="P77" s="84">
        <f t="shared" si="4"/>
        <v>2</v>
      </c>
      <c r="Q77">
        <f t="shared" si="5"/>
        <v>0</v>
      </c>
      <c r="R77" s="82">
        <f t="shared" si="6"/>
        <v>0</v>
      </c>
      <c r="S77" s="82">
        <f t="shared" si="7"/>
        <v>0</v>
      </c>
      <c r="T77" s="84">
        <f t="shared" si="8"/>
        <v>3</v>
      </c>
      <c r="U77">
        <f t="shared" si="9"/>
        <v>0</v>
      </c>
      <c r="V77" s="82">
        <f t="shared" si="10"/>
        <v>0</v>
      </c>
      <c r="W77" s="82">
        <f t="shared" si="11"/>
        <v>0</v>
      </c>
      <c r="X77" s="82">
        <f t="shared" si="12"/>
        <v>0</v>
      </c>
      <c r="Z77" s="1">
        <f t="shared" si="13"/>
        <v>1800</v>
      </c>
      <c r="AA77" s="1">
        <f t="array" ref="AA77">SUM(IF(P77:X77&gt;0,1))</f>
        <v>2</v>
      </c>
    </row>
    <row r="78" spans="3:29" x14ac:dyDescent="0.25">
      <c r="C78" s="1" t="s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O78" s="85" t="s">
        <v>27</v>
      </c>
      <c r="P78" s="86">
        <f t="shared" si="4"/>
        <v>3</v>
      </c>
      <c r="Q78" s="87">
        <f t="shared" si="5"/>
        <v>0</v>
      </c>
      <c r="R78" s="87">
        <f t="shared" si="6"/>
        <v>0</v>
      </c>
      <c r="S78" s="87">
        <f t="shared" si="7"/>
        <v>0</v>
      </c>
      <c r="T78" s="87">
        <f t="shared" si="8"/>
        <v>0</v>
      </c>
      <c r="U78" s="87">
        <f t="shared" si="9"/>
        <v>0</v>
      </c>
      <c r="V78" s="87">
        <f t="shared" si="10"/>
        <v>0</v>
      </c>
      <c r="W78" s="87">
        <f t="shared" si="11"/>
        <v>0</v>
      </c>
      <c r="X78" s="88">
        <f t="shared" si="12"/>
        <v>0</v>
      </c>
      <c r="Z78" s="1">
        <f t="shared" si="13"/>
        <v>1500</v>
      </c>
      <c r="AA78" s="1">
        <f t="array" ref="AA78">SUM(IF(P78:X78&gt;0,1))</f>
        <v>1</v>
      </c>
    </row>
    <row r="79" spans="3:29" x14ac:dyDescent="0.25">
      <c r="C79" s="1" t="s">
        <v>3</v>
      </c>
      <c r="D79" s="1">
        <v>2</v>
      </c>
      <c r="E79" s="1">
        <v>0</v>
      </c>
      <c r="F79" s="1">
        <v>0</v>
      </c>
      <c r="G79" s="1">
        <v>0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O79" s="89" t="s">
        <v>28</v>
      </c>
      <c r="P79">
        <f t="shared" si="4"/>
        <v>0</v>
      </c>
      <c r="Q79">
        <f t="shared" si="5"/>
        <v>0</v>
      </c>
      <c r="R79" s="82">
        <f t="shared" si="6"/>
        <v>0</v>
      </c>
      <c r="S79" s="82">
        <f t="shared" si="7"/>
        <v>0</v>
      </c>
      <c r="T79" s="9">
        <f t="shared" si="8"/>
        <v>0</v>
      </c>
      <c r="U79">
        <f t="shared" si="9"/>
        <v>0</v>
      </c>
      <c r="V79" s="82">
        <f t="shared" si="10"/>
        <v>0</v>
      </c>
      <c r="W79" s="82">
        <f t="shared" si="11"/>
        <v>0</v>
      </c>
      <c r="X79" s="82">
        <f t="shared" si="12"/>
        <v>0</v>
      </c>
      <c r="Z79" s="1">
        <f t="shared" si="13"/>
        <v>18000</v>
      </c>
      <c r="AA79" s="1">
        <f t="array" ref="AA79">SUM(IF(P79:X79&gt;0,1))</f>
        <v>0</v>
      </c>
    </row>
    <row r="80" spans="3:29" x14ac:dyDescent="0.25">
      <c r="C80" s="1" t="s">
        <v>10</v>
      </c>
      <c r="D80" s="1">
        <v>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O80" s="72" t="s">
        <v>29</v>
      </c>
      <c r="P80">
        <f t="shared" si="4"/>
        <v>0</v>
      </c>
      <c r="Q80">
        <f t="shared" si="5"/>
        <v>0</v>
      </c>
      <c r="R80" s="82">
        <f t="shared" si="6"/>
        <v>0</v>
      </c>
      <c r="S80" s="82">
        <f t="shared" si="7"/>
        <v>0</v>
      </c>
      <c r="T80" s="9">
        <f t="shared" si="8"/>
        <v>0</v>
      </c>
      <c r="U80">
        <f t="shared" si="9"/>
        <v>0</v>
      </c>
      <c r="V80" s="82">
        <f t="shared" si="10"/>
        <v>0</v>
      </c>
      <c r="W80" s="82">
        <f t="shared" si="11"/>
        <v>0</v>
      </c>
      <c r="X80" s="82">
        <f t="shared" si="12"/>
        <v>0</v>
      </c>
      <c r="Z80" s="1">
        <f t="shared" si="13"/>
        <v>7300</v>
      </c>
      <c r="AA80" s="1">
        <f t="array" ref="AA80">SUM(IF(P80:X80&gt;0,1))</f>
        <v>0</v>
      </c>
    </row>
    <row r="81" spans="3:27" x14ac:dyDescent="0.25">
      <c r="C81" s="1" t="s">
        <v>11</v>
      </c>
      <c r="D81" s="1">
        <v>0</v>
      </c>
      <c r="E81" s="1">
        <v>2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O81" s="7" t="s">
        <v>30</v>
      </c>
      <c r="P81">
        <f t="shared" si="4"/>
        <v>0</v>
      </c>
      <c r="Q81" s="90">
        <f t="shared" si="5"/>
        <v>2</v>
      </c>
      <c r="R81" s="82">
        <f t="shared" si="6"/>
        <v>0</v>
      </c>
      <c r="S81" s="82">
        <f t="shared" si="7"/>
        <v>0</v>
      </c>
      <c r="T81" s="90">
        <f t="shared" si="8"/>
        <v>1</v>
      </c>
      <c r="U81">
        <f t="shared" si="9"/>
        <v>0</v>
      </c>
      <c r="V81" s="82">
        <f t="shared" si="10"/>
        <v>0</v>
      </c>
      <c r="W81" s="82">
        <f t="shared" si="11"/>
        <v>0</v>
      </c>
      <c r="X81" s="82">
        <f t="shared" si="12"/>
        <v>0</v>
      </c>
      <c r="Z81" s="1">
        <f t="shared" si="13"/>
        <v>4000</v>
      </c>
      <c r="AA81" s="1">
        <f t="array" ref="AA81">SUM(IF(P81:X81&gt;0,1))</f>
        <v>2</v>
      </c>
    </row>
    <row r="82" spans="3:27" x14ac:dyDescent="0.25">
      <c r="C82" s="1" t="s">
        <v>12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O82" s="52" t="s">
        <v>31</v>
      </c>
      <c r="P82">
        <f t="shared" si="4"/>
        <v>0</v>
      </c>
      <c r="Q82">
        <f t="shared" si="5"/>
        <v>0</v>
      </c>
      <c r="R82" s="82">
        <f t="shared" si="6"/>
        <v>0</v>
      </c>
      <c r="S82" s="82">
        <f t="shared" si="7"/>
        <v>0</v>
      </c>
      <c r="T82" s="9">
        <f t="shared" si="8"/>
        <v>0</v>
      </c>
      <c r="U82" s="90">
        <f t="shared" si="9"/>
        <v>1</v>
      </c>
      <c r="V82" s="82">
        <f t="shared" si="10"/>
        <v>0</v>
      </c>
      <c r="W82" s="82">
        <f t="shared" si="11"/>
        <v>0</v>
      </c>
      <c r="X82" s="82">
        <f t="shared" si="12"/>
        <v>0</v>
      </c>
      <c r="Z82" s="1">
        <f t="shared" si="13"/>
        <v>1800</v>
      </c>
      <c r="AA82" s="1">
        <f t="array" ref="AA82">SUM(IF(P82:X82&gt;0,1))</f>
        <v>1</v>
      </c>
    </row>
    <row r="83" spans="3:27" x14ac:dyDescent="0.25">
      <c r="C83" s="1" t="s">
        <v>13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O83" s="52" t="s">
        <v>32</v>
      </c>
      <c r="P83" s="84">
        <f t="shared" si="4"/>
        <v>2</v>
      </c>
      <c r="Q83">
        <f t="shared" si="5"/>
        <v>0</v>
      </c>
      <c r="R83" s="82">
        <f t="shared" si="6"/>
        <v>0</v>
      </c>
      <c r="S83" s="82">
        <f t="shared" si="7"/>
        <v>0</v>
      </c>
      <c r="T83" s="84">
        <f t="shared" si="8"/>
        <v>3</v>
      </c>
      <c r="U83">
        <f t="shared" si="9"/>
        <v>0</v>
      </c>
      <c r="V83" s="82">
        <f t="shared" si="10"/>
        <v>0</v>
      </c>
      <c r="W83" s="82">
        <f t="shared" si="11"/>
        <v>0</v>
      </c>
      <c r="X83" s="82">
        <f t="shared" si="12"/>
        <v>0</v>
      </c>
      <c r="Z83" s="1">
        <f t="shared" si="13"/>
        <v>3000</v>
      </c>
      <c r="AA83" s="1">
        <f t="array" ref="AA83">SUM(IF(P83:X83&gt;0,1))</f>
        <v>2</v>
      </c>
    </row>
    <row r="84" spans="3:27" x14ac:dyDescent="0.25">
      <c r="J84" s="1"/>
      <c r="K84" s="1"/>
      <c r="L84" s="1"/>
      <c r="O84" s="52" t="s">
        <v>33</v>
      </c>
      <c r="P84">
        <f t="shared" si="4"/>
        <v>0</v>
      </c>
      <c r="Q84" s="90">
        <f t="shared" si="5"/>
        <v>1</v>
      </c>
      <c r="R84" s="82">
        <f t="shared" si="6"/>
        <v>0</v>
      </c>
      <c r="S84" s="82">
        <f t="shared" si="7"/>
        <v>0</v>
      </c>
      <c r="T84" s="9">
        <f t="shared" si="8"/>
        <v>0</v>
      </c>
      <c r="U84">
        <f t="shared" si="9"/>
        <v>0</v>
      </c>
      <c r="V84" s="82">
        <f t="shared" si="10"/>
        <v>0</v>
      </c>
      <c r="W84" s="82">
        <f t="shared" si="11"/>
        <v>0</v>
      </c>
      <c r="X84" s="82">
        <f t="shared" si="12"/>
        <v>0</v>
      </c>
      <c r="Z84" s="1">
        <f t="shared" si="13"/>
        <v>2500</v>
      </c>
      <c r="AA84" s="1">
        <f t="array" ref="AA84">SUM(IF(P84:X84&gt;0,1))</f>
        <v>1</v>
      </c>
    </row>
    <row r="85" spans="3:27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27" x14ac:dyDescent="0.25">
      <c r="P86" s="72" t="s">
        <v>25</v>
      </c>
      <c r="Q86" s="7" t="s">
        <v>26</v>
      </c>
      <c r="R86" s="81" t="s">
        <v>27</v>
      </c>
      <c r="S86" s="91" t="s">
        <v>28</v>
      </c>
      <c r="T86" s="7" t="s">
        <v>29</v>
      </c>
      <c r="U86" s="7" t="s">
        <v>30</v>
      </c>
      <c r="V86" s="81" t="s">
        <v>31</v>
      </c>
      <c r="W86" s="81" t="s">
        <v>32</v>
      </c>
      <c r="X86" s="81" t="s">
        <v>33</v>
      </c>
      <c r="Z86" s="1" t="s">
        <v>52</v>
      </c>
    </row>
    <row r="87" spans="3:27" x14ac:dyDescent="0.25">
      <c r="O87" s="92" t="s">
        <v>1</v>
      </c>
      <c r="P87">
        <f t="array" ref="P87:X92">MMULT(C40:K45,P76:X84)</f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3:27" x14ac:dyDescent="0.25">
      <c r="O88" s="92" t="s">
        <v>3</v>
      </c>
      <c r="P88">
        <v>4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</row>
    <row r="89" spans="3:27" x14ac:dyDescent="0.25">
      <c r="O89" s="92" t="s">
        <v>10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3:27" x14ac:dyDescent="0.25">
      <c r="O90" s="92" t="s">
        <v>11</v>
      </c>
      <c r="P90">
        <v>0</v>
      </c>
      <c r="Q90">
        <v>2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3:27" x14ac:dyDescent="0.25">
      <c r="O91" s="92" t="s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</row>
    <row r="92" spans="3:27" x14ac:dyDescent="0.25">
      <c r="O92" s="92" t="s">
        <v>13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3:27" x14ac:dyDescent="0.25">
      <c r="P93" t="e">
        <f>#N/A</f>
        <v>#N/A</v>
      </c>
      <c r="Q93" t="e">
        <f>#N/A</f>
        <v>#N/A</v>
      </c>
      <c r="R93" t="e">
        <f>#N/A</f>
        <v>#N/A</v>
      </c>
      <c r="S93" t="e">
        <f>#N/A</f>
        <v>#N/A</v>
      </c>
      <c r="T93" t="e">
        <f>#N/A</f>
        <v>#N/A</v>
      </c>
      <c r="U93" t="e">
        <f>#N/A</f>
        <v>#N/A</v>
      </c>
      <c r="V93" t="e">
        <f>#N/A</f>
        <v>#N/A</v>
      </c>
      <c r="W93" t="e">
        <f>#N/A</f>
        <v>#N/A</v>
      </c>
      <c r="X93" t="e">
        <f>#N/A</f>
        <v>#N/A</v>
      </c>
    </row>
    <row r="94" spans="3:27" x14ac:dyDescent="0.25">
      <c r="P94" t="e">
        <f>#N/A</f>
        <v>#N/A</v>
      </c>
      <c r="Q94" t="e">
        <f>#N/A</f>
        <v>#N/A</v>
      </c>
      <c r="R94" t="e">
        <f>#N/A</f>
        <v>#N/A</v>
      </c>
      <c r="S94" t="e">
        <f>#N/A</f>
        <v>#N/A</v>
      </c>
      <c r="T94" t="e">
        <f>#N/A</f>
        <v>#N/A</v>
      </c>
      <c r="U94" t="e">
        <f>#N/A</f>
        <v>#N/A</v>
      </c>
      <c r="V94" t="e">
        <f>#N/A</f>
        <v>#N/A</v>
      </c>
      <c r="W94" t="e">
        <f>#N/A</f>
        <v>#N/A</v>
      </c>
      <c r="X94" t="e">
        <f>#N/A</f>
        <v>#N/A</v>
      </c>
    </row>
    <row r="95" spans="3:27" x14ac:dyDescent="0.25">
      <c r="P95" t="e">
        <f>#N/A</f>
        <v>#N/A</v>
      </c>
      <c r="Q95" t="e">
        <f>#N/A</f>
        <v>#N/A</v>
      </c>
      <c r="R95" t="e">
        <f>#N/A</f>
        <v>#N/A</v>
      </c>
      <c r="S95" t="e">
        <f>#N/A</f>
        <v>#N/A</v>
      </c>
      <c r="T95" t="e">
        <f>#N/A</f>
        <v>#N/A</v>
      </c>
      <c r="U95" t="e">
        <f>#N/A</f>
        <v>#N/A</v>
      </c>
      <c r="V95" t="e">
        <f>#N/A</f>
        <v>#N/A</v>
      </c>
      <c r="W95" t="e">
        <f>#N/A</f>
        <v>#N/A</v>
      </c>
      <c r="X95" t="e">
        <f>#N/A</f>
        <v>#N/A</v>
      </c>
    </row>
    <row r="96" spans="3:27" x14ac:dyDescent="0.25">
      <c r="M96" t="s">
        <v>53</v>
      </c>
      <c r="N96" t="s">
        <v>54</v>
      </c>
    </row>
    <row r="97" spans="9:26" x14ac:dyDescent="0.25">
      <c r="M97" t="s">
        <v>20</v>
      </c>
      <c r="N97" s="25" t="s">
        <v>20</v>
      </c>
      <c r="O97" t="s">
        <v>55</v>
      </c>
      <c r="P97" s="72" t="s">
        <v>25</v>
      </c>
      <c r="Q97" s="7" t="s">
        <v>26</v>
      </c>
      <c r="R97" s="52" t="s">
        <v>27</v>
      </c>
      <c r="S97" s="73" t="s">
        <v>28</v>
      </c>
      <c r="T97" s="72" t="s">
        <v>29</v>
      </c>
      <c r="U97" s="7" t="s">
        <v>30</v>
      </c>
      <c r="V97" s="52" t="s">
        <v>31</v>
      </c>
      <c r="W97" s="52" t="s">
        <v>32</v>
      </c>
      <c r="X97" s="52" t="s">
        <v>33</v>
      </c>
      <c r="Z97" s="93" t="s">
        <v>56</v>
      </c>
    </row>
    <row r="98" spans="9:26" x14ac:dyDescent="0.25">
      <c r="M98" s="26">
        <v>2</v>
      </c>
      <c r="N98" s="32">
        <v>4</v>
      </c>
      <c r="O98" s="72" t="s">
        <v>25</v>
      </c>
      <c r="P98">
        <f t="shared" ref="P98:P106" si="14">P76*$M98</f>
        <v>0</v>
      </c>
      <c r="Q98">
        <f t="shared" ref="Q98:Q106" si="15">Q76*$M98</f>
        <v>0</v>
      </c>
      <c r="R98">
        <f t="shared" ref="R98:R106" si="16">R76*$M98</f>
        <v>0</v>
      </c>
      <c r="S98">
        <f t="shared" ref="S98:S106" si="17">S76*$M98</f>
        <v>0</v>
      </c>
      <c r="T98">
        <f t="shared" ref="T98:T106" si="18">T76*$M98</f>
        <v>0</v>
      </c>
      <c r="U98">
        <f t="shared" ref="U98:U106" si="19">U76*$M98</f>
        <v>0</v>
      </c>
      <c r="V98">
        <f t="shared" ref="V98:V106" si="20">V76*$M98</f>
        <v>0</v>
      </c>
      <c r="W98">
        <f t="shared" ref="W98:W106" si="21">W76*$M98</f>
        <v>0</v>
      </c>
      <c r="X98">
        <f t="shared" ref="X98:X106" si="22">X76*$M98</f>
        <v>0</v>
      </c>
      <c r="Y98">
        <f t="shared" ref="Y98:Y106" si="23">SUM(P98:X98)</f>
        <v>0</v>
      </c>
      <c r="Z98" s="93" t="s">
        <v>57</v>
      </c>
    </row>
    <row r="99" spans="9:26" x14ac:dyDescent="0.25">
      <c r="M99" s="26">
        <v>0.5</v>
      </c>
      <c r="N99" s="35">
        <v>1</v>
      </c>
      <c r="O99" s="7" t="s">
        <v>26</v>
      </c>
      <c r="P99">
        <f t="shared" si="14"/>
        <v>1</v>
      </c>
      <c r="Q99">
        <f t="shared" si="15"/>
        <v>0</v>
      </c>
      <c r="R99">
        <f t="shared" si="16"/>
        <v>0</v>
      </c>
      <c r="S99">
        <f t="shared" si="17"/>
        <v>0</v>
      </c>
      <c r="T99">
        <f t="shared" si="18"/>
        <v>1.5</v>
      </c>
      <c r="U99">
        <f t="shared" si="19"/>
        <v>0</v>
      </c>
      <c r="V99">
        <f t="shared" si="20"/>
        <v>0</v>
      </c>
      <c r="W99">
        <f t="shared" si="21"/>
        <v>0</v>
      </c>
      <c r="X99">
        <f t="shared" si="22"/>
        <v>0</v>
      </c>
      <c r="Y99">
        <f t="shared" si="23"/>
        <v>2.5</v>
      </c>
    </row>
    <row r="100" spans="9:26" x14ac:dyDescent="0.25">
      <c r="M100" s="26">
        <v>0.5</v>
      </c>
      <c r="N100" s="35">
        <v>0.5</v>
      </c>
      <c r="O100" s="52" t="s">
        <v>27</v>
      </c>
      <c r="P100">
        <f t="shared" si="14"/>
        <v>1.5</v>
      </c>
      <c r="Q100">
        <f t="shared" si="15"/>
        <v>0</v>
      </c>
      <c r="R100">
        <f t="shared" si="16"/>
        <v>0</v>
      </c>
      <c r="S100">
        <f t="shared" si="17"/>
        <v>0</v>
      </c>
      <c r="T100">
        <f t="shared" si="18"/>
        <v>0</v>
      </c>
      <c r="U100">
        <f t="shared" si="19"/>
        <v>0</v>
      </c>
      <c r="V100">
        <f t="shared" si="20"/>
        <v>0</v>
      </c>
      <c r="W100">
        <f t="shared" si="21"/>
        <v>0</v>
      </c>
      <c r="X100">
        <f t="shared" si="22"/>
        <v>0</v>
      </c>
      <c r="Y100">
        <f t="shared" si="23"/>
        <v>1.5</v>
      </c>
    </row>
    <row r="101" spans="9:26" x14ac:dyDescent="0.25">
      <c r="M101" s="26">
        <v>0.5</v>
      </c>
      <c r="N101" s="35">
        <v>0.5</v>
      </c>
      <c r="O101" s="73" t="s">
        <v>28</v>
      </c>
      <c r="P101">
        <f t="shared" si="14"/>
        <v>0</v>
      </c>
      <c r="Q101">
        <f t="shared" si="15"/>
        <v>0</v>
      </c>
      <c r="R101">
        <f t="shared" si="16"/>
        <v>0</v>
      </c>
      <c r="S101">
        <f t="shared" si="17"/>
        <v>0</v>
      </c>
      <c r="T101">
        <f t="shared" si="18"/>
        <v>0</v>
      </c>
      <c r="U101">
        <f t="shared" si="19"/>
        <v>0</v>
      </c>
      <c r="V101">
        <f t="shared" si="20"/>
        <v>0</v>
      </c>
      <c r="W101">
        <f t="shared" si="21"/>
        <v>0</v>
      </c>
      <c r="X101">
        <f t="shared" si="22"/>
        <v>0</v>
      </c>
      <c r="Y101">
        <f t="shared" si="23"/>
        <v>0</v>
      </c>
    </row>
    <row r="102" spans="9:26" x14ac:dyDescent="0.25">
      <c r="M102" s="26">
        <v>2</v>
      </c>
      <c r="N102" s="30">
        <v>5.75</v>
      </c>
      <c r="O102" s="72" t="s">
        <v>29</v>
      </c>
      <c r="P102">
        <f t="shared" si="14"/>
        <v>0</v>
      </c>
      <c r="Q102">
        <f t="shared" si="15"/>
        <v>0</v>
      </c>
      <c r="R102">
        <f t="shared" si="16"/>
        <v>0</v>
      </c>
      <c r="S102">
        <f t="shared" si="17"/>
        <v>0</v>
      </c>
      <c r="T102">
        <f t="shared" si="18"/>
        <v>0</v>
      </c>
      <c r="U102">
        <f t="shared" si="19"/>
        <v>0</v>
      </c>
      <c r="V102">
        <f t="shared" si="20"/>
        <v>0</v>
      </c>
      <c r="W102">
        <f t="shared" si="21"/>
        <v>0</v>
      </c>
      <c r="X102">
        <f t="shared" si="22"/>
        <v>0</v>
      </c>
      <c r="Y102">
        <f t="shared" si="23"/>
        <v>0</v>
      </c>
    </row>
    <row r="103" spans="9:26" x14ac:dyDescent="0.25">
      <c r="M103" s="26">
        <v>1</v>
      </c>
      <c r="N103" s="40">
        <v>1.5</v>
      </c>
      <c r="O103" s="7" t="s">
        <v>30</v>
      </c>
      <c r="P103">
        <f t="shared" si="14"/>
        <v>0</v>
      </c>
      <c r="Q103">
        <f t="shared" si="15"/>
        <v>2</v>
      </c>
      <c r="R103">
        <f t="shared" si="16"/>
        <v>0</v>
      </c>
      <c r="S103">
        <f t="shared" si="17"/>
        <v>0</v>
      </c>
      <c r="T103">
        <f t="shared" si="18"/>
        <v>1</v>
      </c>
      <c r="U103">
        <f t="shared" si="19"/>
        <v>0</v>
      </c>
      <c r="V103">
        <f t="shared" si="20"/>
        <v>0</v>
      </c>
      <c r="W103">
        <f t="shared" si="21"/>
        <v>0</v>
      </c>
      <c r="X103">
        <f t="shared" si="22"/>
        <v>0</v>
      </c>
      <c r="Y103">
        <f t="shared" si="23"/>
        <v>3</v>
      </c>
    </row>
    <row r="104" spans="9:26" x14ac:dyDescent="0.25">
      <c r="M104" s="26">
        <v>0.5</v>
      </c>
      <c r="N104" s="35">
        <v>0.5</v>
      </c>
      <c r="O104" s="52" t="s">
        <v>31</v>
      </c>
      <c r="P104">
        <f t="shared" si="14"/>
        <v>0</v>
      </c>
      <c r="Q104">
        <f t="shared" si="15"/>
        <v>0</v>
      </c>
      <c r="R104">
        <f t="shared" si="16"/>
        <v>0</v>
      </c>
      <c r="S104">
        <f t="shared" si="17"/>
        <v>0</v>
      </c>
      <c r="T104">
        <f t="shared" si="18"/>
        <v>0</v>
      </c>
      <c r="U104">
        <f t="shared" si="19"/>
        <v>0.5</v>
      </c>
      <c r="V104">
        <f t="shared" si="20"/>
        <v>0</v>
      </c>
      <c r="W104">
        <f t="shared" si="21"/>
        <v>0</v>
      </c>
      <c r="X104">
        <f t="shared" si="22"/>
        <v>0</v>
      </c>
      <c r="Y104">
        <f t="shared" si="23"/>
        <v>0.5</v>
      </c>
    </row>
    <row r="105" spans="9:26" x14ac:dyDescent="0.25">
      <c r="M105" s="26">
        <v>0.5</v>
      </c>
      <c r="N105" s="35">
        <v>0.5</v>
      </c>
      <c r="O105" s="52" t="s">
        <v>32</v>
      </c>
      <c r="P105">
        <f t="shared" si="14"/>
        <v>1</v>
      </c>
      <c r="Q105">
        <f t="shared" si="15"/>
        <v>0</v>
      </c>
      <c r="R105">
        <f t="shared" si="16"/>
        <v>0</v>
      </c>
      <c r="S105">
        <f t="shared" si="17"/>
        <v>0</v>
      </c>
      <c r="T105">
        <f t="shared" si="18"/>
        <v>1.5</v>
      </c>
      <c r="U105">
        <f t="shared" si="19"/>
        <v>0</v>
      </c>
      <c r="V105">
        <f t="shared" si="20"/>
        <v>0</v>
      </c>
      <c r="W105">
        <f t="shared" si="21"/>
        <v>0</v>
      </c>
      <c r="X105">
        <f t="shared" si="22"/>
        <v>0</v>
      </c>
      <c r="Y105">
        <f t="shared" si="23"/>
        <v>2.5</v>
      </c>
    </row>
    <row r="106" spans="9:26" x14ac:dyDescent="0.25">
      <c r="M106" s="43">
        <v>0.5</v>
      </c>
      <c r="N106" s="46">
        <v>0.5</v>
      </c>
      <c r="O106" s="52" t="s">
        <v>33</v>
      </c>
      <c r="P106">
        <f t="shared" si="14"/>
        <v>0</v>
      </c>
      <c r="Q106">
        <f t="shared" si="15"/>
        <v>0.5</v>
      </c>
      <c r="R106">
        <f t="shared" si="16"/>
        <v>0</v>
      </c>
      <c r="S106">
        <f t="shared" si="17"/>
        <v>0</v>
      </c>
      <c r="T106">
        <f t="shared" si="18"/>
        <v>0</v>
      </c>
      <c r="U106">
        <f t="shared" si="19"/>
        <v>0</v>
      </c>
      <c r="V106">
        <f t="shared" si="20"/>
        <v>0</v>
      </c>
      <c r="W106">
        <f t="shared" si="21"/>
        <v>0</v>
      </c>
      <c r="X106">
        <f t="shared" si="22"/>
        <v>0</v>
      </c>
      <c r="Y106">
        <f t="shared" si="23"/>
        <v>0.5</v>
      </c>
    </row>
    <row r="107" spans="9:26" x14ac:dyDescent="0.25">
      <c r="P107">
        <f t="shared" ref="P107:X107" si="24">SUM(P98:P106)</f>
        <v>3.5</v>
      </c>
      <c r="Q107">
        <f t="shared" si="24"/>
        <v>2.5</v>
      </c>
      <c r="R107">
        <f t="shared" si="24"/>
        <v>0</v>
      </c>
      <c r="S107">
        <f t="shared" si="24"/>
        <v>0</v>
      </c>
      <c r="T107">
        <f t="shared" si="24"/>
        <v>4</v>
      </c>
      <c r="U107">
        <f t="shared" si="24"/>
        <v>0.5</v>
      </c>
      <c r="V107">
        <f t="shared" si="24"/>
        <v>0</v>
      </c>
      <c r="W107">
        <f t="shared" si="24"/>
        <v>0</v>
      </c>
      <c r="X107">
        <f t="shared" si="24"/>
        <v>0</v>
      </c>
    </row>
    <row r="108" spans="9:26" x14ac:dyDescent="0.25">
      <c r="Z108" s="1" t="s">
        <v>58</v>
      </c>
    </row>
    <row r="109" spans="9:26" x14ac:dyDescent="0.25">
      <c r="I109" s="93"/>
      <c r="O109" s="94"/>
      <c r="P109" s="72" t="s">
        <v>25</v>
      </c>
      <c r="Q109" s="7" t="s">
        <v>26</v>
      </c>
      <c r="R109" s="52" t="s">
        <v>27</v>
      </c>
      <c r="S109" s="73" t="s">
        <v>28</v>
      </c>
      <c r="T109" s="72" t="s">
        <v>29</v>
      </c>
      <c r="U109" s="7" t="s">
        <v>30</v>
      </c>
      <c r="V109" s="52" t="s">
        <v>31</v>
      </c>
      <c r="W109" s="52" t="s">
        <v>32</v>
      </c>
      <c r="X109" s="52" t="s">
        <v>33</v>
      </c>
    </row>
    <row r="110" spans="9:26" x14ac:dyDescent="0.25">
      <c r="O110" s="72" t="s">
        <v>25</v>
      </c>
      <c r="P110">
        <f t="shared" ref="P110:P118" si="25">IF(P76&gt;0,1,0)</f>
        <v>0</v>
      </c>
      <c r="Q110">
        <f t="shared" ref="Q110:Q118" si="26">IF(Q76&gt;0,1,0)</f>
        <v>0</v>
      </c>
      <c r="R110">
        <f t="shared" ref="R110:R118" si="27">IF(R76&gt;0,1,0)</f>
        <v>0</v>
      </c>
      <c r="S110">
        <f t="shared" ref="S110:S118" si="28">IF(S76&gt;0,1,0)</f>
        <v>0</v>
      </c>
      <c r="T110">
        <f t="shared" ref="T110:T118" si="29">IF(T76&gt;0,1,0)</f>
        <v>0</v>
      </c>
      <c r="U110">
        <f t="shared" ref="U110:U118" si="30">IF(U76&gt;0,1,0)</f>
        <v>0</v>
      </c>
      <c r="V110">
        <f t="shared" ref="V110:V118" si="31">IF(V76&gt;0,1,0)</f>
        <v>0</v>
      </c>
      <c r="W110">
        <f t="shared" ref="W110:W118" si="32">IF(W76&gt;0,1,0)</f>
        <v>0</v>
      </c>
      <c r="X110">
        <f t="shared" ref="X110:X118" si="33">IF(X76&gt;0,1,0)</f>
        <v>0</v>
      </c>
      <c r="Z110" s="1">
        <v>3.5</v>
      </c>
    </row>
    <row r="111" spans="9:26" x14ac:dyDescent="0.25">
      <c r="O111" s="7" t="s">
        <v>26</v>
      </c>
      <c r="P111">
        <f t="shared" si="25"/>
        <v>1</v>
      </c>
      <c r="Q111">
        <f t="shared" si="26"/>
        <v>0</v>
      </c>
      <c r="R111">
        <f t="shared" si="27"/>
        <v>0</v>
      </c>
      <c r="S111">
        <f t="shared" si="28"/>
        <v>0</v>
      </c>
      <c r="T111">
        <f t="shared" si="29"/>
        <v>1</v>
      </c>
      <c r="U111">
        <f t="shared" si="30"/>
        <v>0</v>
      </c>
      <c r="V111">
        <f t="shared" si="31"/>
        <v>0</v>
      </c>
      <c r="W111">
        <f t="shared" si="32"/>
        <v>0</v>
      </c>
      <c r="X111">
        <f t="shared" si="33"/>
        <v>0</v>
      </c>
      <c r="Z111" s="1">
        <v>2.5</v>
      </c>
    </row>
    <row r="112" spans="9:26" x14ac:dyDescent="0.25">
      <c r="O112" s="52" t="s">
        <v>27</v>
      </c>
      <c r="P112">
        <f t="shared" si="25"/>
        <v>1</v>
      </c>
      <c r="Q112">
        <f t="shared" si="26"/>
        <v>0</v>
      </c>
      <c r="R112">
        <f t="shared" si="27"/>
        <v>0</v>
      </c>
      <c r="S112">
        <f t="shared" si="28"/>
        <v>0</v>
      </c>
      <c r="T112">
        <f t="shared" si="29"/>
        <v>0</v>
      </c>
      <c r="U112">
        <f t="shared" si="30"/>
        <v>0</v>
      </c>
      <c r="V112">
        <f t="shared" si="31"/>
        <v>0</v>
      </c>
      <c r="W112">
        <f t="shared" si="32"/>
        <v>0</v>
      </c>
      <c r="X112">
        <f t="shared" si="33"/>
        <v>0</v>
      </c>
    </row>
    <row r="113" spans="4:30" x14ac:dyDescent="0.25">
      <c r="O113" s="73" t="s">
        <v>28</v>
      </c>
      <c r="P113">
        <f t="shared" si="25"/>
        <v>0</v>
      </c>
      <c r="Q113">
        <f t="shared" si="26"/>
        <v>0</v>
      </c>
      <c r="R113">
        <f t="shared" si="27"/>
        <v>0</v>
      </c>
      <c r="S113">
        <f t="shared" si="28"/>
        <v>0</v>
      </c>
      <c r="T113">
        <f t="shared" si="29"/>
        <v>0</v>
      </c>
      <c r="U113">
        <f t="shared" si="30"/>
        <v>0</v>
      </c>
      <c r="V113">
        <f t="shared" si="31"/>
        <v>0</v>
      </c>
      <c r="W113">
        <f t="shared" si="32"/>
        <v>0</v>
      </c>
      <c r="X113">
        <f t="shared" si="33"/>
        <v>0</v>
      </c>
      <c r="Z113" s="1">
        <v>0</v>
      </c>
    </row>
    <row r="114" spans="4:30" x14ac:dyDescent="0.25">
      <c r="O114" s="72" t="s">
        <v>29</v>
      </c>
      <c r="P114">
        <f t="shared" si="25"/>
        <v>0</v>
      </c>
      <c r="Q114">
        <f t="shared" si="26"/>
        <v>0</v>
      </c>
      <c r="R114">
        <f t="shared" si="27"/>
        <v>0</v>
      </c>
      <c r="S114">
        <f t="shared" si="28"/>
        <v>0</v>
      </c>
      <c r="T114">
        <f t="shared" si="29"/>
        <v>0</v>
      </c>
      <c r="U114">
        <f t="shared" si="30"/>
        <v>0</v>
      </c>
      <c r="V114">
        <f t="shared" si="31"/>
        <v>0</v>
      </c>
      <c r="W114">
        <f t="shared" si="32"/>
        <v>0</v>
      </c>
      <c r="X114">
        <f t="shared" si="33"/>
        <v>0</v>
      </c>
      <c r="Z114" s="1">
        <v>4</v>
      </c>
    </row>
    <row r="115" spans="4:30" x14ac:dyDescent="0.25">
      <c r="O115" s="7" t="s">
        <v>30</v>
      </c>
      <c r="P115">
        <f t="shared" si="25"/>
        <v>0</v>
      </c>
      <c r="Q115">
        <f t="shared" si="26"/>
        <v>1</v>
      </c>
      <c r="R115">
        <f t="shared" si="27"/>
        <v>0</v>
      </c>
      <c r="S115">
        <f t="shared" si="28"/>
        <v>0</v>
      </c>
      <c r="T115">
        <f t="shared" si="29"/>
        <v>1</v>
      </c>
      <c r="U115">
        <f t="shared" si="30"/>
        <v>0</v>
      </c>
      <c r="V115">
        <f t="shared" si="31"/>
        <v>0</v>
      </c>
      <c r="W115">
        <f t="shared" si="32"/>
        <v>0</v>
      </c>
      <c r="X115">
        <f t="shared" si="33"/>
        <v>0</v>
      </c>
      <c r="Z115" s="1">
        <v>0.5</v>
      </c>
    </row>
    <row r="116" spans="4:30" x14ac:dyDescent="0.25">
      <c r="O116" s="52" t="s">
        <v>31</v>
      </c>
      <c r="P116">
        <f t="shared" si="25"/>
        <v>0</v>
      </c>
      <c r="Q116">
        <f t="shared" si="26"/>
        <v>0</v>
      </c>
      <c r="R116">
        <f t="shared" si="27"/>
        <v>0</v>
      </c>
      <c r="S116">
        <f t="shared" si="28"/>
        <v>0</v>
      </c>
      <c r="T116">
        <f t="shared" si="29"/>
        <v>0</v>
      </c>
      <c r="U116">
        <f t="shared" si="30"/>
        <v>1</v>
      </c>
      <c r="V116">
        <f t="shared" si="31"/>
        <v>0</v>
      </c>
      <c r="W116">
        <f t="shared" si="32"/>
        <v>0</v>
      </c>
      <c r="X116">
        <f t="shared" si="33"/>
        <v>0</v>
      </c>
      <c r="Z116" s="1">
        <v>0</v>
      </c>
    </row>
    <row r="117" spans="4:30" x14ac:dyDescent="0.25">
      <c r="O117" s="52" t="s">
        <v>32</v>
      </c>
      <c r="P117">
        <f t="shared" si="25"/>
        <v>1</v>
      </c>
      <c r="Q117">
        <f t="shared" si="26"/>
        <v>0</v>
      </c>
      <c r="R117">
        <f t="shared" si="27"/>
        <v>0</v>
      </c>
      <c r="S117">
        <f t="shared" si="28"/>
        <v>0</v>
      </c>
      <c r="T117">
        <f t="shared" si="29"/>
        <v>1</v>
      </c>
      <c r="U117">
        <f t="shared" si="30"/>
        <v>0</v>
      </c>
      <c r="V117">
        <f t="shared" si="31"/>
        <v>0</v>
      </c>
      <c r="W117">
        <f t="shared" si="32"/>
        <v>0</v>
      </c>
      <c r="X117">
        <f t="shared" si="33"/>
        <v>0</v>
      </c>
      <c r="Z117" s="1">
        <v>0</v>
      </c>
    </row>
    <row r="118" spans="4:30" x14ac:dyDescent="0.25">
      <c r="E118" s="1"/>
      <c r="O118" s="52" t="s">
        <v>33</v>
      </c>
      <c r="P118">
        <f t="shared" si="25"/>
        <v>0</v>
      </c>
      <c r="Q118">
        <f t="shared" si="26"/>
        <v>1</v>
      </c>
      <c r="R118">
        <f t="shared" si="27"/>
        <v>0</v>
      </c>
      <c r="S118">
        <f t="shared" si="28"/>
        <v>0</v>
      </c>
      <c r="T118">
        <f t="shared" si="29"/>
        <v>0</v>
      </c>
      <c r="U118">
        <f t="shared" si="30"/>
        <v>0</v>
      </c>
      <c r="V118">
        <f t="shared" si="31"/>
        <v>0</v>
      </c>
      <c r="W118">
        <f t="shared" si="32"/>
        <v>0</v>
      </c>
      <c r="X118">
        <f t="shared" si="33"/>
        <v>0</v>
      </c>
      <c r="Z118" s="1">
        <v>0</v>
      </c>
    </row>
    <row r="119" spans="4:30" x14ac:dyDescent="0.25">
      <c r="D119" s="51" t="s">
        <v>25</v>
      </c>
      <c r="E119" s="95" t="s">
        <v>1</v>
      </c>
      <c r="P119" s="26"/>
      <c r="Q119" s="26"/>
      <c r="R119" s="26"/>
      <c r="S119" s="26"/>
      <c r="T119" s="26"/>
      <c r="U119" s="26"/>
      <c r="V119" s="26"/>
      <c r="W119" s="26"/>
      <c r="X119" s="43"/>
    </row>
    <row r="120" spans="4:30" x14ac:dyDescent="0.25">
      <c r="D120" s="51" t="s">
        <v>26</v>
      </c>
      <c r="E120" s="96" t="s">
        <v>3</v>
      </c>
      <c r="P120">
        <f t="shared" ref="P120:X120" si="34">SUMPRODUCT($Z$110:$Z$118,P110:P118)</f>
        <v>2.5</v>
      </c>
      <c r="Q120">
        <f t="shared" si="34"/>
        <v>0.5</v>
      </c>
      <c r="R120">
        <f t="shared" si="34"/>
        <v>0</v>
      </c>
      <c r="S120">
        <f t="shared" si="34"/>
        <v>0</v>
      </c>
      <c r="T120">
        <f t="shared" si="34"/>
        <v>3</v>
      </c>
      <c r="U120">
        <f t="shared" si="34"/>
        <v>0</v>
      </c>
      <c r="V120">
        <f t="shared" si="34"/>
        <v>0</v>
      </c>
      <c r="W120">
        <f t="shared" si="34"/>
        <v>0</v>
      </c>
      <c r="X120">
        <f t="shared" si="34"/>
        <v>0</v>
      </c>
    </row>
    <row r="121" spans="4:30" x14ac:dyDescent="0.25">
      <c r="D121" s="51" t="s">
        <v>27</v>
      </c>
      <c r="E121" s="97" t="s">
        <v>10</v>
      </c>
    </row>
    <row r="122" spans="4:30" x14ac:dyDescent="0.25">
      <c r="D122" s="51" t="s">
        <v>28</v>
      </c>
      <c r="E122" s="95" t="s">
        <v>1</v>
      </c>
      <c r="O122" t="s">
        <v>59</v>
      </c>
      <c r="P122">
        <f>+P107+P120</f>
        <v>6</v>
      </c>
      <c r="Q122">
        <f t="shared" ref="Q122:X122" si="35">+Q107+Q120</f>
        <v>3</v>
      </c>
      <c r="R122" s="98">
        <f t="shared" si="35"/>
        <v>0</v>
      </c>
      <c r="S122" s="98">
        <f t="shared" si="35"/>
        <v>0</v>
      </c>
      <c r="T122">
        <f t="shared" si="35"/>
        <v>7</v>
      </c>
      <c r="U122">
        <f t="shared" si="35"/>
        <v>0.5</v>
      </c>
      <c r="V122">
        <f t="shared" si="35"/>
        <v>0</v>
      </c>
      <c r="W122">
        <f t="shared" si="35"/>
        <v>0</v>
      </c>
      <c r="X122">
        <f t="shared" si="35"/>
        <v>0</v>
      </c>
    </row>
    <row r="123" spans="4:30" x14ac:dyDescent="0.25">
      <c r="D123" s="51" t="s">
        <v>29</v>
      </c>
      <c r="E123" s="95" t="s">
        <v>1</v>
      </c>
      <c r="O123" t="s">
        <v>60</v>
      </c>
      <c r="P123">
        <v>2</v>
      </c>
      <c r="Q123">
        <v>0.5</v>
      </c>
      <c r="R123">
        <v>0.5</v>
      </c>
      <c r="S123">
        <v>0.5</v>
      </c>
      <c r="T123">
        <v>2</v>
      </c>
      <c r="U123">
        <v>1</v>
      </c>
      <c r="V123">
        <v>0.5</v>
      </c>
      <c r="W123">
        <v>0.5</v>
      </c>
      <c r="X123">
        <v>0.5</v>
      </c>
    </row>
    <row r="124" spans="4:30" x14ac:dyDescent="0.25">
      <c r="D124" s="51" t="s">
        <v>30</v>
      </c>
      <c r="E124" s="99" t="s">
        <v>11</v>
      </c>
      <c r="O124" s="100"/>
      <c r="P124" s="100">
        <f>ABS(P122-P123)</f>
        <v>4</v>
      </c>
      <c r="Q124" s="100">
        <f t="shared" ref="Q124:X124" si="36">ABS(Q122-Q123)</f>
        <v>2.5</v>
      </c>
      <c r="R124" s="100">
        <f t="shared" si="36"/>
        <v>0.5</v>
      </c>
      <c r="S124" s="100">
        <f t="shared" si="36"/>
        <v>0.5</v>
      </c>
      <c r="T124" s="100">
        <f t="shared" si="36"/>
        <v>5</v>
      </c>
      <c r="U124" s="100">
        <f t="shared" si="36"/>
        <v>0.5</v>
      </c>
      <c r="V124" s="100">
        <f t="shared" si="36"/>
        <v>0.5</v>
      </c>
      <c r="W124" s="100">
        <f t="shared" si="36"/>
        <v>0.5</v>
      </c>
      <c r="X124" s="100">
        <f t="shared" si="36"/>
        <v>0.5</v>
      </c>
      <c r="Y124" s="100"/>
      <c r="Z124" s="101"/>
      <c r="AB124"/>
      <c r="AC124"/>
      <c r="AD124"/>
    </row>
    <row r="125" spans="4:30" x14ac:dyDescent="0.25">
      <c r="D125" s="51" t="s">
        <v>31</v>
      </c>
      <c r="E125" s="102" t="s">
        <v>12</v>
      </c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1"/>
      <c r="AB125"/>
      <c r="AC125"/>
      <c r="AD125"/>
    </row>
    <row r="126" spans="4:30" x14ac:dyDescent="0.25">
      <c r="D126" s="51" t="s">
        <v>32</v>
      </c>
      <c r="E126" s="96" t="s">
        <v>3</v>
      </c>
      <c r="M126" t="s">
        <v>61</v>
      </c>
      <c r="N126" t="s">
        <v>62</v>
      </c>
      <c r="O126" t="s">
        <v>63</v>
      </c>
      <c r="P126" s="103">
        <f t="shared" ref="P126:X126" si="37">MAX(P122:P123)</f>
        <v>6</v>
      </c>
      <c r="Q126" s="103">
        <f t="shared" si="37"/>
        <v>3</v>
      </c>
      <c r="R126" s="103">
        <f t="shared" si="37"/>
        <v>0.5</v>
      </c>
      <c r="S126" s="103">
        <f t="shared" si="37"/>
        <v>0.5</v>
      </c>
      <c r="T126" s="103">
        <f t="shared" si="37"/>
        <v>7</v>
      </c>
      <c r="U126" s="103">
        <f t="shared" si="37"/>
        <v>1</v>
      </c>
      <c r="V126" s="103">
        <f t="shared" si="37"/>
        <v>0.5</v>
      </c>
      <c r="W126" s="103">
        <f t="shared" si="37"/>
        <v>0.5</v>
      </c>
      <c r="X126" s="103">
        <f t="shared" si="37"/>
        <v>0.5</v>
      </c>
      <c r="AB126"/>
      <c r="AC126"/>
      <c r="AD126"/>
    </row>
    <row r="127" spans="4:30" x14ac:dyDescent="0.25">
      <c r="D127" s="51" t="s">
        <v>33</v>
      </c>
      <c r="E127" s="104" t="s">
        <v>13</v>
      </c>
      <c r="M127" t="s">
        <v>64</v>
      </c>
      <c r="N127" t="s">
        <v>65</v>
      </c>
      <c r="O127" t="s">
        <v>63</v>
      </c>
      <c r="P127" s="105">
        <f t="shared" ref="P127:X127" si="38">SUM(P122:P123)</f>
        <v>8</v>
      </c>
      <c r="Q127" s="105">
        <f t="shared" si="38"/>
        <v>3.5</v>
      </c>
      <c r="R127">
        <f t="shared" si="38"/>
        <v>0.5</v>
      </c>
      <c r="S127">
        <f t="shared" si="38"/>
        <v>0.5</v>
      </c>
      <c r="T127" s="105">
        <f t="shared" si="38"/>
        <v>9</v>
      </c>
      <c r="U127">
        <f t="shared" si="38"/>
        <v>1.5</v>
      </c>
      <c r="V127">
        <f t="shared" si="38"/>
        <v>0.5</v>
      </c>
      <c r="W127">
        <f t="shared" si="38"/>
        <v>0.5</v>
      </c>
      <c r="X127">
        <f t="shared" si="38"/>
        <v>0.5</v>
      </c>
      <c r="AB127"/>
      <c r="AC127"/>
      <c r="AD127"/>
    </row>
    <row r="128" spans="4:30" x14ac:dyDescent="0.25">
      <c r="AB128"/>
      <c r="AC128"/>
      <c r="AD128"/>
    </row>
    <row r="129" spans="2:30" x14ac:dyDescent="0.25">
      <c r="C129" s="67" t="s">
        <v>39</v>
      </c>
      <c r="O129" t="s">
        <v>66</v>
      </c>
      <c r="P129" s="105">
        <v>4</v>
      </c>
      <c r="Q129" s="105">
        <v>1</v>
      </c>
      <c r="R129">
        <v>0.5</v>
      </c>
      <c r="S129">
        <v>0.5</v>
      </c>
      <c r="T129" s="105">
        <v>5.75</v>
      </c>
      <c r="U129">
        <v>1.5</v>
      </c>
      <c r="V129">
        <v>0.5</v>
      </c>
      <c r="W129">
        <v>0.5</v>
      </c>
      <c r="X129">
        <v>0.5</v>
      </c>
      <c r="Y129" t="s">
        <v>67</v>
      </c>
      <c r="AB129"/>
      <c r="AC129"/>
      <c r="AD129"/>
    </row>
    <row r="130" spans="2:30" x14ac:dyDescent="0.25">
      <c r="D130" s="7" t="s">
        <v>40</v>
      </c>
      <c r="E130" s="7" t="s">
        <v>1</v>
      </c>
      <c r="F130" s="7" t="s">
        <v>3</v>
      </c>
      <c r="G130" s="7" t="s">
        <v>10</v>
      </c>
      <c r="H130" s="7" t="s">
        <v>11</v>
      </c>
      <c r="I130" s="7" t="s">
        <v>12</v>
      </c>
      <c r="J130" s="7" t="s">
        <v>13</v>
      </c>
      <c r="P130" t="s">
        <v>68</v>
      </c>
      <c r="AB130"/>
      <c r="AC130"/>
      <c r="AD130"/>
    </row>
    <row r="131" spans="2:30" x14ac:dyDescent="0.25">
      <c r="D131" s="7" t="s">
        <v>25</v>
      </c>
      <c r="E131" s="56">
        <v>1</v>
      </c>
      <c r="F131" s="56">
        <v>0</v>
      </c>
      <c r="G131" s="56">
        <v>0</v>
      </c>
      <c r="H131" s="56">
        <v>0</v>
      </c>
      <c r="I131" s="56">
        <v>0</v>
      </c>
      <c r="J131" s="56">
        <v>0</v>
      </c>
      <c r="AB131"/>
      <c r="AC131"/>
      <c r="AD131"/>
    </row>
    <row r="132" spans="2:30" x14ac:dyDescent="0.25">
      <c r="D132" s="7" t="s">
        <v>26</v>
      </c>
      <c r="E132" s="56">
        <v>0</v>
      </c>
      <c r="F132" s="56">
        <v>1</v>
      </c>
      <c r="G132" s="56">
        <v>0</v>
      </c>
      <c r="H132" s="56">
        <v>0</v>
      </c>
      <c r="I132" s="56">
        <v>0</v>
      </c>
      <c r="J132" s="56">
        <v>0</v>
      </c>
      <c r="O132" s="106"/>
      <c r="P132" s="7" t="s">
        <v>25</v>
      </c>
      <c r="Q132" s="7" t="s">
        <v>26</v>
      </c>
      <c r="R132" s="7" t="s">
        <v>27</v>
      </c>
      <c r="S132" s="7" t="s">
        <v>28</v>
      </c>
      <c r="T132" s="7" t="s">
        <v>29</v>
      </c>
      <c r="U132" s="7" t="s">
        <v>30</v>
      </c>
      <c r="V132" s="7" t="s">
        <v>31</v>
      </c>
      <c r="W132" s="7" t="s">
        <v>32</v>
      </c>
      <c r="X132" s="7" t="s">
        <v>33</v>
      </c>
      <c r="Z132"/>
      <c r="AA132"/>
      <c r="AB132"/>
      <c r="AC132"/>
      <c r="AD132"/>
    </row>
    <row r="133" spans="2:30" x14ac:dyDescent="0.25">
      <c r="D133" s="7" t="s">
        <v>27</v>
      </c>
      <c r="E133" s="56">
        <v>0</v>
      </c>
      <c r="F133" s="56">
        <v>0</v>
      </c>
      <c r="G133" s="56">
        <v>1</v>
      </c>
      <c r="H133" s="56">
        <v>0</v>
      </c>
      <c r="I133" s="56">
        <v>0</v>
      </c>
      <c r="J133" s="56">
        <v>0</v>
      </c>
      <c r="K133" s="107"/>
      <c r="L133" s="107"/>
      <c r="N133">
        <v>0</v>
      </c>
      <c r="O133" s="7" t="s">
        <v>25</v>
      </c>
      <c r="P133" s="108" t="s">
        <v>87</v>
      </c>
      <c r="Q133" s="108">
        <v>0</v>
      </c>
      <c r="R133" s="108">
        <v>0</v>
      </c>
      <c r="S133" s="108">
        <v>0</v>
      </c>
      <c r="T133" s="108">
        <v>0</v>
      </c>
      <c r="U133" s="108">
        <v>0</v>
      </c>
      <c r="V133" s="108">
        <v>0</v>
      </c>
      <c r="W133" s="108">
        <v>0</v>
      </c>
      <c r="X133" s="108">
        <v>0</v>
      </c>
      <c r="Z133"/>
      <c r="AA133"/>
      <c r="AB133"/>
      <c r="AC133"/>
      <c r="AD133"/>
    </row>
    <row r="134" spans="2:30" x14ac:dyDescent="0.25">
      <c r="D134" s="7" t="s">
        <v>28</v>
      </c>
      <c r="E134" s="56">
        <v>1</v>
      </c>
      <c r="F134" s="56">
        <v>0</v>
      </c>
      <c r="G134" s="56">
        <v>0</v>
      </c>
      <c r="H134" s="56">
        <v>0</v>
      </c>
      <c r="I134" s="56">
        <v>0</v>
      </c>
      <c r="J134" s="56">
        <v>0</v>
      </c>
      <c r="K134" s="56"/>
      <c r="L134" s="56"/>
      <c r="N134" s="90">
        <v>1</v>
      </c>
      <c r="O134" s="7" t="s">
        <v>26</v>
      </c>
      <c r="P134" s="108">
        <v>2</v>
      </c>
      <c r="Q134" s="108">
        <v>0</v>
      </c>
      <c r="R134" s="108">
        <v>0</v>
      </c>
      <c r="S134" s="108">
        <v>0</v>
      </c>
      <c r="T134" s="108">
        <v>3</v>
      </c>
      <c r="U134" s="108">
        <v>0</v>
      </c>
      <c r="V134" s="108">
        <v>0</v>
      </c>
      <c r="W134" s="108">
        <v>0</v>
      </c>
      <c r="X134" s="108">
        <v>0</v>
      </c>
      <c r="Z134"/>
      <c r="AA134"/>
    </row>
    <row r="135" spans="2:30" x14ac:dyDescent="0.25">
      <c r="D135" s="7" t="s">
        <v>29</v>
      </c>
      <c r="E135" s="56">
        <v>1</v>
      </c>
      <c r="F135" s="56">
        <v>0</v>
      </c>
      <c r="G135" s="56">
        <v>0</v>
      </c>
      <c r="H135" s="56">
        <v>0</v>
      </c>
      <c r="I135" s="56">
        <v>0</v>
      </c>
      <c r="J135" s="56">
        <v>0</v>
      </c>
      <c r="K135" s="56"/>
      <c r="L135" s="56"/>
      <c r="N135">
        <v>2</v>
      </c>
      <c r="O135" s="7" t="s">
        <v>27</v>
      </c>
      <c r="P135" s="108">
        <v>3</v>
      </c>
      <c r="Q135" s="108">
        <v>0</v>
      </c>
      <c r="R135" s="108">
        <v>0</v>
      </c>
      <c r="S135" s="108">
        <v>0</v>
      </c>
      <c r="T135" s="108">
        <v>0</v>
      </c>
      <c r="U135" s="108">
        <v>0</v>
      </c>
      <c r="V135" s="108">
        <v>0</v>
      </c>
      <c r="W135" s="108">
        <v>0</v>
      </c>
      <c r="X135" s="108">
        <v>0</v>
      </c>
      <c r="Z135"/>
      <c r="AA135"/>
    </row>
    <row r="136" spans="2:30" x14ac:dyDescent="0.25">
      <c r="D136" s="7" t="s">
        <v>30</v>
      </c>
      <c r="E136" s="56">
        <v>0</v>
      </c>
      <c r="F136" s="56">
        <v>0</v>
      </c>
      <c r="G136" s="56">
        <v>0</v>
      </c>
      <c r="H136" s="56">
        <v>1</v>
      </c>
      <c r="I136" s="56">
        <v>0</v>
      </c>
      <c r="J136" s="56">
        <v>0</v>
      </c>
      <c r="K136" s="56"/>
      <c r="L136" s="56"/>
      <c r="N136">
        <v>3</v>
      </c>
      <c r="O136" s="7" t="s">
        <v>28</v>
      </c>
      <c r="P136" s="108">
        <v>0</v>
      </c>
      <c r="Q136" s="108">
        <v>0</v>
      </c>
      <c r="R136" s="108">
        <v>0</v>
      </c>
      <c r="S136" s="108">
        <v>0</v>
      </c>
      <c r="T136" s="108">
        <v>0</v>
      </c>
      <c r="U136" s="108">
        <v>0</v>
      </c>
      <c r="V136" s="108">
        <v>0</v>
      </c>
      <c r="W136" s="108">
        <v>0</v>
      </c>
      <c r="X136" s="108">
        <v>0</v>
      </c>
      <c r="Z136"/>
      <c r="AA136"/>
    </row>
    <row r="137" spans="2:30" x14ac:dyDescent="0.25">
      <c r="D137" s="7" t="s">
        <v>31</v>
      </c>
      <c r="E137" s="56">
        <v>0</v>
      </c>
      <c r="F137" s="56">
        <v>0</v>
      </c>
      <c r="G137" s="56">
        <v>0</v>
      </c>
      <c r="H137" s="56">
        <v>0</v>
      </c>
      <c r="I137" s="56">
        <v>1</v>
      </c>
      <c r="J137" s="56">
        <v>0</v>
      </c>
      <c r="K137" s="56"/>
      <c r="L137" s="56"/>
      <c r="N137">
        <v>4</v>
      </c>
      <c r="O137" s="7" t="s">
        <v>29</v>
      </c>
      <c r="P137" s="108">
        <v>0</v>
      </c>
      <c r="Q137" s="108">
        <v>0</v>
      </c>
      <c r="R137" s="108">
        <v>0</v>
      </c>
      <c r="S137" s="108">
        <v>0</v>
      </c>
      <c r="T137" s="108">
        <v>0</v>
      </c>
      <c r="U137" s="108">
        <v>0</v>
      </c>
      <c r="V137" s="108">
        <v>0</v>
      </c>
      <c r="W137" s="108">
        <v>0</v>
      </c>
      <c r="X137" s="108">
        <v>0</v>
      </c>
      <c r="Z137"/>
      <c r="AA137"/>
    </row>
    <row r="138" spans="2:30" x14ac:dyDescent="0.25">
      <c r="D138" s="7" t="s">
        <v>32</v>
      </c>
      <c r="E138" s="56">
        <v>0</v>
      </c>
      <c r="F138" s="56">
        <v>1</v>
      </c>
      <c r="G138" s="56">
        <v>0</v>
      </c>
      <c r="H138" s="56">
        <v>0</v>
      </c>
      <c r="I138" s="56">
        <v>0</v>
      </c>
      <c r="J138" s="56">
        <v>0</v>
      </c>
      <c r="K138" s="56"/>
      <c r="L138" s="56"/>
      <c r="N138">
        <v>5</v>
      </c>
      <c r="O138" s="7" t="s">
        <v>30</v>
      </c>
      <c r="P138" s="108">
        <v>0</v>
      </c>
      <c r="Q138" s="108">
        <v>2</v>
      </c>
      <c r="R138" s="108">
        <v>0</v>
      </c>
      <c r="S138" s="108">
        <v>0</v>
      </c>
      <c r="T138" s="108">
        <v>1</v>
      </c>
      <c r="U138" s="108">
        <v>0</v>
      </c>
      <c r="V138" s="108">
        <v>0</v>
      </c>
      <c r="W138" s="108">
        <v>0</v>
      </c>
      <c r="X138" s="108">
        <v>0</v>
      </c>
      <c r="Z138"/>
      <c r="AA138"/>
    </row>
    <row r="139" spans="2:30" x14ac:dyDescent="0.25">
      <c r="D139" s="7" t="s">
        <v>33</v>
      </c>
      <c r="E139" s="56">
        <v>0</v>
      </c>
      <c r="F139" s="56">
        <v>0</v>
      </c>
      <c r="G139" s="56">
        <v>0</v>
      </c>
      <c r="H139" s="56">
        <v>0</v>
      </c>
      <c r="I139" s="56">
        <v>0</v>
      </c>
      <c r="J139" s="56">
        <v>1</v>
      </c>
      <c r="K139" s="56"/>
      <c r="L139" s="56"/>
      <c r="N139">
        <v>6</v>
      </c>
      <c r="O139" s="7" t="s">
        <v>31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</v>
      </c>
      <c r="V139" s="3">
        <v>0</v>
      </c>
      <c r="W139" s="3">
        <v>0</v>
      </c>
      <c r="X139" s="3">
        <v>0</v>
      </c>
      <c r="Z139"/>
      <c r="AA139"/>
    </row>
    <row r="140" spans="2:30" x14ac:dyDescent="0.25">
      <c r="C140" s="10" t="s">
        <v>34</v>
      </c>
      <c r="N140">
        <v>7</v>
      </c>
      <c r="O140" s="7" t="s">
        <v>32</v>
      </c>
      <c r="P140" s="3">
        <v>2</v>
      </c>
      <c r="Q140" s="3">
        <v>0</v>
      </c>
      <c r="R140" s="3">
        <v>0</v>
      </c>
      <c r="S140" s="3">
        <v>0</v>
      </c>
      <c r="T140" s="3">
        <v>3</v>
      </c>
      <c r="U140" s="3">
        <v>0</v>
      </c>
      <c r="V140" s="3">
        <v>0</v>
      </c>
      <c r="W140" s="3">
        <v>0</v>
      </c>
      <c r="X140" s="3">
        <v>0</v>
      </c>
      <c r="Y140" s="1"/>
    </row>
    <row r="141" spans="2:30" x14ac:dyDescent="0.25">
      <c r="D141" s="1">
        <v>0</v>
      </c>
      <c r="E141" s="109">
        <v>1</v>
      </c>
      <c r="F141" s="1">
        <v>2</v>
      </c>
      <c r="G141" s="109">
        <v>3</v>
      </c>
      <c r="H141" s="1">
        <v>4</v>
      </c>
      <c r="I141" s="109">
        <v>5</v>
      </c>
      <c r="J141" s="1">
        <v>6</v>
      </c>
      <c r="K141" s="109">
        <v>7</v>
      </c>
      <c r="L141" s="1">
        <v>8</v>
      </c>
      <c r="N141">
        <v>8</v>
      </c>
      <c r="O141" s="7" t="s">
        <v>33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1"/>
    </row>
    <row r="142" spans="2:30" x14ac:dyDescent="0.25">
      <c r="B142">
        <v>0</v>
      </c>
      <c r="C142" s="7" t="s">
        <v>37</v>
      </c>
      <c r="D142" s="7" t="s">
        <v>25</v>
      </c>
      <c r="E142" s="51" t="s">
        <v>26</v>
      </c>
      <c r="F142" s="52" t="s">
        <v>27</v>
      </c>
      <c r="G142" s="52" t="s">
        <v>28</v>
      </c>
      <c r="H142" s="53" t="s">
        <v>29</v>
      </c>
      <c r="I142" s="51" t="s">
        <v>30</v>
      </c>
      <c r="J142" s="52" t="s">
        <v>31</v>
      </c>
      <c r="K142" s="52" t="s">
        <v>32</v>
      </c>
      <c r="L142" s="54" t="s">
        <v>33</v>
      </c>
    </row>
    <row r="143" spans="2:30" x14ac:dyDescent="0.25">
      <c r="B143">
        <v>1</v>
      </c>
      <c r="C143" s="7" t="s">
        <v>1</v>
      </c>
      <c r="D143" s="56">
        <v>0</v>
      </c>
      <c r="E143" s="56">
        <v>0</v>
      </c>
      <c r="F143" s="57">
        <v>0</v>
      </c>
      <c r="G143" s="58">
        <v>0</v>
      </c>
      <c r="H143" s="56">
        <v>0</v>
      </c>
      <c r="I143" s="56">
        <v>0</v>
      </c>
      <c r="J143" s="57">
        <v>0</v>
      </c>
      <c r="K143" s="59">
        <v>0</v>
      </c>
      <c r="L143" s="58">
        <v>0</v>
      </c>
    </row>
    <row r="144" spans="2:30" x14ac:dyDescent="0.25">
      <c r="B144">
        <v>2</v>
      </c>
      <c r="C144" s="7" t="s">
        <v>3</v>
      </c>
      <c r="D144" s="56">
        <v>2</v>
      </c>
      <c r="E144" s="56">
        <v>0</v>
      </c>
      <c r="F144" s="61">
        <v>0</v>
      </c>
      <c r="G144" s="62">
        <v>0</v>
      </c>
      <c r="H144" s="56">
        <v>3</v>
      </c>
      <c r="I144" s="56">
        <v>0</v>
      </c>
      <c r="J144" s="61">
        <v>0</v>
      </c>
      <c r="K144" s="63">
        <v>0</v>
      </c>
      <c r="L144" s="64">
        <v>0</v>
      </c>
      <c r="P144" t="s">
        <v>69</v>
      </c>
    </row>
    <row r="145" spans="2:16" x14ac:dyDescent="0.25">
      <c r="B145">
        <v>3</v>
      </c>
      <c r="C145" s="7" t="s">
        <v>10</v>
      </c>
      <c r="D145" s="56">
        <v>3</v>
      </c>
      <c r="E145" s="56">
        <v>0</v>
      </c>
      <c r="F145" s="61">
        <v>0</v>
      </c>
      <c r="G145" s="62">
        <v>0</v>
      </c>
      <c r="H145" s="56">
        <v>0</v>
      </c>
      <c r="I145" s="56">
        <v>0</v>
      </c>
      <c r="J145" s="61">
        <v>0</v>
      </c>
      <c r="K145" s="63">
        <v>0</v>
      </c>
      <c r="L145" s="64">
        <v>0</v>
      </c>
      <c r="P145" t="s">
        <v>70</v>
      </c>
    </row>
    <row r="146" spans="2:16" x14ac:dyDescent="0.25">
      <c r="B146">
        <v>4</v>
      </c>
      <c r="C146" s="7" t="s">
        <v>11</v>
      </c>
      <c r="D146" s="56">
        <v>0</v>
      </c>
      <c r="E146" s="56">
        <v>2</v>
      </c>
      <c r="F146" s="61">
        <v>0</v>
      </c>
      <c r="G146" s="64">
        <v>0</v>
      </c>
      <c r="H146" s="56">
        <v>1</v>
      </c>
      <c r="I146" s="56">
        <v>0</v>
      </c>
      <c r="J146" s="61">
        <v>0</v>
      </c>
      <c r="K146" s="63">
        <v>0</v>
      </c>
      <c r="L146" s="62">
        <v>0</v>
      </c>
      <c r="P146" t="s">
        <v>71</v>
      </c>
    </row>
    <row r="147" spans="2:16" x14ac:dyDescent="0.25">
      <c r="B147">
        <v>5</v>
      </c>
      <c r="C147" s="7" t="s">
        <v>12</v>
      </c>
      <c r="D147" s="56">
        <v>0</v>
      </c>
      <c r="E147" s="56">
        <v>0</v>
      </c>
      <c r="F147" s="61">
        <v>0</v>
      </c>
      <c r="G147" s="64">
        <v>0</v>
      </c>
      <c r="H147" s="56">
        <v>0</v>
      </c>
      <c r="I147" s="56">
        <v>1</v>
      </c>
      <c r="J147" s="61">
        <v>0</v>
      </c>
      <c r="K147" s="65">
        <v>0</v>
      </c>
      <c r="L147" s="64">
        <v>0</v>
      </c>
    </row>
    <row r="148" spans="2:16" x14ac:dyDescent="0.25">
      <c r="B148">
        <v>6</v>
      </c>
      <c r="C148" s="7" t="s">
        <v>13</v>
      </c>
      <c r="D148" s="56">
        <v>0</v>
      </c>
      <c r="E148" s="56">
        <v>1</v>
      </c>
      <c r="F148" s="66">
        <v>0</v>
      </c>
      <c r="G148" s="64">
        <v>0</v>
      </c>
      <c r="H148" s="56">
        <v>0</v>
      </c>
      <c r="I148" s="56">
        <v>0</v>
      </c>
      <c r="J148" s="61">
        <v>0</v>
      </c>
      <c r="K148" s="63">
        <v>0</v>
      </c>
      <c r="L148" s="64">
        <v>0</v>
      </c>
    </row>
    <row r="150" spans="2:16" x14ac:dyDescent="0.25">
      <c r="C150" s="67" t="s">
        <v>39</v>
      </c>
    </row>
    <row r="151" spans="2:16" x14ac:dyDescent="0.25">
      <c r="D151" s="109">
        <v>0</v>
      </c>
      <c r="E151" s="110">
        <v>1</v>
      </c>
      <c r="F151" s="109">
        <v>2</v>
      </c>
      <c r="G151" s="56">
        <v>3</v>
      </c>
      <c r="H151" s="109">
        <v>4</v>
      </c>
      <c r="I151" s="56">
        <v>5</v>
      </c>
      <c r="J151" s="109">
        <v>6</v>
      </c>
      <c r="K151" s="56">
        <v>7</v>
      </c>
      <c r="L151" s="109">
        <v>8</v>
      </c>
    </row>
    <row r="152" spans="2:16" x14ac:dyDescent="0.25">
      <c r="C152" s="7" t="s">
        <v>40</v>
      </c>
      <c r="D152" s="7" t="s">
        <v>25</v>
      </c>
      <c r="E152" s="7" t="s">
        <v>26</v>
      </c>
      <c r="F152" s="7" t="s">
        <v>27</v>
      </c>
      <c r="G152" s="7" t="s">
        <v>28</v>
      </c>
      <c r="H152" s="7" t="s">
        <v>29</v>
      </c>
      <c r="I152" s="7" t="s">
        <v>30</v>
      </c>
      <c r="J152" s="7" t="s">
        <v>31</v>
      </c>
      <c r="K152" s="7" t="s">
        <v>32</v>
      </c>
      <c r="L152" s="7" t="s">
        <v>33</v>
      </c>
    </row>
    <row r="153" spans="2:16" x14ac:dyDescent="0.25">
      <c r="B153">
        <v>0</v>
      </c>
      <c r="C153" s="7" t="s">
        <v>1</v>
      </c>
      <c r="D153" s="56">
        <v>1</v>
      </c>
      <c r="E153" s="56">
        <v>0</v>
      </c>
      <c r="F153" s="56">
        <v>0</v>
      </c>
      <c r="G153" s="56">
        <v>1</v>
      </c>
      <c r="H153" s="56">
        <v>1</v>
      </c>
      <c r="I153" s="56">
        <v>0</v>
      </c>
      <c r="J153" s="56">
        <v>0</v>
      </c>
      <c r="K153" s="56">
        <v>0</v>
      </c>
      <c r="L153" s="56">
        <v>0</v>
      </c>
    </row>
    <row r="154" spans="2:16" x14ac:dyDescent="0.25">
      <c r="B154" s="111">
        <v>1</v>
      </c>
      <c r="C154" s="7" t="s">
        <v>3</v>
      </c>
      <c r="D154" s="56">
        <v>0</v>
      </c>
      <c r="E154" s="112">
        <v>1</v>
      </c>
      <c r="F154" s="56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1</v>
      </c>
      <c r="L154" s="56">
        <v>0</v>
      </c>
    </row>
    <row r="155" spans="2:16" x14ac:dyDescent="0.25">
      <c r="B155">
        <v>2</v>
      </c>
      <c r="C155" s="7" t="s">
        <v>10</v>
      </c>
      <c r="D155" s="56">
        <v>0</v>
      </c>
      <c r="E155" s="56">
        <v>0</v>
      </c>
      <c r="F155" s="56">
        <v>1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</row>
    <row r="156" spans="2:16" x14ac:dyDescent="0.25">
      <c r="B156">
        <v>3</v>
      </c>
      <c r="C156" s="7" t="s">
        <v>11</v>
      </c>
      <c r="D156" s="56">
        <v>0</v>
      </c>
      <c r="E156" s="56">
        <v>0</v>
      </c>
      <c r="F156" s="56">
        <v>0</v>
      </c>
      <c r="G156" s="56">
        <v>0</v>
      </c>
      <c r="H156" s="56">
        <v>0</v>
      </c>
      <c r="I156" s="56">
        <v>1</v>
      </c>
      <c r="J156" s="56">
        <v>0</v>
      </c>
      <c r="K156" s="56">
        <v>0</v>
      </c>
      <c r="L156" s="56">
        <v>0</v>
      </c>
    </row>
    <row r="157" spans="2:16" x14ac:dyDescent="0.25">
      <c r="B157">
        <v>4</v>
      </c>
      <c r="C157" s="7" t="s">
        <v>12</v>
      </c>
      <c r="D157" s="56">
        <v>0</v>
      </c>
      <c r="E157" s="56">
        <v>0</v>
      </c>
      <c r="F157" s="56">
        <v>0</v>
      </c>
      <c r="G157" s="56">
        <v>0</v>
      </c>
      <c r="H157" s="56">
        <v>0</v>
      </c>
      <c r="I157" s="56">
        <v>0</v>
      </c>
      <c r="J157" s="56">
        <v>1</v>
      </c>
      <c r="K157" s="56">
        <v>0</v>
      </c>
      <c r="L157" s="56">
        <v>0</v>
      </c>
    </row>
    <row r="158" spans="2:16" x14ac:dyDescent="0.25">
      <c r="B158">
        <v>5</v>
      </c>
      <c r="C158" s="7" t="s">
        <v>13</v>
      </c>
      <c r="D158" s="56">
        <v>0</v>
      </c>
      <c r="E158" s="56">
        <v>0</v>
      </c>
      <c r="F158" s="56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1</v>
      </c>
    </row>
  </sheetData>
  <sheetProtection selectLockedCells="1" selectUnlockedCells="1"/>
  <mergeCells count="10">
    <mergeCell ref="M34:M37"/>
    <mergeCell ref="M38:M39"/>
    <mergeCell ref="M40:M45"/>
    <mergeCell ref="M46:M50"/>
    <mergeCell ref="C1:L1"/>
    <mergeCell ref="C16:D16"/>
    <mergeCell ref="E16:G16"/>
    <mergeCell ref="M16:N16"/>
    <mergeCell ref="M29:M33"/>
    <mergeCell ref="E6:G6"/>
  </mergeCells>
  <conditionalFormatting sqref="P64:X72">
    <cfRule type="cellIs" dxfId="0" priority="1" stopIfTrue="1" operator="greaterThan">
      <formula>0</formula>
    </cfRule>
  </conditionalFormatting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zoomScaleNormal="100" workbookViewId="0">
      <selection activeCell="L5" sqref="L5"/>
    </sheetView>
  </sheetViews>
  <sheetFormatPr baseColWidth="10" defaultColWidth="7.28515625" defaultRowHeight="15" x14ac:dyDescent="0.25"/>
  <cols>
    <col min="1" max="1" width="5.5703125" customWidth="1"/>
    <col min="5" max="10" width="8" customWidth="1"/>
    <col min="11" max="11" width="10.5703125" customWidth="1"/>
    <col min="12" max="12" width="9.5703125" customWidth="1"/>
    <col min="13" max="13" width="10.5703125" customWidth="1"/>
    <col min="14" max="14" width="11.28515625" bestFit="1" customWidth="1"/>
    <col min="15" max="15" width="10.5703125" customWidth="1"/>
    <col min="16" max="16" width="11.28515625" bestFit="1" customWidth="1"/>
  </cols>
  <sheetData>
    <row r="1" spans="1:20" x14ac:dyDescent="0.25">
      <c r="A1" s="16" t="s">
        <v>78</v>
      </c>
    </row>
    <row r="2" spans="1:20" ht="15.75" thickBot="1" x14ac:dyDescent="0.3">
      <c r="B2" s="1"/>
      <c r="C2" s="1"/>
      <c r="D2" s="1"/>
      <c r="E2" s="234" t="s">
        <v>72</v>
      </c>
      <c r="F2" s="234"/>
      <c r="G2" s="234"/>
      <c r="H2" s="234" t="s">
        <v>121</v>
      </c>
      <c r="I2" s="234"/>
      <c r="J2" s="234"/>
      <c r="K2" s="234" t="s">
        <v>122</v>
      </c>
      <c r="L2" s="234"/>
      <c r="M2" s="234"/>
      <c r="N2" s="234" t="s">
        <v>75</v>
      </c>
      <c r="O2" s="234"/>
      <c r="P2" s="234"/>
      <c r="R2" s="113"/>
      <c r="S2" s="114"/>
      <c r="T2" s="115"/>
    </row>
    <row r="3" spans="1:20" ht="15.75" thickBot="1" x14ac:dyDescent="0.3">
      <c r="A3" s="116" t="s">
        <v>21</v>
      </c>
      <c r="B3" s="117" t="s">
        <v>1</v>
      </c>
      <c r="C3" s="118" t="s">
        <v>76</v>
      </c>
      <c r="D3" s="118" t="s">
        <v>77</v>
      </c>
      <c r="E3" s="119" t="s">
        <v>25</v>
      </c>
      <c r="F3" s="120" t="s">
        <v>28</v>
      </c>
      <c r="G3" s="121" t="s">
        <v>29</v>
      </c>
      <c r="H3" s="123" t="s">
        <v>25</v>
      </c>
      <c r="I3" s="124" t="s">
        <v>28</v>
      </c>
      <c r="J3" s="125" t="s">
        <v>29</v>
      </c>
      <c r="K3" s="123" t="s">
        <v>25</v>
      </c>
      <c r="L3" s="124" t="s">
        <v>28</v>
      </c>
      <c r="M3" s="125" t="s">
        <v>29</v>
      </c>
      <c r="N3" s="123" t="s">
        <v>25</v>
      </c>
      <c r="O3" s="124" t="s">
        <v>28</v>
      </c>
      <c r="P3" s="125" t="s">
        <v>29</v>
      </c>
      <c r="R3" s="113"/>
      <c r="S3" s="10"/>
      <c r="T3" s="126"/>
    </row>
    <row r="4" spans="1:20" x14ac:dyDescent="0.25">
      <c r="A4" s="116">
        <v>6</v>
      </c>
      <c r="B4" s="118">
        <v>1</v>
      </c>
      <c r="C4" s="126">
        <v>0</v>
      </c>
      <c r="D4" s="55"/>
      <c r="E4" s="127">
        <v>0</v>
      </c>
      <c r="F4" s="128">
        <v>0</v>
      </c>
      <c r="G4" s="130">
        <v>0</v>
      </c>
      <c r="H4" s="209">
        <f>IF(E4&gt;0,Planteamiento!$M$18,0)</f>
        <v>0</v>
      </c>
      <c r="I4" s="210">
        <f>IF(F4&gt;0,Planteamiento!$M$21,0)</f>
        <v>0</v>
      </c>
      <c r="J4" s="211">
        <f>IF(G4&gt;0,Planteamiento!$M$22,0)</f>
        <v>0</v>
      </c>
      <c r="K4" s="209">
        <f>E4*Planteamiento!$N$18</f>
        <v>0</v>
      </c>
      <c r="L4" s="210">
        <f>F4*Planteamiento!$N$21</f>
        <v>0</v>
      </c>
      <c r="M4" s="211">
        <f>G4*Planteamiento!$N$22</f>
        <v>0</v>
      </c>
      <c r="N4" s="130">
        <f>H4+K4</f>
        <v>0</v>
      </c>
      <c r="O4" s="130">
        <f t="shared" ref="O4:O13" si="0">I4+L4</f>
        <v>0</v>
      </c>
      <c r="P4" s="129">
        <f t="shared" ref="P4:P13" si="1">J4+M4</f>
        <v>0</v>
      </c>
      <c r="R4" s="113"/>
      <c r="S4" s="10"/>
      <c r="T4" s="48"/>
    </row>
    <row r="5" spans="1:20" x14ac:dyDescent="0.25">
      <c r="A5" s="116">
        <v>5</v>
      </c>
      <c r="B5" s="118">
        <v>2</v>
      </c>
      <c r="C5" s="126">
        <v>0</v>
      </c>
      <c r="D5" s="55"/>
      <c r="E5" s="131">
        <v>0</v>
      </c>
      <c r="F5" s="132">
        <f>C9</f>
        <v>0</v>
      </c>
      <c r="G5" s="134">
        <v>0</v>
      </c>
      <c r="H5" s="212">
        <f>IF(E5&gt;0,Planteamiento!$M$18,0)</f>
        <v>0</v>
      </c>
      <c r="I5" s="134">
        <f>IF(F5&gt;0,Planteamiento!$M$21,0)</f>
        <v>0</v>
      </c>
      <c r="J5" s="213">
        <f>IF(G5&gt;0,Planteamiento!$M$22,0)</f>
        <v>0</v>
      </c>
      <c r="K5" s="212">
        <f>E5*Planteamiento!$N$18</f>
        <v>0</v>
      </c>
      <c r="L5" s="134">
        <f>F5*Planteamiento!$N$21</f>
        <v>0</v>
      </c>
      <c r="M5" s="213">
        <f>G5*Planteamiento!$N$22</f>
        <v>0</v>
      </c>
      <c r="N5" s="134">
        <f t="shared" ref="N5:N13" si="2">H5+K5</f>
        <v>0</v>
      </c>
      <c r="O5" s="134">
        <f t="shared" si="0"/>
        <v>0</v>
      </c>
      <c r="P5" s="133">
        <f t="shared" si="1"/>
        <v>0</v>
      </c>
      <c r="R5" s="113"/>
      <c r="S5" s="10"/>
      <c r="T5" s="48"/>
    </row>
    <row r="6" spans="1:20" x14ac:dyDescent="0.25">
      <c r="A6" s="116">
        <v>4</v>
      </c>
      <c r="B6" s="118">
        <v>3</v>
      </c>
      <c r="C6" s="126">
        <v>0</v>
      </c>
      <c r="D6" s="55"/>
      <c r="E6" s="131">
        <v>0</v>
      </c>
      <c r="F6" s="132">
        <f>C11</f>
        <v>0</v>
      </c>
      <c r="G6" s="134">
        <v>0</v>
      </c>
      <c r="H6" s="212">
        <f>IF(E6&gt;0,Planteamiento!$M$18,0)</f>
        <v>0</v>
      </c>
      <c r="I6" s="134">
        <f>IF(F6&gt;0,Planteamiento!$M$21,0)</f>
        <v>0</v>
      </c>
      <c r="J6" s="213">
        <f>IF(G6&gt;0,Planteamiento!$M$22,0)</f>
        <v>0</v>
      </c>
      <c r="K6" s="212">
        <f>E6*Planteamiento!$N$18</f>
        <v>0</v>
      </c>
      <c r="L6" s="134">
        <f>F6*Planteamiento!$N$21</f>
        <v>0</v>
      </c>
      <c r="M6" s="213">
        <f>G6*Planteamiento!$N$22</f>
        <v>0</v>
      </c>
      <c r="N6" s="134">
        <f t="shared" si="2"/>
        <v>0</v>
      </c>
      <c r="O6" s="134">
        <f t="shared" si="0"/>
        <v>0</v>
      </c>
      <c r="P6" s="133">
        <f t="shared" si="1"/>
        <v>0</v>
      </c>
      <c r="R6" s="113"/>
      <c r="S6" s="114"/>
      <c r="T6" s="115"/>
    </row>
    <row r="7" spans="1:20" x14ac:dyDescent="0.25">
      <c r="A7" s="116">
        <v>3</v>
      </c>
      <c r="B7" s="118">
        <v>4</v>
      </c>
      <c r="C7" s="126">
        <v>0</v>
      </c>
      <c r="D7" s="55"/>
      <c r="E7" s="135">
        <f>C8</f>
        <v>600</v>
      </c>
      <c r="F7" s="132">
        <f>C12</f>
        <v>0</v>
      </c>
      <c r="G7" s="132">
        <f>C8</f>
        <v>600</v>
      </c>
      <c r="H7" s="212">
        <f>IF(E7&gt;0,Planteamiento!$M$18,0)</f>
        <v>10050</v>
      </c>
      <c r="I7" s="134">
        <f>IF(F7&gt;0,Planteamiento!$M$21,0)</f>
        <v>0</v>
      </c>
      <c r="J7" s="213">
        <f>IF(G7&gt;0,Planteamiento!$M$22,0)</f>
        <v>19650</v>
      </c>
      <c r="K7" s="212">
        <f>E7*Planteamiento!$N$18</f>
        <v>4800</v>
      </c>
      <c r="L7" s="134">
        <f>F7*Planteamiento!$N$21</f>
        <v>0</v>
      </c>
      <c r="M7" s="213">
        <f>G7*Planteamiento!$N$22</f>
        <v>6150</v>
      </c>
      <c r="N7" s="134">
        <f>H7+K7</f>
        <v>14850</v>
      </c>
      <c r="O7" s="134">
        <f t="shared" si="0"/>
        <v>0</v>
      </c>
      <c r="P7" s="133">
        <f>J7+M7</f>
        <v>25800</v>
      </c>
      <c r="R7" s="113"/>
      <c r="S7" s="10"/>
      <c r="T7" s="48"/>
    </row>
    <row r="8" spans="1:20" x14ac:dyDescent="0.25">
      <c r="A8" s="116">
        <v>2</v>
      </c>
      <c r="B8" s="118">
        <v>5</v>
      </c>
      <c r="C8" s="138">
        <v>600</v>
      </c>
      <c r="D8" s="55"/>
      <c r="E8" s="135">
        <v>0</v>
      </c>
      <c r="F8" s="132">
        <f>C13</f>
        <v>0</v>
      </c>
      <c r="G8" s="208">
        <v>0</v>
      </c>
      <c r="H8" s="212">
        <f>IF(E8&gt;0,Planteamiento!$M$18,0)</f>
        <v>0</v>
      </c>
      <c r="I8" s="134">
        <f>IF(F8&gt;0,Planteamiento!$M$21,0)</f>
        <v>0</v>
      </c>
      <c r="J8" s="213">
        <f>IF(G8&gt;0,Planteamiento!$M$22,0)</f>
        <v>0</v>
      </c>
      <c r="K8" s="212">
        <f>E8*Planteamiento!$N$18</f>
        <v>0</v>
      </c>
      <c r="L8" s="134">
        <f>F8*Planteamiento!$N$21</f>
        <v>0</v>
      </c>
      <c r="M8" s="213">
        <f>G8*Planteamiento!$N$22</f>
        <v>0</v>
      </c>
      <c r="N8" s="134">
        <f t="shared" si="2"/>
        <v>0</v>
      </c>
      <c r="O8" s="134">
        <f>I8+L8</f>
        <v>0</v>
      </c>
      <c r="P8" s="133">
        <f t="shared" si="1"/>
        <v>0</v>
      </c>
      <c r="R8" s="113"/>
      <c r="S8" s="114"/>
      <c r="T8" s="115"/>
    </row>
    <row r="9" spans="1:20" x14ac:dyDescent="0.25">
      <c r="A9" s="116">
        <v>1</v>
      </c>
      <c r="B9" s="118">
        <v>6</v>
      </c>
      <c r="C9" s="138">
        <v>0</v>
      </c>
      <c r="D9" s="1"/>
      <c r="E9" s="131">
        <f>C9</f>
        <v>0</v>
      </c>
      <c r="F9" s="134">
        <v>0</v>
      </c>
      <c r="G9" s="134">
        <f>C9</f>
        <v>0</v>
      </c>
      <c r="H9" s="212">
        <f>IF(E9&gt;0,Planteamiento!$M$18,0)</f>
        <v>0</v>
      </c>
      <c r="I9" s="134">
        <f>IF(F9&gt;0,Planteamiento!$M$21,0)</f>
        <v>0</v>
      </c>
      <c r="J9" s="213">
        <f>IF(G9&gt;0,Planteamiento!$M$22,0)</f>
        <v>0</v>
      </c>
      <c r="K9" s="212">
        <f>E9*Planteamiento!$N$18</f>
        <v>0</v>
      </c>
      <c r="L9" s="134">
        <f>F9*Planteamiento!$N$21</f>
        <v>0</v>
      </c>
      <c r="M9" s="213">
        <f>G9*Planteamiento!$N$22</f>
        <v>0</v>
      </c>
      <c r="N9" s="134">
        <f>H9+K9</f>
        <v>0</v>
      </c>
      <c r="O9" s="134">
        <f t="shared" si="0"/>
        <v>0</v>
      </c>
      <c r="P9" s="133">
        <f>J9+M9</f>
        <v>0</v>
      </c>
      <c r="R9" s="113"/>
      <c r="S9" s="10"/>
      <c r="T9" s="126"/>
    </row>
    <row r="10" spans="1:20" x14ac:dyDescent="0.25">
      <c r="A10" s="136"/>
      <c r="B10" s="137">
        <v>7</v>
      </c>
      <c r="C10" s="138">
        <v>0</v>
      </c>
      <c r="D10" s="1"/>
      <c r="E10" s="131">
        <f>C11</f>
        <v>0</v>
      </c>
      <c r="F10" s="134">
        <v>0</v>
      </c>
      <c r="G10" s="134">
        <f>C11</f>
        <v>0</v>
      </c>
      <c r="H10" s="212">
        <f>IF(E10&gt;0,Planteamiento!$M$18,0)</f>
        <v>0</v>
      </c>
      <c r="I10" s="134">
        <f>IF(F10&gt;0,Planteamiento!$M$21,0)</f>
        <v>0</v>
      </c>
      <c r="J10" s="213">
        <f>IF(G10&gt;0,Planteamiento!$M$22,0)</f>
        <v>0</v>
      </c>
      <c r="K10" s="212">
        <f>E10*Planteamiento!$N$18</f>
        <v>0</v>
      </c>
      <c r="L10" s="134">
        <f>F10*Planteamiento!$N$21</f>
        <v>0</v>
      </c>
      <c r="M10" s="213">
        <f>G10*Planteamiento!$N$22</f>
        <v>0</v>
      </c>
      <c r="N10" s="134">
        <f t="shared" si="2"/>
        <v>0</v>
      </c>
      <c r="O10" s="134">
        <f t="shared" si="0"/>
        <v>0</v>
      </c>
      <c r="P10" s="133">
        <f t="shared" si="1"/>
        <v>0</v>
      </c>
      <c r="R10" s="113"/>
      <c r="S10" s="10"/>
      <c r="T10" s="48"/>
    </row>
    <row r="11" spans="1:20" x14ac:dyDescent="0.25">
      <c r="A11" s="136"/>
      <c r="B11" s="139">
        <v>8</v>
      </c>
      <c r="C11" s="138">
        <v>0</v>
      </c>
      <c r="D11" s="1"/>
      <c r="E11" s="131">
        <f>C12</f>
        <v>0</v>
      </c>
      <c r="F11" s="134">
        <v>0</v>
      </c>
      <c r="G11" s="134">
        <f>C12</f>
        <v>0</v>
      </c>
      <c r="H11" s="212">
        <f>IF(E11&gt;0,Planteamiento!$M$18,0)</f>
        <v>0</v>
      </c>
      <c r="I11" s="134">
        <f>IF(F11&gt;0,Planteamiento!$M$21,0)</f>
        <v>0</v>
      </c>
      <c r="J11" s="213">
        <f>IF(G11&gt;0,Planteamiento!$M$22,0)</f>
        <v>0</v>
      </c>
      <c r="K11" s="212">
        <f>E11*Planteamiento!$N$18</f>
        <v>0</v>
      </c>
      <c r="L11" s="134">
        <f>F11*Planteamiento!$N$21</f>
        <v>0</v>
      </c>
      <c r="M11" s="213">
        <f>G11*Planteamiento!$N$22</f>
        <v>0</v>
      </c>
      <c r="N11" s="134">
        <f t="shared" si="2"/>
        <v>0</v>
      </c>
      <c r="O11" s="134">
        <f t="shared" si="0"/>
        <v>0</v>
      </c>
      <c r="P11" s="133">
        <f t="shared" si="1"/>
        <v>0</v>
      </c>
      <c r="R11" s="113"/>
      <c r="S11" s="10"/>
      <c r="T11" s="48"/>
    </row>
    <row r="12" spans="1:20" x14ac:dyDescent="0.25">
      <c r="A12" s="136"/>
      <c r="B12" s="140">
        <v>9</v>
      </c>
      <c r="C12" s="138">
        <v>0</v>
      </c>
      <c r="D12" s="1"/>
      <c r="E12" s="131">
        <f>C13</f>
        <v>0</v>
      </c>
      <c r="F12" s="134">
        <v>0</v>
      </c>
      <c r="G12" s="134">
        <f>C13</f>
        <v>0</v>
      </c>
      <c r="H12" s="212">
        <f>IF(E12&gt;0,Planteamiento!$M$18,0)</f>
        <v>0</v>
      </c>
      <c r="I12" s="134">
        <f>IF(F12&gt;0,Planteamiento!$M$21,0)</f>
        <v>0</v>
      </c>
      <c r="J12" s="213">
        <f>IF(G12&gt;0,Planteamiento!$M$22,0)</f>
        <v>0</v>
      </c>
      <c r="K12" s="212">
        <f>E12*Planteamiento!$N$18</f>
        <v>0</v>
      </c>
      <c r="L12" s="134">
        <f>F12*Planteamiento!$N$21</f>
        <v>0</v>
      </c>
      <c r="M12" s="213">
        <f>G12*Planteamiento!$N$22</f>
        <v>0</v>
      </c>
      <c r="N12" s="134">
        <f t="shared" si="2"/>
        <v>0</v>
      </c>
      <c r="O12" s="134">
        <f t="shared" si="0"/>
        <v>0</v>
      </c>
      <c r="P12" s="133">
        <f t="shared" si="1"/>
        <v>0</v>
      </c>
      <c r="R12" s="113"/>
      <c r="S12" s="10"/>
      <c r="T12" s="68"/>
    </row>
    <row r="13" spans="1:20" ht="15.75" thickBot="1" x14ac:dyDescent="0.3">
      <c r="A13" s="136"/>
      <c r="B13" s="141">
        <v>10</v>
      </c>
      <c r="C13" s="138">
        <v>0</v>
      </c>
      <c r="D13" s="1"/>
      <c r="E13" s="142">
        <v>0</v>
      </c>
      <c r="F13" s="143">
        <v>0</v>
      </c>
      <c r="G13" s="143">
        <v>0</v>
      </c>
      <c r="H13" s="214">
        <f>IF(E13&gt;0,Planteamiento!$M$18,0)</f>
        <v>0</v>
      </c>
      <c r="I13" s="215">
        <f>IF(F13&gt;0,Planteamiento!$M$21,0)</f>
        <v>0</v>
      </c>
      <c r="J13" s="216">
        <f>IF(G13&gt;0,Planteamiento!$M$22,0)</f>
        <v>0</v>
      </c>
      <c r="K13" s="214">
        <f>E13*Planteamiento!$N$18</f>
        <v>0</v>
      </c>
      <c r="L13" s="215">
        <f>F13*Planteamiento!$N$21</f>
        <v>0</v>
      </c>
      <c r="M13" s="216">
        <f>G13*Planteamiento!$N$22</f>
        <v>0</v>
      </c>
      <c r="N13" s="143">
        <f t="shared" si="2"/>
        <v>0</v>
      </c>
      <c r="O13" s="143">
        <f t="shared" si="0"/>
        <v>0</v>
      </c>
      <c r="P13" s="144">
        <f t="shared" si="1"/>
        <v>0</v>
      </c>
    </row>
    <row r="14" spans="1:20" x14ac:dyDescent="0.25">
      <c r="B14" s="55"/>
      <c r="D14" s="1"/>
      <c r="N14" s="145">
        <f>SUM(N4:N13)</f>
        <v>14850</v>
      </c>
      <c r="O14" s="145">
        <f>SUM(O4:O13)</f>
        <v>0</v>
      </c>
      <c r="P14" s="145">
        <f>SUM(P4:P13)</f>
        <v>25800</v>
      </c>
    </row>
    <row r="17" spans="1:18" x14ac:dyDescent="0.25">
      <c r="A17" s="16" t="s">
        <v>78</v>
      </c>
    </row>
    <row r="18" spans="1:18" x14ac:dyDescent="0.25">
      <c r="B18" s="1"/>
      <c r="C18" s="1"/>
      <c r="D18" s="1"/>
      <c r="E18" s="234" t="s">
        <v>72</v>
      </c>
      <c r="F18" s="234"/>
      <c r="G18" s="234"/>
      <c r="H18" s="234" t="s">
        <v>73</v>
      </c>
      <c r="I18" s="234"/>
      <c r="J18" s="234"/>
      <c r="K18" s="234" t="s">
        <v>74</v>
      </c>
      <c r="L18" s="234"/>
      <c r="M18" s="234"/>
      <c r="N18" s="234" t="s">
        <v>75</v>
      </c>
      <c r="O18" s="234"/>
      <c r="P18" s="234"/>
      <c r="R18" s="145"/>
    </row>
    <row r="19" spans="1:18" x14ac:dyDescent="0.25">
      <c r="A19" s="116" t="s">
        <v>21</v>
      </c>
      <c r="B19" s="117" t="s">
        <v>1</v>
      </c>
      <c r="C19" s="118" t="s">
        <v>76</v>
      </c>
      <c r="D19" s="118" t="s">
        <v>77</v>
      </c>
      <c r="E19" s="119" t="s">
        <v>25</v>
      </c>
      <c r="F19" s="120" t="s">
        <v>28</v>
      </c>
      <c r="G19" s="121" t="s">
        <v>29</v>
      </c>
      <c r="H19" s="123" t="s">
        <v>25</v>
      </c>
      <c r="I19" s="124" t="s">
        <v>28</v>
      </c>
      <c r="J19" s="125" t="s">
        <v>29</v>
      </c>
      <c r="K19" s="123" t="s">
        <v>25</v>
      </c>
      <c r="L19" s="124" t="s">
        <v>28</v>
      </c>
      <c r="M19" s="125" t="s">
        <v>29</v>
      </c>
      <c r="N19" s="123" t="s">
        <v>25</v>
      </c>
      <c r="O19" s="124" t="s">
        <v>28</v>
      </c>
      <c r="P19" s="125" t="s">
        <v>29</v>
      </c>
    </row>
    <row r="20" spans="1:18" x14ac:dyDescent="0.25">
      <c r="A20" s="116">
        <v>6</v>
      </c>
      <c r="B20" s="118">
        <v>1</v>
      </c>
      <c r="C20" s="126">
        <v>0</v>
      </c>
      <c r="D20" s="55"/>
      <c r="E20" s="127">
        <v>0</v>
      </c>
      <c r="F20" s="130">
        <v>0</v>
      </c>
      <c r="G20" s="129">
        <v>0</v>
      </c>
      <c r="H20" s="127">
        <f>IF(E20&gt;0,Planteamiento!$M$18,0)</f>
        <v>0</v>
      </c>
      <c r="I20" s="130">
        <f>IF(F20&gt;0,Planteamiento!$M$21,0)</f>
        <v>0</v>
      </c>
      <c r="J20" s="130">
        <f>IF(G20&gt;0,Planteamiento!$M$22,0)</f>
        <v>0</v>
      </c>
      <c r="K20" s="146">
        <f>E20*Planteamiento!$N$18</f>
        <v>0</v>
      </c>
      <c r="L20" s="147">
        <f>F20*Planteamiento!$N$21</f>
        <v>0</v>
      </c>
      <c r="M20" s="147">
        <f>G20*Planteamiento!$N$22</f>
        <v>0</v>
      </c>
      <c r="N20" s="146">
        <f t="shared" ref="N20:N30" si="3">H20+K20</f>
        <v>0</v>
      </c>
      <c r="O20" s="147">
        <f t="shared" ref="O20:O30" si="4">I20+L20</f>
        <v>0</v>
      </c>
      <c r="P20" s="148">
        <f t="shared" ref="P20:P30" si="5">J20+M20</f>
        <v>0</v>
      </c>
    </row>
    <row r="21" spans="1:18" x14ac:dyDescent="0.25">
      <c r="A21" s="116">
        <v>5</v>
      </c>
      <c r="B21" s="118">
        <v>2</v>
      </c>
      <c r="C21" s="126">
        <v>0</v>
      </c>
      <c r="D21" s="55"/>
      <c r="E21" s="131">
        <v>0</v>
      </c>
      <c r="F21" s="134">
        <f>+C26</f>
        <v>100</v>
      </c>
      <c r="G21" s="133">
        <v>0</v>
      </c>
      <c r="H21" s="131">
        <f>IF(E21&gt;0,Planteamiento!$M$18,0)</f>
        <v>0</v>
      </c>
      <c r="I21" s="134">
        <f>IF(F21&gt;0,Planteamiento!$M$21,0)</f>
        <v>18000</v>
      </c>
      <c r="J21" s="134">
        <f>IF(G21&gt;0,Planteamiento!$M$22,0)</f>
        <v>0</v>
      </c>
      <c r="K21" s="149">
        <f>E21*Planteamiento!$N$18</f>
        <v>0</v>
      </c>
      <c r="L21" s="150">
        <f>F21*Planteamiento!$N$21</f>
        <v>50</v>
      </c>
      <c r="M21" s="150">
        <f>G21*Planteamiento!$N$22</f>
        <v>0</v>
      </c>
      <c r="N21" s="149">
        <f t="shared" si="3"/>
        <v>0</v>
      </c>
      <c r="O21" s="180">
        <f>I21+L21</f>
        <v>18050</v>
      </c>
      <c r="P21" s="151">
        <f t="shared" si="5"/>
        <v>0</v>
      </c>
    </row>
    <row r="22" spans="1:18" x14ac:dyDescent="0.25">
      <c r="A22" s="116">
        <v>4</v>
      </c>
      <c r="B22" s="118">
        <v>3</v>
      </c>
      <c r="C22" s="126">
        <v>0</v>
      </c>
      <c r="D22" s="55"/>
      <c r="E22" s="131">
        <v>0</v>
      </c>
      <c r="F22" s="134">
        <f>C27</f>
        <v>300</v>
      </c>
      <c r="G22" s="133">
        <v>0</v>
      </c>
      <c r="H22" s="131">
        <f>IF(E22&gt;0,Planteamiento!$M$18,0)</f>
        <v>0</v>
      </c>
      <c r="I22" s="134">
        <f>IF(F22&gt;0,Planteamiento!$M$21,0)</f>
        <v>18000</v>
      </c>
      <c r="J22" s="134">
        <f>IF(G22&gt;0,Planteamiento!$M$22,0)</f>
        <v>0</v>
      </c>
      <c r="K22" s="149">
        <f>E22*Planteamiento!$N$18</f>
        <v>0</v>
      </c>
      <c r="L22" s="150">
        <f>F22*Planteamiento!$N$21</f>
        <v>150</v>
      </c>
      <c r="M22" s="150">
        <f>G22*Planteamiento!$N$22</f>
        <v>0</v>
      </c>
      <c r="N22" s="149">
        <f t="shared" si="3"/>
        <v>0</v>
      </c>
      <c r="O22" s="181">
        <f t="shared" si="4"/>
        <v>18150</v>
      </c>
      <c r="P22" s="151">
        <f t="shared" si="5"/>
        <v>0</v>
      </c>
    </row>
    <row r="23" spans="1:18" x14ac:dyDescent="0.25">
      <c r="A23" s="116">
        <v>3</v>
      </c>
      <c r="B23" s="118">
        <v>4</v>
      </c>
      <c r="C23" s="126">
        <v>0</v>
      </c>
      <c r="D23" s="55"/>
      <c r="E23" s="131">
        <v>0</v>
      </c>
      <c r="F23" s="134">
        <f>C28</f>
        <v>100</v>
      </c>
      <c r="G23" s="133">
        <v>0</v>
      </c>
      <c r="H23" s="131">
        <f>IF(E23&gt;0,Planteamiento!$M$18,0)</f>
        <v>0</v>
      </c>
      <c r="I23" s="134">
        <f>IF(F23&gt;0,Planteamiento!$M$21,0)</f>
        <v>18000</v>
      </c>
      <c r="J23" s="134">
        <f>IF(G23&gt;0,Planteamiento!$M$22,0)</f>
        <v>0</v>
      </c>
      <c r="K23" s="149">
        <f>E23*Planteamiento!$N$18</f>
        <v>0</v>
      </c>
      <c r="L23" s="150">
        <f>F23*Planteamiento!$N$21</f>
        <v>50</v>
      </c>
      <c r="M23" s="150">
        <f>G23*Planteamiento!$N$22</f>
        <v>0</v>
      </c>
      <c r="N23" s="149">
        <f t="shared" si="3"/>
        <v>0</v>
      </c>
      <c r="O23" s="182">
        <f t="shared" si="4"/>
        <v>18050</v>
      </c>
      <c r="P23" s="151">
        <f t="shared" si="5"/>
        <v>0</v>
      </c>
    </row>
    <row r="24" spans="1:18" x14ac:dyDescent="0.25">
      <c r="A24" s="116">
        <v>2</v>
      </c>
      <c r="B24" s="118">
        <v>5</v>
      </c>
      <c r="C24" s="126">
        <v>0</v>
      </c>
      <c r="D24" s="55"/>
      <c r="E24" s="131">
        <v>0</v>
      </c>
      <c r="F24" s="134">
        <f>C29</f>
        <v>200</v>
      </c>
      <c r="G24" s="133">
        <v>0</v>
      </c>
      <c r="H24" s="131">
        <f>IF(E24&gt;0,Planteamiento!$M$18,0)</f>
        <v>0</v>
      </c>
      <c r="I24" s="134">
        <f>IF(F24&gt;0,Planteamiento!$M$21,0)</f>
        <v>18000</v>
      </c>
      <c r="J24" s="134">
        <f>IF(G24&gt;0,Planteamiento!$M$22,0)</f>
        <v>0</v>
      </c>
      <c r="K24" s="149">
        <f>E24*Planteamiento!$N$18</f>
        <v>0</v>
      </c>
      <c r="L24" s="150">
        <f>F24*Planteamiento!$N$21</f>
        <v>100</v>
      </c>
      <c r="M24" s="150">
        <f>G24*Planteamiento!$N$22</f>
        <v>0</v>
      </c>
      <c r="N24" s="149">
        <f t="shared" si="3"/>
        <v>0</v>
      </c>
      <c r="O24" s="183">
        <f t="shared" si="4"/>
        <v>18100</v>
      </c>
      <c r="P24" s="151">
        <f t="shared" si="5"/>
        <v>0</v>
      </c>
    </row>
    <row r="25" spans="1:18" x14ac:dyDescent="0.25">
      <c r="A25" s="116">
        <v>1</v>
      </c>
      <c r="B25" s="118">
        <v>6</v>
      </c>
      <c r="C25" s="39">
        <v>0</v>
      </c>
      <c r="D25" s="1"/>
      <c r="E25" s="131">
        <f>C26</f>
        <v>100</v>
      </c>
      <c r="F25" s="134">
        <v>0</v>
      </c>
      <c r="G25" s="133">
        <f>+C26</f>
        <v>100</v>
      </c>
      <c r="H25" s="131">
        <f>IF(E25&gt;0,Planteamiento!$M$18,0)</f>
        <v>10050</v>
      </c>
      <c r="I25" s="134">
        <f>IF(F25&gt;0,Planteamiento!$M$21,0)</f>
        <v>0</v>
      </c>
      <c r="J25" s="134">
        <f>IF(G25&gt;0,Planteamiento!$M$22,0)</f>
        <v>19650</v>
      </c>
      <c r="K25" s="149">
        <f>E25*Planteamiento!$N$18</f>
        <v>800</v>
      </c>
      <c r="L25" s="150">
        <f>F25*Planteamiento!$N$21</f>
        <v>0</v>
      </c>
      <c r="M25" s="150">
        <f>G25*Planteamiento!$N$22</f>
        <v>1025</v>
      </c>
      <c r="N25" s="179">
        <f>H25+K25</f>
        <v>10850</v>
      </c>
      <c r="O25" s="150">
        <f t="shared" si="4"/>
        <v>0</v>
      </c>
      <c r="P25" s="184">
        <f>J25+M25</f>
        <v>20675</v>
      </c>
    </row>
    <row r="26" spans="1:18" x14ac:dyDescent="0.25">
      <c r="A26" s="136"/>
      <c r="B26" s="137">
        <v>7</v>
      </c>
      <c r="C26" s="138">
        <f>Planteamiento!I3-Planteamiento!G7</f>
        <v>100</v>
      </c>
      <c r="D26" s="1"/>
      <c r="E26" s="131">
        <f>C27</f>
        <v>300</v>
      </c>
      <c r="F26" s="134">
        <v>0</v>
      </c>
      <c r="G26" s="133">
        <f>C27</f>
        <v>300</v>
      </c>
      <c r="H26" s="131">
        <f>IF(E26&gt;0,Planteamiento!$M$18,0)</f>
        <v>10050</v>
      </c>
      <c r="I26" s="134">
        <f>IF(F26&gt;0,Planteamiento!$M$21,0)</f>
        <v>0</v>
      </c>
      <c r="J26" s="134">
        <f>IF(G26&gt;0,Planteamiento!$M$22,0)</f>
        <v>19650</v>
      </c>
      <c r="K26" s="149">
        <f>E26*Planteamiento!$N$18</f>
        <v>2400</v>
      </c>
      <c r="L26" s="150">
        <f>F26*Planteamiento!$N$21</f>
        <v>0</v>
      </c>
      <c r="M26" s="150">
        <f>G26*Planteamiento!$N$22</f>
        <v>3075</v>
      </c>
      <c r="N26" s="179">
        <f t="shared" si="3"/>
        <v>12450</v>
      </c>
      <c r="O26" s="150">
        <f t="shared" si="4"/>
        <v>0</v>
      </c>
      <c r="P26" s="151">
        <f t="shared" si="5"/>
        <v>22725</v>
      </c>
    </row>
    <row r="27" spans="1:18" x14ac:dyDescent="0.25">
      <c r="A27" s="136"/>
      <c r="B27" s="139">
        <v>8</v>
      </c>
      <c r="C27" s="138">
        <f>Planteamiento!J3</f>
        <v>300</v>
      </c>
      <c r="D27" s="1"/>
      <c r="E27" s="131">
        <f>C28</f>
        <v>100</v>
      </c>
      <c r="F27" s="134">
        <v>0</v>
      </c>
      <c r="G27" s="133">
        <f>C28</f>
        <v>100</v>
      </c>
      <c r="H27" s="131">
        <f>IF(E27&gt;0,Planteamiento!$M$18,0)</f>
        <v>10050</v>
      </c>
      <c r="I27" s="134">
        <f>IF(F27&gt;0,Planteamiento!$M$21,0)</f>
        <v>0</v>
      </c>
      <c r="J27" s="134">
        <f>IF(G27&gt;0,Planteamiento!$M$22,0)</f>
        <v>19650</v>
      </c>
      <c r="K27" s="149">
        <f>E27*Planteamiento!$N$18</f>
        <v>800</v>
      </c>
      <c r="L27" s="150">
        <f>F27*Planteamiento!$N$21</f>
        <v>0</v>
      </c>
      <c r="M27" s="150">
        <f>G27*Planteamiento!$N$22</f>
        <v>1025</v>
      </c>
      <c r="N27" s="179">
        <f t="shared" si="3"/>
        <v>10850</v>
      </c>
      <c r="O27" s="150">
        <f t="shared" si="4"/>
        <v>0</v>
      </c>
      <c r="P27" s="151">
        <f t="shared" si="5"/>
        <v>20675</v>
      </c>
    </row>
    <row r="28" spans="1:18" x14ac:dyDescent="0.25">
      <c r="A28" s="136"/>
      <c r="B28" s="140">
        <v>9</v>
      </c>
      <c r="C28" s="138">
        <f>Planteamiento!K3</f>
        <v>100</v>
      </c>
      <c r="D28" s="1"/>
      <c r="E28" s="131">
        <f>C29</f>
        <v>200</v>
      </c>
      <c r="F28" s="134">
        <v>0</v>
      </c>
      <c r="G28" s="133">
        <f>C29</f>
        <v>200</v>
      </c>
      <c r="H28" s="131">
        <f>IF(E28&gt;0,Planteamiento!$M$18,0)</f>
        <v>10050</v>
      </c>
      <c r="I28" s="134">
        <f>IF(F28&gt;0,Planteamiento!$M$21,0)</f>
        <v>0</v>
      </c>
      <c r="J28" s="134">
        <f>IF(G28&gt;0,Planteamiento!$M$22,0)</f>
        <v>19650</v>
      </c>
      <c r="K28" s="149">
        <f>E28*Planteamiento!$N$18</f>
        <v>1600</v>
      </c>
      <c r="L28" s="150">
        <f>F28*Planteamiento!$N$21</f>
        <v>0</v>
      </c>
      <c r="M28" s="150">
        <f>G28*Planteamiento!$N$22</f>
        <v>2050</v>
      </c>
      <c r="N28" s="179">
        <f t="shared" si="3"/>
        <v>11650</v>
      </c>
      <c r="O28" s="150">
        <f t="shared" si="4"/>
        <v>0</v>
      </c>
      <c r="P28" s="151">
        <f t="shared" si="5"/>
        <v>21700</v>
      </c>
    </row>
    <row r="29" spans="1:18" x14ac:dyDescent="0.25">
      <c r="A29" s="136"/>
      <c r="B29" s="141">
        <v>10</v>
      </c>
      <c r="C29" s="138">
        <f>Planteamiento!L3</f>
        <v>200</v>
      </c>
      <c r="D29" s="1"/>
      <c r="E29" s="131">
        <v>0</v>
      </c>
      <c r="F29" s="134">
        <v>0</v>
      </c>
      <c r="G29" s="133">
        <v>0</v>
      </c>
      <c r="H29" s="131">
        <f>IF(E29&gt;0,Planteamiento!$M$18,0)</f>
        <v>0</v>
      </c>
      <c r="I29" s="134">
        <f>IF(F29&gt;0,Planteamiento!$M$21,0)</f>
        <v>0</v>
      </c>
      <c r="J29" s="134">
        <f>IF(G29&gt;0,Planteamiento!$M$22,0)</f>
        <v>0</v>
      </c>
      <c r="K29" s="149">
        <f>E29*Planteamiento!$N$18</f>
        <v>0</v>
      </c>
      <c r="L29" s="150">
        <f>F29*Planteamiento!$N$21</f>
        <v>0</v>
      </c>
      <c r="M29" s="150">
        <f>G29*Planteamiento!$N$22</f>
        <v>0</v>
      </c>
      <c r="N29" s="149">
        <f t="shared" si="3"/>
        <v>0</v>
      </c>
      <c r="O29" s="150">
        <f t="shared" si="4"/>
        <v>0</v>
      </c>
      <c r="P29" s="151">
        <f t="shared" si="5"/>
        <v>0</v>
      </c>
    </row>
    <row r="30" spans="1:18" x14ac:dyDescent="0.25">
      <c r="B30" s="55"/>
      <c r="D30" s="1"/>
      <c r="E30" s="142">
        <v>0</v>
      </c>
      <c r="F30" s="143">
        <v>0</v>
      </c>
      <c r="G30" s="144">
        <v>0</v>
      </c>
      <c r="H30" s="142">
        <f>IF(E30&gt;0,Planteamiento!$M$18,0)</f>
        <v>0</v>
      </c>
      <c r="I30" s="143">
        <f>IF(F30&gt;0,Planteamiento!$M$21,0)</f>
        <v>0</v>
      </c>
      <c r="J30" s="143">
        <f>IF(G30&gt;0,Planteamiento!$M$22,0)</f>
        <v>0</v>
      </c>
      <c r="K30" s="152">
        <f>E30*Planteamiento!$N$18</f>
        <v>0</v>
      </c>
      <c r="L30" s="153">
        <f>F30*Planteamiento!$N$21</f>
        <v>0</v>
      </c>
      <c r="M30" s="153">
        <f>G30*Planteamiento!$N$22</f>
        <v>0</v>
      </c>
      <c r="N30" s="152">
        <f t="shared" si="3"/>
        <v>0</v>
      </c>
      <c r="O30" s="153">
        <f t="shared" si="4"/>
        <v>0</v>
      </c>
      <c r="P30" s="154">
        <f t="shared" si="5"/>
        <v>0</v>
      </c>
    </row>
    <row r="31" spans="1:18" x14ac:dyDescent="0.25">
      <c r="B31" s="55"/>
      <c r="K31" s="155"/>
      <c r="L31" s="155"/>
      <c r="M31" s="155"/>
      <c r="N31" s="156">
        <f>SUM(N20:N30)</f>
        <v>45800</v>
      </c>
      <c r="O31" s="155">
        <f>SUM(O20:O30)</f>
        <v>72350</v>
      </c>
      <c r="P31" s="155">
        <f>SUM(P20:P30)</f>
        <v>85775</v>
      </c>
    </row>
    <row r="33" spans="4:9" x14ac:dyDescent="0.25">
      <c r="D33" s="1">
        <v>7</v>
      </c>
      <c r="E33" s="1" t="s">
        <v>28</v>
      </c>
      <c r="F33" s="1" t="s">
        <v>1</v>
      </c>
      <c r="G33" s="1">
        <f>+C26</f>
        <v>100</v>
      </c>
      <c r="H33" s="1">
        <f>+O21</f>
        <v>18050</v>
      </c>
      <c r="I33" s="1">
        <f>+B21</f>
        <v>2</v>
      </c>
    </row>
    <row r="34" spans="4:9" x14ac:dyDescent="0.25">
      <c r="D34" s="1">
        <v>8</v>
      </c>
      <c r="E34" s="1" t="s">
        <v>28</v>
      </c>
      <c r="F34" s="1" t="s">
        <v>1</v>
      </c>
      <c r="G34" s="1">
        <f>+C27</f>
        <v>300</v>
      </c>
      <c r="H34" s="1">
        <f>+O22</f>
        <v>18150</v>
      </c>
      <c r="I34" s="1">
        <f>+B22</f>
        <v>3</v>
      </c>
    </row>
    <row r="35" spans="4:9" x14ac:dyDescent="0.25">
      <c r="D35" s="1">
        <v>9</v>
      </c>
      <c r="E35" s="1" t="s">
        <v>28</v>
      </c>
      <c r="F35" s="1" t="s">
        <v>1</v>
      </c>
      <c r="G35" s="1">
        <f>+C28</f>
        <v>100</v>
      </c>
      <c r="H35" s="1">
        <f>+O23</f>
        <v>18050</v>
      </c>
      <c r="I35" s="1">
        <f>+B23</f>
        <v>4</v>
      </c>
    </row>
    <row r="36" spans="4:9" x14ac:dyDescent="0.25">
      <c r="D36" s="1">
        <v>10</v>
      </c>
      <c r="E36" s="1" t="s">
        <v>28</v>
      </c>
      <c r="F36" s="1" t="s">
        <v>1</v>
      </c>
      <c r="G36" s="1">
        <f>+C29</f>
        <v>200</v>
      </c>
      <c r="H36" s="1">
        <f>+O24</f>
        <v>18100</v>
      </c>
      <c r="I36" s="1">
        <f>+B24</f>
        <v>5</v>
      </c>
    </row>
  </sheetData>
  <sheetProtection selectLockedCells="1" selectUnlockedCells="1"/>
  <mergeCells count="8">
    <mergeCell ref="E2:G2"/>
    <mergeCell ref="H2:J2"/>
    <mergeCell ref="K2:M2"/>
    <mergeCell ref="N2:P2"/>
    <mergeCell ref="E18:G18"/>
    <mergeCell ref="H18:J18"/>
    <mergeCell ref="K18:M18"/>
    <mergeCell ref="N18:P18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8"/>
  <sheetViews>
    <sheetView zoomScaleNormal="100" workbookViewId="0">
      <selection activeCell="C9" sqref="C9"/>
    </sheetView>
  </sheetViews>
  <sheetFormatPr baseColWidth="10" defaultColWidth="7.28515625" defaultRowHeight="15" x14ac:dyDescent="0.25"/>
  <cols>
    <col min="5" max="5" width="9.28515625" customWidth="1"/>
    <col min="6" max="6" width="14" customWidth="1"/>
    <col min="7" max="7" width="13.85546875" customWidth="1"/>
    <col min="8" max="9" width="10.5703125" customWidth="1"/>
    <col min="10" max="10" width="8" customWidth="1"/>
    <col min="11" max="11" width="5.42578125" customWidth="1"/>
    <col min="12" max="12" width="7.140625" customWidth="1"/>
    <col min="13" max="13" width="5.42578125" customWidth="1"/>
    <col min="14" max="14" width="10.42578125" customWidth="1"/>
    <col min="15" max="15" width="10.5703125" customWidth="1"/>
    <col min="16" max="16" width="8" customWidth="1"/>
  </cols>
  <sheetData>
    <row r="1" spans="1:12" x14ac:dyDescent="0.25">
      <c r="A1" s="16" t="s">
        <v>79</v>
      </c>
    </row>
    <row r="2" spans="1:12" x14ac:dyDescent="0.25">
      <c r="B2" s="1"/>
      <c r="C2" s="1"/>
      <c r="D2" s="1"/>
      <c r="E2" s="157" t="s">
        <v>72</v>
      </c>
      <c r="F2" s="157" t="s">
        <v>73</v>
      </c>
      <c r="G2" s="157" t="s">
        <v>74</v>
      </c>
      <c r="H2" s="158" t="s">
        <v>75</v>
      </c>
    </row>
    <row r="3" spans="1:12" x14ac:dyDescent="0.25">
      <c r="A3" s="116" t="s">
        <v>21</v>
      </c>
      <c r="B3" s="117" t="s">
        <v>3</v>
      </c>
      <c r="C3" s="118" t="s">
        <v>76</v>
      </c>
      <c r="D3" s="118" t="s">
        <v>77</v>
      </c>
      <c r="E3" s="119" t="s">
        <v>26</v>
      </c>
      <c r="F3" s="122" t="s">
        <v>26</v>
      </c>
      <c r="G3" s="123" t="s">
        <v>26</v>
      </c>
      <c r="H3" s="159" t="s">
        <v>26</v>
      </c>
    </row>
    <row r="4" spans="1:12" x14ac:dyDescent="0.25">
      <c r="A4" s="116">
        <v>6</v>
      </c>
      <c r="B4" s="118">
        <v>1</v>
      </c>
      <c r="C4" s="126">
        <v>0</v>
      </c>
      <c r="D4" s="55"/>
      <c r="E4" s="127">
        <v>0</v>
      </c>
      <c r="F4" s="127">
        <f>IF(E4&gt;0,Planteamiento!$C$18,0)</f>
        <v>0</v>
      </c>
      <c r="G4" s="127">
        <f>E4*Planteamiento!$D$18</f>
        <v>0</v>
      </c>
      <c r="H4" s="160">
        <f t="shared" ref="H4:H17" si="0">F4+G4</f>
        <v>0</v>
      </c>
    </row>
    <row r="5" spans="1:12" x14ac:dyDescent="0.25">
      <c r="A5" s="116">
        <v>5</v>
      </c>
      <c r="B5" s="118">
        <v>2</v>
      </c>
      <c r="C5" s="126">
        <v>0</v>
      </c>
      <c r="D5" s="55"/>
      <c r="E5" s="131">
        <v>0</v>
      </c>
      <c r="F5" s="131">
        <f>IF(E5&gt;0,Planteamiento!$C$18,0)</f>
        <v>0</v>
      </c>
      <c r="G5" s="131">
        <f>E5*Planteamiento!$D$18</f>
        <v>0</v>
      </c>
      <c r="H5" s="160">
        <f t="shared" si="0"/>
        <v>0</v>
      </c>
      <c r="K5" s="10"/>
      <c r="L5" s="48"/>
    </row>
    <row r="6" spans="1:12" x14ac:dyDescent="0.25">
      <c r="A6" s="116">
        <v>4</v>
      </c>
      <c r="B6" s="118">
        <v>3</v>
      </c>
      <c r="C6" s="126">
        <v>0</v>
      </c>
      <c r="D6" s="55"/>
      <c r="E6" s="131">
        <v>0</v>
      </c>
      <c r="F6" s="131">
        <f>IF(E6&gt;0,Planteamiento!$C$18,0)</f>
        <v>0</v>
      </c>
      <c r="G6" s="131">
        <f>E6*Planteamiento!$D$18</f>
        <v>0</v>
      </c>
      <c r="H6" s="160">
        <f t="shared" si="0"/>
        <v>0</v>
      </c>
    </row>
    <row r="7" spans="1:12" x14ac:dyDescent="0.25">
      <c r="A7" s="116">
        <v>3</v>
      </c>
      <c r="B7" s="118">
        <v>4</v>
      </c>
      <c r="C7" s="126">
        <v>0</v>
      </c>
      <c r="D7" s="55"/>
      <c r="E7" s="135">
        <f>C9</f>
        <v>600</v>
      </c>
      <c r="F7" s="131">
        <f>IF(E7&gt;0,Planteamiento!$C$18,0)</f>
        <v>2000</v>
      </c>
      <c r="G7" s="131">
        <f>E7*Planteamiento!$D$18</f>
        <v>1200</v>
      </c>
      <c r="H7" s="161">
        <f t="shared" si="0"/>
        <v>3200</v>
      </c>
    </row>
    <row r="8" spans="1:12" x14ac:dyDescent="0.25">
      <c r="A8" s="116">
        <v>2</v>
      </c>
      <c r="B8" s="118">
        <v>5</v>
      </c>
      <c r="C8" s="126">
        <v>0</v>
      </c>
      <c r="D8" s="55"/>
      <c r="E8" s="135">
        <f>C10</f>
        <v>600</v>
      </c>
      <c r="F8" s="131">
        <f>IF(E8&gt;0,Planteamiento!$C$18,0)</f>
        <v>2000</v>
      </c>
      <c r="G8" s="131">
        <f>E8*Planteamiento!$D$18</f>
        <v>1200</v>
      </c>
      <c r="H8" s="162">
        <f t="shared" si="0"/>
        <v>3200</v>
      </c>
    </row>
    <row r="9" spans="1:12" x14ac:dyDescent="0.25">
      <c r="A9" s="116">
        <v>1</v>
      </c>
      <c r="B9" s="118">
        <v>6</v>
      </c>
      <c r="C9" s="138">
        <f>Planteamiento!$I$3*Planteamiento!$C$32</f>
        <v>600</v>
      </c>
      <c r="D9" s="1"/>
      <c r="E9" s="135">
        <f>C11</f>
        <v>200</v>
      </c>
      <c r="F9" s="131">
        <f>IF(E9&gt;0,Planteamiento!$C$18,0)</f>
        <v>2000</v>
      </c>
      <c r="G9" s="131">
        <f>E9*Planteamiento!$D$18</f>
        <v>400</v>
      </c>
      <c r="H9" s="163">
        <f t="shared" si="0"/>
        <v>2400</v>
      </c>
    </row>
    <row r="10" spans="1:12" x14ac:dyDescent="0.25">
      <c r="A10" s="136"/>
      <c r="B10" s="137">
        <v>7</v>
      </c>
      <c r="C10" s="138">
        <f>Planteamiento!$J$3*Planteamiento!$C$32</f>
        <v>600</v>
      </c>
      <c r="D10" s="1"/>
      <c r="E10" s="135">
        <f>C12</f>
        <v>400</v>
      </c>
      <c r="F10" s="131">
        <f>IF(E10&gt;0,Planteamiento!$C$18,0)</f>
        <v>2000</v>
      </c>
      <c r="G10" s="131">
        <f>E10*Planteamiento!$D$18</f>
        <v>800</v>
      </c>
      <c r="H10" s="164">
        <f t="shared" si="0"/>
        <v>2800</v>
      </c>
    </row>
    <row r="11" spans="1:12" x14ac:dyDescent="0.25">
      <c r="A11" s="136"/>
      <c r="B11" s="139">
        <v>8</v>
      </c>
      <c r="C11" s="138">
        <f>Planteamiento!$K$3*Planteamiento!$C$32</f>
        <v>200</v>
      </c>
      <c r="D11" s="1"/>
      <c r="E11" s="131">
        <v>0</v>
      </c>
      <c r="F11" s="131">
        <f>IF(E11&gt;0,Planteamiento!$C$18,0)</f>
        <v>0</v>
      </c>
      <c r="G11" s="131">
        <f>E11*Planteamiento!$D$18</f>
        <v>0</v>
      </c>
      <c r="H11" s="160">
        <f t="shared" si="0"/>
        <v>0</v>
      </c>
    </row>
    <row r="12" spans="1:12" x14ac:dyDescent="0.25">
      <c r="A12" s="136"/>
      <c r="B12" s="140">
        <v>9</v>
      </c>
      <c r="C12" s="138">
        <f>Planteamiento!$L$3*Planteamiento!$C$32</f>
        <v>400</v>
      </c>
      <c r="D12" s="1"/>
      <c r="E12" s="131">
        <v>0</v>
      </c>
      <c r="F12" s="131">
        <f>IF(E12&gt;0,Planteamiento!$C$18,0)</f>
        <v>0</v>
      </c>
      <c r="G12" s="131">
        <f>E12*Planteamiento!$D$18</f>
        <v>0</v>
      </c>
      <c r="H12" s="160">
        <f t="shared" si="0"/>
        <v>0</v>
      </c>
    </row>
    <row r="13" spans="1:12" x14ac:dyDescent="0.25">
      <c r="A13" s="136"/>
      <c r="B13" s="141">
        <v>10</v>
      </c>
      <c r="C13">
        <v>0</v>
      </c>
      <c r="D13" s="1"/>
      <c r="E13" s="131">
        <v>0</v>
      </c>
      <c r="F13" s="131">
        <f>IF(E13&gt;0,Planteamiento!$C$18,0)</f>
        <v>0</v>
      </c>
      <c r="G13" s="131">
        <f>E13*Planteamiento!$D$18</f>
        <v>0</v>
      </c>
      <c r="H13" s="160">
        <f t="shared" si="0"/>
        <v>0</v>
      </c>
    </row>
    <row r="14" spans="1:12" x14ac:dyDescent="0.25">
      <c r="A14" s="9"/>
      <c r="B14" s="55"/>
      <c r="D14" s="1"/>
      <c r="E14" s="131">
        <v>0</v>
      </c>
      <c r="F14" s="131">
        <f>IF(E14&gt;0,Planteamiento!$C$18,0)</f>
        <v>0</v>
      </c>
      <c r="G14" s="131">
        <f>E14*Planteamiento!$D$18</f>
        <v>0</v>
      </c>
      <c r="H14" s="160">
        <f t="shared" si="0"/>
        <v>0</v>
      </c>
    </row>
    <row r="15" spans="1:12" x14ac:dyDescent="0.25">
      <c r="B15" s="55"/>
      <c r="D15" s="1"/>
      <c r="E15" s="131">
        <v>0</v>
      </c>
      <c r="F15" s="131">
        <f>IF(E15&gt;0,Planteamiento!$C$18,0)</f>
        <v>0</v>
      </c>
      <c r="G15" s="131">
        <f>E15*Planteamiento!$D$18</f>
        <v>0</v>
      </c>
      <c r="H15" s="160">
        <f t="shared" si="0"/>
        <v>0</v>
      </c>
    </row>
    <row r="16" spans="1:12" x14ac:dyDescent="0.25">
      <c r="B16" s="55"/>
      <c r="D16" s="1"/>
      <c r="E16" s="131">
        <v>0</v>
      </c>
      <c r="F16" s="131">
        <f>IF(E16&gt;0,Planteamiento!$C$18,0)</f>
        <v>0</v>
      </c>
      <c r="G16" s="131">
        <f>E16*Planteamiento!$D$18</f>
        <v>0</v>
      </c>
      <c r="H16" s="160">
        <f t="shared" si="0"/>
        <v>0</v>
      </c>
    </row>
    <row r="17" spans="1:10" x14ac:dyDescent="0.25">
      <c r="B17" s="55"/>
      <c r="D17" s="1"/>
      <c r="E17" s="142">
        <v>0</v>
      </c>
      <c r="F17" s="142">
        <f>IF(E17&gt;0,Planteamiento!$C$18,0)</f>
        <v>0</v>
      </c>
      <c r="G17" s="142">
        <f>E17*Planteamiento!$D$18</f>
        <v>0</v>
      </c>
      <c r="H17" s="165">
        <f t="shared" si="0"/>
        <v>0</v>
      </c>
    </row>
    <row r="18" spans="1:10" x14ac:dyDescent="0.25">
      <c r="F18" t="s">
        <v>80</v>
      </c>
      <c r="H18" s="145">
        <f>H7+H8+H9+H10</f>
        <v>11600</v>
      </c>
    </row>
    <row r="20" spans="1:10" x14ac:dyDescent="0.25">
      <c r="A20" s="16" t="s">
        <v>81</v>
      </c>
    </row>
    <row r="21" spans="1:10" x14ac:dyDescent="0.25">
      <c r="B21" s="1"/>
      <c r="C21" s="1"/>
      <c r="D21" s="1"/>
      <c r="E21" s="157" t="s">
        <v>72</v>
      </c>
      <c r="F21" s="157" t="s">
        <v>73</v>
      </c>
      <c r="G21" s="157" t="s">
        <v>74</v>
      </c>
      <c r="H21" s="166" t="s">
        <v>75</v>
      </c>
    </row>
    <row r="22" spans="1:10" x14ac:dyDescent="0.25">
      <c r="A22" s="116" t="s">
        <v>21</v>
      </c>
      <c r="B22" s="117" t="s">
        <v>10</v>
      </c>
      <c r="C22" s="118" t="s">
        <v>76</v>
      </c>
      <c r="D22" s="118" t="s">
        <v>77</v>
      </c>
      <c r="E22" s="119" t="s">
        <v>27</v>
      </c>
      <c r="F22" s="122" t="s">
        <v>27</v>
      </c>
      <c r="G22" s="123" t="s">
        <v>27</v>
      </c>
      <c r="H22" s="167" t="s">
        <v>27</v>
      </c>
    </row>
    <row r="23" spans="1:10" x14ac:dyDescent="0.25">
      <c r="A23" s="116">
        <v>6</v>
      </c>
      <c r="B23" s="118">
        <v>1</v>
      </c>
      <c r="C23" s="126">
        <v>0</v>
      </c>
      <c r="D23" s="55"/>
      <c r="E23" s="127">
        <v>0</v>
      </c>
      <c r="F23" s="127">
        <f>IF(E23&gt;0,Planteamiento!$M$18,0)</f>
        <v>0</v>
      </c>
      <c r="G23" s="127">
        <f>E23*Planteamiento!$N$18</f>
        <v>0</v>
      </c>
      <c r="H23" s="168">
        <f t="shared" ref="H23:H36" si="1">F23+G23</f>
        <v>0</v>
      </c>
    </row>
    <row r="24" spans="1:10" x14ac:dyDescent="0.25">
      <c r="A24" s="116">
        <v>5</v>
      </c>
      <c r="B24" s="118">
        <v>2</v>
      </c>
      <c r="C24" s="126">
        <v>0</v>
      </c>
      <c r="D24" s="55"/>
      <c r="E24" s="131">
        <v>0</v>
      </c>
      <c r="F24" s="131">
        <f>IF(E24&gt;0,Planteamiento!$M$18,0)</f>
        <v>0</v>
      </c>
      <c r="G24" s="131">
        <f>E24*Planteamiento!$N$18</f>
        <v>0</v>
      </c>
      <c r="H24" s="160">
        <f t="shared" si="1"/>
        <v>0</v>
      </c>
    </row>
    <row r="25" spans="1:10" x14ac:dyDescent="0.25">
      <c r="A25" s="116">
        <v>4</v>
      </c>
      <c r="B25" s="118">
        <v>3</v>
      </c>
      <c r="C25" s="126">
        <v>0</v>
      </c>
      <c r="D25" s="55"/>
      <c r="E25" s="131">
        <v>0</v>
      </c>
      <c r="F25" s="131">
        <f>IF(E25&gt;0,Planteamiento!$M$18,0)</f>
        <v>0</v>
      </c>
      <c r="G25" s="131">
        <f>E25*Planteamiento!$N$18</f>
        <v>0</v>
      </c>
      <c r="H25" s="160">
        <f t="shared" si="1"/>
        <v>0</v>
      </c>
    </row>
    <row r="26" spans="1:10" x14ac:dyDescent="0.25">
      <c r="A26" s="116">
        <v>3</v>
      </c>
      <c r="B26" s="118">
        <v>4</v>
      </c>
      <c r="C26" s="126">
        <v>0</v>
      </c>
      <c r="D26" s="55"/>
      <c r="E26" s="131">
        <v>0</v>
      </c>
      <c r="F26" s="131">
        <f>IF(E26&gt;0,Planteamiento!$M$18,0)</f>
        <v>0</v>
      </c>
      <c r="G26" s="131">
        <f>E26*Planteamiento!$N$18</f>
        <v>0</v>
      </c>
      <c r="H26" s="160">
        <f t="shared" si="1"/>
        <v>0</v>
      </c>
    </row>
    <row r="27" spans="1:10" x14ac:dyDescent="0.25">
      <c r="A27" s="116">
        <v>2</v>
      </c>
      <c r="B27" s="118">
        <v>5</v>
      </c>
      <c r="C27" s="126">
        <v>0</v>
      </c>
      <c r="D27" s="55"/>
      <c r="E27" s="131">
        <f>C28</f>
        <v>900</v>
      </c>
      <c r="F27" s="131">
        <f>IF(E27&gt;0,Planteamiento!$M$18,0)</f>
        <v>10050</v>
      </c>
      <c r="G27" s="131">
        <f>E27*Planteamiento!$N$18</f>
        <v>7200</v>
      </c>
      <c r="H27" s="161">
        <f t="shared" si="1"/>
        <v>17250</v>
      </c>
      <c r="J27" s="16"/>
    </row>
    <row r="28" spans="1:10" x14ac:dyDescent="0.25">
      <c r="A28" s="116">
        <v>1</v>
      </c>
      <c r="B28" s="118">
        <v>6</v>
      </c>
      <c r="C28" s="138">
        <f>Planteamiento!$I$3*Planteamiento!$C$33</f>
        <v>900</v>
      </c>
      <c r="D28" s="1"/>
      <c r="E28" s="131">
        <f>C29</f>
        <v>900</v>
      </c>
      <c r="F28" s="131">
        <f>IF(E28&gt;0,Planteamiento!$M$18,0)</f>
        <v>10050</v>
      </c>
      <c r="G28" s="131">
        <f>E28*Planteamiento!$N$18</f>
        <v>7200</v>
      </c>
      <c r="H28" s="162">
        <f t="shared" si="1"/>
        <v>17250</v>
      </c>
    </row>
    <row r="29" spans="1:10" x14ac:dyDescent="0.25">
      <c r="A29" s="136"/>
      <c r="B29" s="137">
        <v>7</v>
      </c>
      <c r="C29" s="138">
        <f>Planteamiento!$J$3*Planteamiento!$C$33</f>
        <v>900</v>
      </c>
      <c r="D29" s="1"/>
      <c r="E29" s="131">
        <f>C30</f>
        <v>300</v>
      </c>
      <c r="F29" s="131">
        <f>IF(E29&gt;0,Planteamiento!$M$18,0)</f>
        <v>10050</v>
      </c>
      <c r="G29" s="131">
        <f>E29*Planteamiento!$N$18</f>
        <v>2400</v>
      </c>
      <c r="H29" s="163">
        <f t="shared" si="1"/>
        <v>12450</v>
      </c>
    </row>
    <row r="30" spans="1:10" x14ac:dyDescent="0.25">
      <c r="A30" s="136"/>
      <c r="B30" s="139">
        <v>8</v>
      </c>
      <c r="C30" s="138">
        <f>Planteamiento!$K$3*Planteamiento!$C$33</f>
        <v>300</v>
      </c>
      <c r="D30" s="1"/>
      <c r="E30" s="131">
        <f>C31</f>
        <v>600</v>
      </c>
      <c r="F30" s="131">
        <f>IF(E30&gt;0,Planteamiento!$M$18,0)</f>
        <v>10050</v>
      </c>
      <c r="G30" s="131">
        <f>E30*Planteamiento!$N$18</f>
        <v>4800</v>
      </c>
      <c r="H30" s="164">
        <f t="shared" si="1"/>
        <v>14850</v>
      </c>
    </row>
    <row r="31" spans="1:10" x14ac:dyDescent="0.25">
      <c r="A31" s="136"/>
      <c r="B31" s="140">
        <v>9</v>
      </c>
      <c r="C31" s="138">
        <f>Planteamiento!$L$3*Planteamiento!$C$33</f>
        <v>600</v>
      </c>
      <c r="D31" s="1"/>
      <c r="E31" s="131">
        <v>0</v>
      </c>
      <c r="F31" s="131">
        <f>IF(E31&gt;0,Planteamiento!$M$18,0)</f>
        <v>0</v>
      </c>
      <c r="G31" s="131">
        <f>E31*Planteamiento!$N$18</f>
        <v>0</v>
      </c>
      <c r="H31" s="160">
        <f t="shared" si="1"/>
        <v>0</v>
      </c>
    </row>
    <row r="32" spans="1:10" x14ac:dyDescent="0.25">
      <c r="A32" s="136"/>
      <c r="B32" s="141">
        <v>10</v>
      </c>
      <c r="D32" s="1"/>
      <c r="E32" s="131">
        <v>0</v>
      </c>
      <c r="F32" s="131">
        <f>IF(E32&gt;0,Planteamiento!$M$18,0)</f>
        <v>0</v>
      </c>
      <c r="G32" s="131">
        <f>E32*Planteamiento!$N$18</f>
        <v>0</v>
      </c>
      <c r="H32" s="160">
        <f t="shared" si="1"/>
        <v>0</v>
      </c>
    </row>
    <row r="33" spans="1:12" x14ac:dyDescent="0.25">
      <c r="B33" s="55"/>
      <c r="D33" s="1"/>
      <c r="E33" s="131">
        <v>0</v>
      </c>
      <c r="F33" s="131">
        <f>IF(E33&gt;0,Planteamiento!$M$18,0)</f>
        <v>0</v>
      </c>
      <c r="G33" s="131">
        <f>E33*Planteamiento!$N$18</f>
        <v>0</v>
      </c>
      <c r="H33" s="160">
        <f t="shared" si="1"/>
        <v>0</v>
      </c>
    </row>
    <row r="34" spans="1:12" x14ac:dyDescent="0.25">
      <c r="B34" s="55"/>
      <c r="D34" s="1"/>
      <c r="E34" s="131">
        <v>0</v>
      </c>
      <c r="F34" s="131">
        <f>IF(E34&gt;0,Planteamiento!$M$18,0)</f>
        <v>0</v>
      </c>
      <c r="G34" s="131">
        <f>E34*Planteamiento!$N$18</f>
        <v>0</v>
      </c>
      <c r="H34" s="160">
        <f t="shared" si="1"/>
        <v>0</v>
      </c>
    </row>
    <row r="35" spans="1:12" x14ac:dyDescent="0.25">
      <c r="B35" s="55"/>
      <c r="D35" s="1"/>
      <c r="E35" s="131">
        <v>0</v>
      </c>
      <c r="F35" s="131">
        <f>IF(E35&gt;0,Planteamiento!$M$18,0)</f>
        <v>0</v>
      </c>
      <c r="G35" s="131">
        <f>E35*Planteamiento!$N$18</f>
        <v>0</v>
      </c>
      <c r="H35" s="160">
        <f t="shared" si="1"/>
        <v>0</v>
      </c>
    </row>
    <row r="36" spans="1:12" x14ac:dyDescent="0.25">
      <c r="B36" s="55"/>
      <c r="D36" s="1"/>
      <c r="E36" s="142">
        <v>0</v>
      </c>
      <c r="F36" s="142">
        <f>IF(E36&gt;0,Planteamiento!$M$18,0)</f>
        <v>0</v>
      </c>
      <c r="G36" s="142">
        <f>E36*Planteamiento!$N$18</f>
        <v>0</v>
      </c>
      <c r="H36" s="165">
        <f t="shared" si="1"/>
        <v>0</v>
      </c>
    </row>
    <row r="37" spans="1:12" x14ac:dyDescent="0.25">
      <c r="G37" t="s">
        <v>80</v>
      </c>
      <c r="H37" s="145">
        <f>+H27+H28+H29+H30</f>
        <v>61800</v>
      </c>
    </row>
    <row r="38" spans="1:12" x14ac:dyDescent="0.25">
      <c r="A38" s="16" t="s">
        <v>82</v>
      </c>
      <c r="B38" s="16"/>
      <c r="C38" s="16"/>
      <c r="D38" s="169">
        <f>SUM(Planteamiento!I3:L3)</f>
        <v>900</v>
      </c>
      <c r="E38" s="16" t="s">
        <v>83</v>
      </c>
      <c r="F38" s="16"/>
      <c r="G38" s="16"/>
      <c r="H38" s="16"/>
      <c r="I38" s="16"/>
      <c r="K38" s="235">
        <f>H37+H18+'Nivel 1'!N14</f>
        <v>88250</v>
      </c>
      <c r="L38" s="235"/>
    </row>
  </sheetData>
  <sheetProtection selectLockedCells="1" selectUnlockedCells="1"/>
  <mergeCells count="1">
    <mergeCell ref="K38:L38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34" sqref="B34"/>
    </sheetView>
  </sheetViews>
  <sheetFormatPr baseColWidth="10" defaultRowHeight="15" x14ac:dyDescent="0.25"/>
  <cols>
    <col min="3" max="3" width="12" bestFit="1" customWidth="1"/>
  </cols>
  <sheetData>
    <row r="1" spans="1:22" x14ac:dyDescent="0.25">
      <c r="A1">
        <v>0</v>
      </c>
      <c r="B1">
        <v>1</v>
      </c>
      <c r="C1">
        <v>2</v>
      </c>
      <c r="E1">
        <v>0</v>
      </c>
      <c r="F1">
        <v>3</v>
      </c>
      <c r="H1">
        <f t="array" ref="H1:I2">MMULT(A1:C2,E1:F3)</f>
        <v>5</v>
      </c>
      <c r="I1">
        <v>14</v>
      </c>
      <c r="S1" s="187" t="s">
        <v>92</v>
      </c>
      <c r="T1" s="187" t="s">
        <v>93</v>
      </c>
      <c r="U1" s="187" t="s">
        <v>92</v>
      </c>
      <c r="V1" s="187" t="s">
        <v>93</v>
      </c>
    </row>
    <row r="2" spans="1:22" x14ac:dyDescent="0.25">
      <c r="A2">
        <v>3</v>
      </c>
      <c r="B2">
        <v>4</v>
      </c>
      <c r="C2">
        <v>5</v>
      </c>
      <c r="E2">
        <v>1</v>
      </c>
      <c r="F2">
        <v>4</v>
      </c>
      <c r="H2">
        <v>14</v>
      </c>
      <c r="I2">
        <v>50</v>
      </c>
      <c r="S2" s="236" t="s">
        <v>1</v>
      </c>
      <c r="T2" s="236"/>
      <c r="U2" s="236" t="s">
        <v>3</v>
      </c>
      <c r="V2" s="236"/>
    </row>
    <row r="3" spans="1:22" x14ac:dyDescent="0.25">
      <c r="E3">
        <v>2</v>
      </c>
      <c r="F3">
        <v>5</v>
      </c>
      <c r="P3" s="186" t="s">
        <v>88</v>
      </c>
      <c r="Q3" s="186" t="s">
        <v>89</v>
      </c>
      <c r="R3" s="186"/>
      <c r="S3" s="187">
        <v>6</v>
      </c>
      <c r="T3" s="187">
        <v>9</v>
      </c>
      <c r="U3" s="187">
        <v>9</v>
      </c>
      <c r="V3" s="187">
        <f>T4</f>
        <v>6</v>
      </c>
    </row>
    <row r="4" spans="1:22" x14ac:dyDescent="0.25">
      <c r="P4" s="186" t="s">
        <v>91</v>
      </c>
      <c r="Q4" s="186" t="s">
        <v>90</v>
      </c>
      <c r="R4" s="186"/>
      <c r="S4" s="187">
        <v>6</v>
      </c>
      <c r="T4" s="187">
        <v>6</v>
      </c>
      <c r="U4" s="187"/>
      <c r="V4" s="187"/>
    </row>
    <row r="5" spans="1:22" x14ac:dyDescent="0.25">
      <c r="A5" s="9"/>
      <c r="D5">
        <v>200</v>
      </c>
      <c r="E5">
        <f ca="1">RANDBETWEEN(0,1000)</f>
        <v>985</v>
      </c>
      <c r="F5">
        <f t="shared" ref="F5:M10" ca="1" si="0">RANDBETWEEN(0,1000)</f>
        <v>188</v>
      </c>
      <c r="G5">
        <f t="shared" ca="1" si="0"/>
        <v>633</v>
      </c>
      <c r="H5">
        <f t="shared" ca="1" si="0"/>
        <v>443</v>
      </c>
      <c r="I5">
        <f t="shared" ca="1" si="0"/>
        <v>390</v>
      </c>
      <c r="J5">
        <f t="shared" ca="1" si="0"/>
        <v>356</v>
      </c>
      <c r="K5">
        <f t="shared" ca="1" si="0"/>
        <v>720</v>
      </c>
      <c r="L5">
        <f t="shared" ca="1" si="0"/>
        <v>18</v>
      </c>
      <c r="M5">
        <f t="shared" ca="1" si="0"/>
        <v>863</v>
      </c>
    </row>
    <row r="6" spans="1:22" x14ac:dyDescent="0.25">
      <c r="A6" s="11"/>
      <c r="D6">
        <v>150</v>
      </c>
      <c r="E6">
        <f t="shared" ref="E6:E10" ca="1" si="1">RANDBETWEEN(0,1000)</f>
        <v>52</v>
      </c>
      <c r="F6">
        <f t="shared" ca="1" si="0"/>
        <v>661</v>
      </c>
      <c r="G6">
        <f t="shared" ca="1" si="0"/>
        <v>103</v>
      </c>
      <c r="H6">
        <f t="shared" ca="1" si="0"/>
        <v>356</v>
      </c>
      <c r="I6">
        <f t="shared" ca="1" si="0"/>
        <v>895</v>
      </c>
      <c r="J6">
        <f t="shared" ca="1" si="0"/>
        <v>263</v>
      </c>
      <c r="K6">
        <f t="shared" ca="1" si="0"/>
        <v>294</v>
      </c>
      <c r="L6">
        <f t="shared" ca="1" si="0"/>
        <v>440</v>
      </c>
      <c r="M6">
        <f t="shared" ca="1" si="0"/>
        <v>168</v>
      </c>
    </row>
    <row r="7" spans="1:22" x14ac:dyDescent="0.25">
      <c r="A7" s="11"/>
      <c r="D7">
        <v>30</v>
      </c>
      <c r="E7">
        <f t="shared" ca="1" si="1"/>
        <v>878</v>
      </c>
      <c r="F7">
        <f t="shared" ca="1" si="0"/>
        <v>88</v>
      </c>
      <c r="G7">
        <f t="shared" ca="1" si="0"/>
        <v>855</v>
      </c>
      <c r="H7">
        <f t="shared" ca="1" si="0"/>
        <v>549</v>
      </c>
      <c r="I7">
        <f t="shared" ca="1" si="0"/>
        <v>99</v>
      </c>
      <c r="J7">
        <f t="shared" ca="1" si="0"/>
        <v>32</v>
      </c>
      <c r="K7">
        <f t="shared" ca="1" si="0"/>
        <v>721</v>
      </c>
      <c r="L7">
        <f t="shared" ca="1" si="0"/>
        <v>313</v>
      </c>
      <c r="M7">
        <f t="shared" ca="1" si="0"/>
        <v>26</v>
      </c>
    </row>
    <row r="8" spans="1:22" x14ac:dyDescent="0.25">
      <c r="A8" s="11"/>
      <c r="D8">
        <v>20</v>
      </c>
      <c r="E8">
        <f t="shared" ca="1" si="1"/>
        <v>200</v>
      </c>
      <c r="F8">
        <f t="shared" ca="1" si="0"/>
        <v>659</v>
      </c>
      <c r="G8">
        <f t="shared" ca="1" si="0"/>
        <v>816</v>
      </c>
      <c r="H8">
        <f t="shared" ca="1" si="0"/>
        <v>606</v>
      </c>
      <c r="I8">
        <f t="shared" ca="1" si="0"/>
        <v>296</v>
      </c>
      <c r="J8">
        <f t="shared" ca="1" si="0"/>
        <v>642</v>
      </c>
      <c r="K8">
        <f t="shared" ca="1" si="0"/>
        <v>60</v>
      </c>
      <c r="L8">
        <f t="shared" ca="1" si="0"/>
        <v>841</v>
      </c>
      <c r="M8">
        <f t="shared" ca="1" si="0"/>
        <v>376</v>
      </c>
    </row>
    <row r="9" spans="1:22" x14ac:dyDescent="0.25">
      <c r="A9" s="11"/>
      <c r="D9">
        <v>90</v>
      </c>
      <c r="E9">
        <f t="shared" ca="1" si="1"/>
        <v>939</v>
      </c>
      <c r="F9">
        <f t="shared" ca="1" si="0"/>
        <v>283</v>
      </c>
      <c r="G9">
        <f t="shared" ca="1" si="0"/>
        <v>960</v>
      </c>
      <c r="H9">
        <f t="shared" ca="1" si="0"/>
        <v>327</v>
      </c>
      <c r="I9">
        <f t="shared" ca="1" si="0"/>
        <v>664</v>
      </c>
      <c r="J9">
        <f t="shared" ca="1" si="0"/>
        <v>227</v>
      </c>
      <c r="K9">
        <f t="shared" ca="1" si="0"/>
        <v>615</v>
      </c>
      <c r="L9">
        <f t="shared" ca="1" si="0"/>
        <v>585</v>
      </c>
      <c r="M9">
        <f t="shared" ca="1" si="0"/>
        <v>960</v>
      </c>
    </row>
    <row r="10" spans="1:22" x14ac:dyDescent="0.25">
      <c r="A10" s="14"/>
      <c r="D10">
        <v>10</v>
      </c>
      <c r="E10">
        <f t="shared" ca="1" si="1"/>
        <v>305</v>
      </c>
      <c r="F10">
        <f t="shared" ca="1" si="0"/>
        <v>630</v>
      </c>
      <c r="G10">
        <f t="shared" ca="1" si="0"/>
        <v>911</v>
      </c>
      <c r="H10">
        <f t="shared" ca="1" si="0"/>
        <v>773</v>
      </c>
      <c r="I10">
        <f t="shared" ca="1" si="0"/>
        <v>741</v>
      </c>
      <c r="J10">
        <f t="shared" ca="1" si="0"/>
        <v>229</v>
      </c>
      <c r="K10">
        <f t="shared" ca="1" si="0"/>
        <v>847</v>
      </c>
      <c r="L10">
        <f t="shared" ca="1" si="0"/>
        <v>250</v>
      </c>
      <c r="M10">
        <f t="shared" ca="1" si="0"/>
        <v>509</v>
      </c>
    </row>
    <row r="13" spans="1:22" x14ac:dyDescent="0.25">
      <c r="A13" s="41">
        <v>1</v>
      </c>
      <c r="D13">
        <f t="shared" ref="D13:D18" si="2">D5*$A13</f>
        <v>200</v>
      </c>
      <c r="E13">
        <f t="shared" ref="E13:M13" ca="1" si="3">E5*$A13</f>
        <v>985</v>
      </c>
      <c r="F13">
        <f t="shared" ca="1" si="3"/>
        <v>188</v>
      </c>
      <c r="G13">
        <f t="shared" ca="1" si="3"/>
        <v>633</v>
      </c>
      <c r="H13">
        <f t="shared" ca="1" si="3"/>
        <v>443</v>
      </c>
      <c r="I13">
        <f t="shared" ca="1" si="3"/>
        <v>390</v>
      </c>
      <c r="J13">
        <f t="shared" ca="1" si="3"/>
        <v>356</v>
      </c>
      <c r="K13">
        <f t="shared" ca="1" si="3"/>
        <v>720</v>
      </c>
      <c r="L13">
        <f t="shared" ca="1" si="3"/>
        <v>18</v>
      </c>
      <c r="M13">
        <f t="shared" ca="1" si="3"/>
        <v>863</v>
      </c>
    </row>
    <row r="14" spans="1:22" x14ac:dyDescent="0.25">
      <c r="A14" s="14">
        <v>0.5</v>
      </c>
      <c r="D14">
        <f t="shared" si="2"/>
        <v>75</v>
      </c>
      <c r="E14">
        <f t="shared" ref="E14:M14" ca="1" si="4">E6*$A14</f>
        <v>26</v>
      </c>
      <c r="F14">
        <f t="shared" ca="1" si="4"/>
        <v>330.5</v>
      </c>
      <c r="G14">
        <f t="shared" ca="1" si="4"/>
        <v>51.5</v>
      </c>
      <c r="H14">
        <f t="shared" ca="1" si="4"/>
        <v>178</v>
      </c>
      <c r="I14">
        <f t="shared" ca="1" si="4"/>
        <v>447.5</v>
      </c>
      <c r="J14">
        <f t="shared" ca="1" si="4"/>
        <v>131.5</v>
      </c>
      <c r="K14">
        <f t="shared" ca="1" si="4"/>
        <v>147</v>
      </c>
      <c r="L14">
        <f t="shared" ca="1" si="4"/>
        <v>220</v>
      </c>
      <c r="M14">
        <f t="shared" ca="1" si="4"/>
        <v>84</v>
      </c>
    </row>
    <row r="15" spans="1:22" x14ac:dyDescent="0.25">
      <c r="A15" s="14">
        <v>1</v>
      </c>
      <c r="D15">
        <f t="shared" si="2"/>
        <v>30</v>
      </c>
      <c r="E15">
        <f t="shared" ref="E15:M15" ca="1" si="5">E7*$A15</f>
        <v>878</v>
      </c>
      <c r="F15">
        <f t="shared" ca="1" si="5"/>
        <v>88</v>
      </c>
      <c r="G15">
        <f t="shared" ca="1" si="5"/>
        <v>855</v>
      </c>
      <c r="H15">
        <f t="shared" ca="1" si="5"/>
        <v>549</v>
      </c>
      <c r="I15">
        <f t="shared" ca="1" si="5"/>
        <v>99</v>
      </c>
      <c r="J15">
        <f t="shared" ca="1" si="5"/>
        <v>32</v>
      </c>
      <c r="K15">
        <f t="shared" ca="1" si="5"/>
        <v>721</v>
      </c>
      <c r="L15">
        <f t="shared" ca="1" si="5"/>
        <v>313</v>
      </c>
      <c r="M15">
        <f t="shared" ca="1" si="5"/>
        <v>26</v>
      </c>
    </row>
    <row r="16" spans="1:22" x14ac:dyDescent="0.25">
      <c r="A16" s="14">
        <v>0.1</v>
      </c>
      <c r="D16">
        <f t="shared" si="2"/>
        <v>2</v>
      </c>
      <c r="E16">
        <f t="shared" ref="E16:M16" ca="1" si="6">E8*$A16</f>
        <v>20</v>
      </c>
      <c r="F16">
        <f t="shared" ca="1" si="6"/>
        <v>65.900000000000006</v>
      </c>
      <c r="G16">
        <f t="shared" ca="1" si="6"/>
        <v>81.600000000000009</v>
      </c>
      <c r="H16">
        <f t="shared" ca="1" si="6"/>
        <v>60.6</v>
      </c>
      <c r="I16">
        <f t="shared" ca="1" si="6"/>
        <v>29.6</v>
      </c>
      <c r="J16">
        <f t="shared" ca="1" si="6"/>
        <v>64.2</v>
      </c>
      <c r="K16">
        <f t="shared" ca="1" si="6"/>
        <v>6</v>
      </c>
      <c r="L16">
        <f t="shared" ca="1" si="6"/>
        <v>84.100000000000009</v>
      </c>
      <c r="M16">
        <f t="shared" ca="1" si="6"/>
        <v>37.6</v>
      </c>
    </row>
    <row r="17" spans="1:13" x14ac:dyDescent="0.25">
      <c r="A17" s="14">
        <v>2</v>
      </c>
      <c r="D17">
        <f t="shared" si="2"/>
        <v>180</v>
      </c>
      <c r="E17">
        <f t="shared" ref="E17:M17" ca="1" si="7">E9*$A17</f>
        <v>1878</v>
      </c>
      <c r="F17">
        <f t="shared" ca="1" si="7"/>
        <v>566</v>
      </c>
      <c r="G17">
        <f t="shared" ca="1" si="7"/>
        <v>1920</v>
      </c>
      <c r="H17">
        <f t="shared" ca="1" si="7"/>
        <v>654</v>
      </c>
      <c r="I17">
        <f t="shared" ca="1" si="7"/>
        <v>1328</v>
      </c>
      <c r="J17">
        <f t="shared" ca="1" si="7"/>
        <v>454</v>
      </c>
      <c r="K17">
        <f t="shared" ca="1" si="7"/>
        <v>1230</v>
      </c>
      <c r="L17">
        <f t="shared" ca="1" si="7"/>
        <v>1170</v>
      </c>
      <c r="M17">
        <f t="shared" ca="1" si="7"/>
        <v>1920</v>
      </c>
    </row>
    <row r="18" spans="1:13" x14ac:dyDescent="0.25">
      <c r="A18" s="14">
        <v>1</v>
      </c>
      <c r="D18">
        <f t="shared" si="2"/>
        <v>10</v>
      </c>
      <c r="E18">
        <f t="shared" ref="E18:M18" ca="1" si="8">E10*$A18</f>
        <v>305</v>
      </c>
      <c r="F18">
        <f t="shared" ca="1" si="8"/>
        <v>630</v>
      </c>
      <c r="G18">
        <f t="shared" ca="1" si="8"/>
        <v>911</v>
      </c>
      <c r="H18">
        <f t="shared" ca="1" si="8"/>
        <v>773</v>
      </c>
      <c r="I18">
        <f t="shared" ca="1" si="8"/>
        <v>741</v>
      </c>
      <c r="J18">
        <f t="shared" ca="1" si="8"/>
        <v>229</v>
      </c>
      <c r="K18">
        <f t="shared" ca="1" si="8"/>
        <v>847</v>
      </c>
      <c r="L18">
        <f t="shared" ca="1" si="8"/>
        <v>250</v>
      </c>
      <c r="M18">
        <f t="shared" ca="1" si="8"/>
        <v>509</v>
      </c>
    </row>
    <row r="19" spans="1:13" x14ac:dyDescent="0.25">
      <c r="D19" s="16">
        <f>SUM(D13:D18)</f>
        <v>497</v>
      </c>
      <c r="E19" s="16">
        <f ca="1">SUM(E13:E18)</f>
        <v>4092</v>
      </c>
      <c r="F19" s="16">
        <f t="shared" ref="F19:M19" ca="1" si="9">SUM(F13:F18)</f>
        <v>1868.4</v>
      </c>
      <c r="G19" s="16">
        <f t="shared" ca="1" si="9"/>
        <v>4452.1000000000004</v>
      </c>
      <c r="H19" s="16">
        <f t="shared" ca="1" si="9"/>
        <v>2657.6</v>
      </c>
      <c r="I19" s="16">
        <f t="shared" ca="1" si="9"/>
        <v>3035.1</v>
      </c>
      <c r="J19" s="16">
        <f t="shared" ca="1" si="9"/>
        <v>1266.7</v>
      </c>
      <c r="K19" s="16">
        <f t="shared" ca="1" si="9"/>
        <v>3671</v>
      </c>
      <c r="L19" s="16">
        <f t="shared" ca="1" si="9"/>
        <v>2055.1</v>
      </c>
      <c r="M19" s="16">
        <f t="shared" ca="1" si="9"/>
        <v>3439.6</v>
      </c>
    </row>
    <row r="22" spans="1:13" x14ac:dyDescent="0.25">
      <c r="B22" t="s">
        <v>94</v>
      </c>
    </row>
    <row r="23" spans="1:13" x14ac:dyDescent="0.25">
      <c r="B23" t="s">
        <v>95</v>
      </c>
      <c r="C23">
        <f>SQRT(2*C24*C25/C26)</f>
        <v>3868.6776379877742</v>
      </c>
    </row>
    <row r="24" spans="1:13" x14ac:dyDescent="0.25">
      <c r="B24" t="s">
        <v>11</v>
      </c>
      <c r="C24">
        <f>AVERAGE(Planteamiento!C3:L3)</f>
        <v>200</v>
      </c>
    </row>
    <row r="25" spans="1:13" x14ac:dyDescent="0.25">
      <c r="B25" t="s">
        <v>96</v>
      </c>
      <c r="C25">
        <f>AVERAGE(Planteamiento!N18,Planteamiento!N21,Planteamiento!N22)</f>
        <v>6.25</v>
      </c>
    </row>
    <row r="26" spans="1:13" x14ac:dyDescent="0.25">
      <c r="B26" t="s">
        <v>97</v>
      </c>
      <c r="C26">
        <f>C27*C28</f>
        <v>1.6703786191536751E-4</v>
      </c>
    </row>
    <row r="27" spans="1:13" x14ac:dyDescent="0.25">
      <c r="B27" t="s">
        <v>50</v>
      </c>
      <c r="C27">
        <f>(Planteamiento!C8/C28)/(C24*C28)</f>
        <v>1.1160658925302952E-8</v>
      </c>
    </row>
    <row r="28" spans="1:13" x14ac:dyDescent="0.25">
      <c r="B28" t="s">
        <v>10</v>
      </c>
      <c r="C28">
        <f>Planteamiento!A3</f>
        <v>14966.666666666666</v>
      </c>
    </row>
    <row r="32" spans="1:13" x14ac:dyDescent="0.25">
      <c r="C32" s="1">
        <v>0</v>
      </c>
      <c r="D32" s="1">
        <v>1</v>
      </c>
      <c r="E32" s="1">
        <v>2</v>
      </c>
      <c r="F32" s="1">
        <v>3</v>
      </c>
      <c r="G32" s="1">
        <v>4</v>
      </c>
      <c r="H32" s="1">
        <v>5</v>
      </c>
      <c r="I32" s="1">
        <v>6</v>
      </c>
      <c r="J32" s="1">
        <v>7</v>
      </c>
      <c r="K32" s="1">
        <v>8</v>
      </c>
      <c r="L32" s="1">
        <v>9</v>
      </c>
    </row>
    <row r="33" spans="1:12" x14ac:dyDescent="0.25">
      <c r="A33">
        <v>3000</v>
      </c>
      <c r="B33" t="s">
        <v>101</v>
      </c>
      <c r="C33" s="3">
        <v>300</v>
      </c>
      <c r="D33" s="3">
        <v>600</v>
      </c>
      <c r="E33" s="3">
        <v>400</v>
      </c>
      <c r="F33" s="3">
        <v>950</v>
      </c>
      <c r="G33" s="3">
        <v>800</v>
      </c>
      <c r="H33" s="3">
        <v>300</v>
      </c>
      <c r="I33" s="4">
        <v>300</v>
      </c>
      <c r="J33" s="4">
        <v>300</v>
      </c>
      <c r="K33" s="4">
        <v>100</v>
      </c>
      <c r="L33" s="4">
        <v>200</v>
      </c>
    </row>
    <row r="34" spans="1:12" x14ac:dyDescent="0.25">
      <c r="B34" t="s">
        <v>99</v>
      </c>
      <c r="C34" s="1">
        <f>IF(C33&gt;0,A33)</f>
        <v>3000</v>
      </c>
      <c r="D34" s="1">
        <f>IF(D35&gt;0,0,$A$33)</f>
        <v>0</v>
      </c>
      <c r="E34" s="1">
        <f>IF(E35&gt;0,0,$A$33)</f>
        <v>0</v>
      </c>
      <c r="F34" s="1">
        <f>IF(F35&gt;0,0,$A$33)</f>
        <v>0</v>
      </c>
      <c r="G34" s="1">
        <v>3000</v>
      </c>
      <c r="H34" s="1">
        <f>IF(H35&gt;0,0,$A$33)</f>
        <v>0</v>
      </c>
      <c r="I34" s="1">
        <f>IF(I35&gt;0,0,$A$33)</f>
        <v>0</v>
      </c>
      <c r="J34" s="1">
        <f>IF(J35&gt;0,0,$A$33)</f>
        <v>0</v>
      </c>
      <c r="K34" s="1">
        <f>IF(K35&gt;0,0,$A$33)</f>
        <v>0</v>
      </c>
      <c r="L34" s="1">
        <f>IF(L35&gt;0,0,$A$33)</f>
        <v>0</v>
      </c>
    </row>
    <row r="35" spans="1:12" x14ac:dyDescent="0.25">
      <c r="B35" t="s">
        <v>100</v>
      </c>
      <c r="C35" s="1">
        <f>+C34-C33</f>
        <v>2700</v>
      </c>
      <c r="D35" s="1">
        <f>C35-D33</f>
        <v>2100</v>
      </c>
      <c r="E35" s="1">
        <f>D35-E33</f>
        <v>1700</v>
      </c>
      <c r="F35" s="1">
        <f>E35-F33</f>
        <v>750</v>
      </c>
      <c r="G35" s="1">
        <v>2950</v>
      </c>
      <c r="H35" s="1">
        <f>G35-H33</f>
        <v>2650</v>
      </c>
      <c r="I35" s="1">
        <f>H35-I33</f>
        <v>2350</v>
      </c>
      <c r="J35" s="1">
        <f>I35-J33</f>
        <v>2050</v>
      </c>
      <c r="K35" s="1">
        <f>J35-K33</f>
        <v>1950</v>
      </c>
      <c r="L35" s="1">
        <f>K35-L33</f>
        <v>1750</v>
      </c>
    </row>
    <row r="55" spans="1:18" x14ac:dyDescent="0.25">
      <c r="D55" s="187" t="s">
        <v>92</v>
      </c>
      <c r="E55" s="187" t="s">
        <v>93</v>
      </c>
      <c r="F55" s="187" t="s">
        <v>92</v>
      </c>
      <c r="G55" s="187" t="s">
        <v>93</v>
      </c>
    </row>
    <row r="56" spans="1:18" x14ac:dyDescent="0.25">
      <c r="D56" s="236" t="s">
        <v>1</v>
      </c>
      <c r="E56" s="236"/>
      <c r="F56" s="236" t="s">
        <v>3</v>
      </c>
      <c r="G56" s="236"/>
    </row>
    <row r="57" spans="1:18" x14ac:dyDescent="0.25">
      <c r="A57" s="186" t="s">
        <v>88</v>
      </c>
      <c r="B57" s="186" t="s">
        <v>89</v>
      </c>
      <c r="C57" s="186"/>
      <c r="D57" s="187">
        <v>6</v>
      </c>
      <c r="E57" s="187">
        <v>9</v>
      </c>
      <c r="F57" s="187">
        <v>9</v>
      </c>
      <c r="G57" s="187">
        <f>E58</f>
        <v>6</v>
      </c>
    </row>
    <row r="58" spans="1:18" x14ac:dyDescent="0.25">
      <c r="A58" s="186" t="s">
        <v>91</v>
      </c>
      <c r="B58" s="186" t="s">
        <v>90</v>
      </c>
      <c r="C58" s="186"/>
      <c r="D58" s="187">
        <v>6</v>
      </c>
      <c r="E58" s="187">
        <v>6</v>
      </c>
      <c r="F58" s="187"/>
      <c r="G58" s="187"/>
    </row>
    <row r="60" spans="1:18" x14ac:dyDescent="0.25">
      <c r="M60" s="7" t="s">
        <v>1</v>
      </c>
      <c r="N60" s="7" t="s">
        <v>3</v>
      </c>
      <c r="O60" s="7" t="s">
        <v>10</v>
      </c>
      <c r="P60" s="7" t="s">
        <v>11</v>
      </c>
      <c r="Q60" s="7" t="s">
        <v>12</v>
      </c>
      <c r="R60" s="7" t="s">
        <v>13</v>
      </c>
    </row>
    <row r="61" spans="1:18" x14ac:dyDescent="0.25">
      <c r="A61" t="s">
        <v>102</v>
      </c>
      <c r="B61" s="48">
        <v>0</v>
      </c>
      <c r="C61" s="185">
        <v>1</v>
      </c>
      <c r="D61" s="185">
        <v>2</v>
      </c>
      <c r="E61" s="185">
        <v>3</v>
      </c>
      <c r="F61" s="185">
        <v>4</v>
      </c>
      <c r="G61" s="185">
        <v>5</v>
      </c>
      <c r="H61" s="185">
        <v>6</v>
      </c>
      <c r="I61" s="185">
        <v>7</v>
      </c>
      <c r="J61" s="185">
        <v>8</v>
      </c>
      <c r="L61" s="7" t="s">
        <v>1</v>
      </c>
      <c r="M61">
        <f t="array" ref="M61:R66">MMULT(B63:J68,C73:H81)</f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7" t="s">
        <v>37</v>
      </c>
      <c r="B62" s="7" t="s">
        <v>25</v>
      </c>
      <c r="C62" s="51" t="s">
        <v>26</v>
      </c>
      <c r="D62" s="52" t="s">
        <v>27</v>
      </c>
      <c r="E62" s="52" t="s">
        <v>28</v>
      </c>
      <c r="F62" s="53" t="s">
        <v>29</v>
      </c>
      <c r="G62" s="51" t="s">
        <v>30</v>
      </c>
      <c r="H62" s="52" t="s">
        <v>31</v>
      </c>
      <c r="I62" s="52" t="s">
        <v>32</v>
      </c>
      <c r="J62" s="54" t="s">
        <v>33</v>
      </c>
      <c r="L62" s="7" t="s">
        <v>3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7" t="s">
        <v>1</v>
      </c>
      <c r="B63" s="56">
        <v>0</v>
      </c>
      <c r="C63" s="56">
        <v>0</v>
      </c>
      <c r="D63" s="57">
        <v>0</v>
      </c>
      <c r="E63" s="58">
        <v>0</v>
      </c>
      <c r="F63" s="56">
        <v>0</v>
      </c>
      <c r="G63" s="56">
        <v>0</v>
      </c>
      <c r="H63" s="57">
        <v>0</v>
      </c>
      <c r="I63" s="59">
        <v>0</v>
      </c>
      <c r="J63" s="58">
        <v>0</v>
      </c>
      <c r="L63" s="7" t="s">
        <v>10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7" t="s">
        <v>3</v>
      </c>
      <c r="B64" s="56">
        <v>2</v>
      </c>
      <c r="C64" s="56">
        <v>0</v>
      </c>
      <c r="D64" s="61">
        <v>0</v>
      </c>
      <c r="E64" s="62">
        <v>0</v>
      </c>
      <c r="F64" s="56">
        <v>3</v>
      </c>
      <c r="G64" s="56">
        <v>0</v>
      </c>
      <c r="H64" s="61">
        <v>0</v>
      </c>
      <c r="I64" s="63">
        <v>0</v>
      </c>
      <c r="J64" s="64">
        <v>0</v>
      </c>
      <c r="L64" s="7" t="s">
        <v>11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7" t="s">
        <v>10</v>
      </c>
      <c r="B65" s="56">
        <v>3</v>
      </c>
      <c r="C65" s="56">
        <v>0</v>
      </c>
      <c r="D65" s="61">
        <v>0</v>
      </c>
      <c r="E65" s="62">
        <v>0</v>
      </c>
      <c r="F65" s="56">
        <v>0</v>
      </c>
      <c r="G65" s="56">
        <v>0</v>
      </c>
      <c r="H65" s="61">
        <v>0</v>
      </c>
      <c r="I65" s="63">
        <v>0</v>
      </c>
      <c r="J65" s="64">
        <v>0</v>
      </c>
      <c r="L65" s="7" t="s">
        <v>12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 x14ac:dyDescent="0.25">
      <c r="A66" s="7" t="s">
        <v>11</v>
      </c>
      <c r="B66" s="56">
        <v>0</v>
      </c>
      <c r="C66" s="56">
        <v>2</v>
      </c>
      <c r="D66" s="61">
        <v>0</v>
      </c>
      <c r="E66" s="64">
        <v>0</v>
      </c>
      <c r="F66" s="56">
        <v>1</v>
      </c>
      <c r="G66" s="56">
        <v>0</v>
      </c>
      <c r="H66" s="61">
        <v>0</v>
      </c>
      <c r="I66" s="63">
        <v>0</v>
      </c>
      <c r="J66" s="62">
        <v>0</v>
      </c>
      <c r="L66" s="7" t="s">
        <v>13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7" t="s">
        <v>12</v>
      </c>
      <c r="B67" s="56">
        <v>0</v>
      </c>
      <c r="C67" s="56">
        <v>0</v>
      </c>
      <c r="D67" s="61">
        <v>0</v>
      </c>
      <c r="E67" s="64">
        <v>0</v>
      </c>
      <c r="F67" s="56">
        <v>0</v>
      </c>
      <c r="G67" s="56">
        <v>1</v>
      </c>
      <c r="H67" s="61">
        <v>0</v>
      </c>
      <c r="I67" s="65">
        <v>0</v>
      </c>
      <c r="J67" s="64">
        <v>0</v>
      </c>
    </row>
    <row r="68" spans="1:18" x14ac:dyDescent="0.25">
      <c r="A68" s="7" t="s">
        <v>13</v>
      </c>
      <c r="B68" s="56">
        <v>0</v>
      </c>
      <c r="C68" s="56">
        <v>1</v>
      </c>
      <c r="D68" s="66">
        <v>0</v>
      </c>
      <c r="E68" s="64">
        <v>0</v>
      </c>
      <c r="F68" s="56">
        <v>0</v>
      </c>
      <c r="G68" s="56">
        <v>0</v>
      </c>
      <c r="H68" s="61">
        <v>0</v>
      </c>
      <c r="I68" s="63">
        <v>0</v>
      </c>
      <c r="J68" s="64">
        <v>0</v>
      </c>
    </row>
    <row r="71" spans="1:18" x14ac:dyDescent="0.25">
      <c r="C71">
        <v>200</v>
      </c>
      <c r="D71">
        <v>150</v>
      </c>
      <c r="E71">
        <v>30</v>
      </c>
      <c r="F71">
        <v>20</v>
      </c>
      <c r="G71">
        <v>90</v>
      </c>
      <c r="H71">
        <v>10</v>
      </c>
    </row>
    <row r="72" spans="1:18" x14ac:dyDescent="0.25">
      <c r="A72" s="67" t="s">
        <v>39</v>
      </c>
      <c r="B72" s="7" t="s">
        <v>40</v>
      </c>
      <c r="C72" s="7" t="s">
        <v>1</v>
      </c>
      <c r="D72" s="7" t="s">
        <v>3</v>
      </c>
      <c r="E72" s="7" t="s">
        <v>10</v>
      </c>
      <c r="F72" s="7" t="s">
        <v>11</v>
      </c>
      <c r="G72" s="7" t="s">
        <v>12</v>
      </c>
      <c r="H72" s="7" t="s">
        <v>13</v>
      </c>
    </row>
    <row r="73" spans="1:18" x14ac:dyDescent="0.25">
      <c r="B73" s="7" t="s">
        <v>25</v>
      </c>
      <c r="C73" s="56">
        <v>1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</row>
    <row r="74" spans="1:18" x14ac:dyDescent="0.25">
      <c r="B74" s="7" t="s">
        <v>26</v>
      </c>
      <c r="C74" s="56">
        <v>0</v>
      </c>
      <c r="D74" s="56">
        <v>1</v>
      </c>
      <c r="E74" s="56">
        <v>0</v>
      </c>
      <c r="F74" s="56">
        <v>0</v>
      </c>
      <c r="G74" s="56">
        <v>0</v>
      </c>
      <c r="H74" s="56">
        <v>0</v>
      </c>
    </row>
    <row r="75" spans="1:18" x14ac:dyDescent="0.25">
      <c r="B75" s="7" t="s">
        <v>27</v>
      </c>
      <c r="C75" s="56">
        <v>0</v>
      </c>
      <c r="D75" s="56">
        <v>0</v>
      </c>
      <c r="E75" s="56">
        <v>1</v>
      </c>
      <c r="F75" s="56">
        <v>0</v>
      </c>
      <c r="G75" s="56">
        <v>0</v>
      </c>
      <c r="H75" s="56">
        <v>0</v>
      </c>
    </row>
    <row r="76" spans="1:18" x14ac:dyDescent="0.25">
      <c r="B76" s="7" t="s">
        <v>28</v>
      </c>
      <c r="C76" s="56">
        <v>1</v>
      </c>
      <c r="D76" s="56">
        <v>0</v>
      </c>
      <c r="E76" s="56">
        <v>0</v>
      </c>
      <c r="F76" s="56">
        <v>0</v>
      </c>
      <c r="G76" s="56">
        <v>0</v>
      </c>
      <c r="H76" s="56">
        <v>0</v>
      </c>
    </row>
    <row r="77" spans="1:18" x14ac:dyDescent="0.25">
      <c r="B77" s="7" t="s">
        <v>29</v>
      </c>
      <c r="C77" s="56">
        <v>1</v>
      </c>
      <c r="D77" s="56">
        <v>0</v>
      </c>
      <c r="E77" s="56">
        <v>0</v>
      </c>
      <c r="F77" s="56">
        <v>0</v>
      </c>
      <c r="G77" s="56">
        <v>0</v>
      </c>
      <c r="H77" s="56">
        <v>0</v>
      </c>
    </row>
    <row r="78" spans="1:18" x14ac:dyDescent="0.25">
      <c r="B78" s="7" t="s">
        <v>30</v>
      </c>
      <c r="C78" s="56">
        <v>0</v>
      </c>
      <c r="D78" s="56">
        <v>0</v>
      </c>
      <c r="E78" s="56">
        <v>0</v>
      </c>
      <c r="F78" s="56">
        <v>1</v>
      </c>
      <c r="G78" s="56">
        <v>0</v>
      </c>
      <c r="H78" s="56">
        <v>0</v>
      </c>
    </row>
    <row r="79" spans="1:18" x14ac:dyDescent="0.25">
      <c r="B79" s="7" t="s">
        <v>31</v>
      </c>
      <c r="C79" s="56">
        <v>0</v>
      </c>
      <c r="D79" s="56">
        <v>0</v>
      </c>
      <c r="E79" s="56">
        <v>0</v>
      </c>
      <c r="F79" s="56">
        <v>0</v>
      </c>
      <c r="G79" s="56">
        <v>1</v>
      </c>
      <c r="H79" s="56">
        <v>0</v>
      </c>
    </row>
    <row r="80" spans="1:18" x14ac:dyDescent="0.25">
      <c r="B80" s="7" t="s">
        <v>32</v>
      </c>
      <c r="C80" s="56">
        <v>0</v>
      </c>
      <c r="D80" s="56">
        <v>1</v>
      </c>
      <c r="E80" s="56">
        <v>0</v>
      </c>
      <c r="F80" s="56">
        <v>0</v>
      </c>
      <c r="G80" s="56">
        <v>0</v>
      </c>
      <c r="H80" s="56">
        <v>0</v>
      </c>
    </row>
    <row r="81" spans="2:8" x14ac:dyDescent="0.25">
      <c r="B81" s="7" t="s">
        <v>33</v>
      </c>
      <c r="C81" s="56">
        <v>0</v>
      </c>
      <c r="D81" s="56">
        <v>0</v>
      </c>
      <c r="E81" s="56">
        <v>0</v>
      </c>
      <c r="F81" s="56">
        <v>0</v>
      </c>
      <c r="G81" s="56">
        <v>0</v>
      </c>
      <c r="H81" s="56">
        <v>1</v>
      </c>
    </row>
  </sheetData>
  <sheetProtection selectLockedCells="1" selectUnlockedCells="1"/>
  <mergeCells count="4">
    <mergeCell ref="S2:T2"/>
    <mergeCell ref="U2:V2"/>
    <mergeCell ref="D56:E56"/>
    <mergeCell ref="F56:G5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zoomScaleNormal="100" workbookViewId="0">
      <selection activeCell="N7" sqref="N7"/>
    </sheetView>
  </sheetViews>
  <sheetFormatPr baseColWidth="10" defaultRowHeight="15" x14ac:dyDescent="0.25"/>
  <cols>
    <col min="3" max="3" width="12" bestFit="1" customWidth="1"/>
  </cols>
  <sheetData>
    <row r="2" spans="1:12" x14ac:dyDescent="0.25">
      <c r="A2" s="237" t="s">
        <v>1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spans="1:12" x14ac:dyDescent="0.25">
      <c r="A3">
        <v>200</v>
      </c>
      <c r="B3" t="s">
        <v>116</v>
      </c>
      <c r="C3" s="185">
        <f>A3+C5-C7</f>
        <v>200</v>
      </c>
      <c r="D3" s="185">
        <f t="shared" ref="D3:L3" si="0">C4+D5-D7</f>
        <v>200</v>
      </c>
      <c r="E3" s="185">
        <f t="shared" si="0"/>
        <v>200</v>
      </c>
      <c r="F3" s="185">
        <f t="shared" si="0"/>
        <v>200</v>
      </c>
      <c r="G3" s="185">
        <f t="shared" si="0"/>
        <v>400</v>
      </c>
      <c r="H3" s="185">
        <f t="shared" si="0"/>
        <v>100</v>
      </c>
      <c r="I3" s="185">
        <f t="shared" si="0"/>
        <v>800</v>
      </c>
      <c r="J3" s="185">
        <f t="shared" si="0"/>
        <v>500</v>
      </c>
      <c r="K3" s="185">
        <f t="shared" si="0"/>
        <v>400</v>
      </c>
      <c r="L3" s="185">
        <f t="shared" si="0"/>
        <v>200</v>
      </c>
    </row>
    <row r="4" spans="1:12" x14ac:dyDescent="0.25">
      <c r="A4">
        <v>1000</v>
      </c>
      <c r="B4" t="s">
        <v>117</v>
      </c>
      <c r="C4" s="185">
        <f>A3+C5-C7</f>
        <v>200</v>
      </c>
      <c r="D4" s="185">
        <f>C4+D5-D7</f>
        <v>200</v>
      </c>
      <c r="E4" s="185">
        <f t="shared" ref="E4:L4" si="1">D4+E5-E7</f>
        <v>200</v>
      </c>
      <c r="F4" s="185">
        <f t="shared" si="1"/>
        <v>200</v>
      </c>
      <c r="G4" s="185">
        <f t="shared" si="1"/>
        <v>400</v>
      </c>
      <c r="H4" s="185">
        <f t="shared" si="1"/>
        <v>100</v>
      </c>
      <c r="I4" s="185">
        <f t="shared" si="1"/>
        <v>800</v>
      </c>
      <c r="J4" s="185">
        <f t="shared" si="1"/>
        <v>500</v>
      </c>
      <c r="K4" s="185">
        <f t="shared" si="1"/>
        <v>400</v>
      </c>
      <c r="L4" s="185">
        <f t="shared" si="1"/>
        <v>200</v>
      </c>
    </row>
    <row r="5" spans="1:12" x14ac:dyDescent="0.25">
      <c r="A5">
        <v>4</v>
      </c>
      <c r="B5" s="205" t="s">
        <v>115</v>
      </c>
      <c r="C5" s="206"/>
      <c r="D5" s="206">
        <f>IF(D8&lt;0,$A$4,0)</f>
        <v>0</v>
      </c>
      <c r="E5" s="206">
        <f t="shared" ref="E5:L5" si="2">IF(E8&lt;0,$A$4,0)</f>
        <v>0</v>
      </c>
      <c r="F5" s="206">
        <f t="shared" si="2"/>
        <v>0</v>
      </c>
      <c r="G5" s="206">
        <f t="shared" si="2"/>
        <v>1000</v>
      </c>
      <c r="H5" s="206">
        <f t="shared" si="2"/>
        <v>0</v>
      </c>
      <c r="I5" s="206">
        <f t="shared" si="2"/>
        <v>1000</v>
      </c>
      <c r="J5" s="206">
        <f t="shared" si="2"/>
        <v>0</v>
      </c>
      <c r="K5" s="206">
        <f t="shared" si="2"/>
        <v>0</v>
      </c>
      <c r="L5" s="206">
        <f t="shared" si="2"/>
        <v>0</v>
      </c>
    </row>
    <row r="6" spans="1:12" x14ac:dyDescent="0.25">
      <c r="B6" s="204" t="s">
        <v>120</v>
      </c>
      <c r="C6" s="207">
        <v>0</v>
      </c>
      <c r="D6" s="207">
        <f>IF(D7&gt;0,D7-C4,0)</f>
        <v>0</v>
      </c>
      <c r="E6" s="207">
        <f t="shared" ref="E6:F6" si="3">IF(E7&gt;0,E7-D4,0)</f>
        <v>0</v>
      </c>
      <c r="F6" s="207">
        <f t="shared" si="3"/>
        <v>0</v>
      </c>
      <c r="G6" s="207">
        <f>IF(G7&gt;0,G7-F4,0)</f>
        <v>600</v>
      </c>
      <c r="H6" s="207">
        <f>H7</f>
        <v>300</v>
      </c>
      <c r="I6" s="207">
        <f t="shared" ref="I6:L6" si="4">I7</f>
        <v>300</v>
      </c>
      <c r="J6" s="207">
        <f t="shared" si="4"/>
        <v>300</v>
      </c>
      <c r="K6" s="207">
        <f t="shared" si="4"/>
        <v>100</v>
      </c>
      <c r="L6" s="207">
        <f t="shared" si="4"/>
        <v>200</v>
      </c>
    </row>
    <row r="7" spans="1:12" x14ac:dyDescent="0.25">
      <c r="B7" t="s">
        <v>118</v>
      </c>
      <c r="C7" s="3">
        <f t="shared" ref="C7:E7" si="5">IF(COLUMN(C1)-2&lt;=4,0,5)</f>
        <v>0</v>
      </c>
      <c r="D7" s="3">
        <f t="shared" si="5"/>
        <v>0</v>
      </c>
      <c r="E7" s="3">
        <f t="shared" si="5"/>
        <v>0</v>
      </c>
      <c r="F7" s="3">
        <f>IF(COLUMN(F1)-2&lt;=4,0,5)</f>
        <v>0</v>
      </c>
      <c r="G7" s="3">
        <v>800</v>
      </c>
      <c r="H7" s="3">
        <v>300</v>
      </c>
      <c r="I7" s="4">
        <v>300</v>
      </c>
      <c r="J7" s="4">
        <v>300</v>
      </c>
      <c r="K7" s="4">
        <v>100</v>
      </c>
      <c r="L7" s="4">
        <v>200</v>
      </c>
    </row>
    <row r="8" spans="1:12" x14ac:dyDescent="0.25">
      <c r="B8" t="s">
        <v>119</v>
      </c>
      <c r="C8" s="185"/>
      <c r="D8" s="185">
        <f>C4-D7</f>
        <v>200</v>
      </c>
      <c r="E8" s="185">
        <f t="shared" ref="E8:L8" si="6">D4-E7</f>
        <v>200</v>
      </c>
      <c r="F8" s="185">
        <f t="shared" si="6"/>
        <v>200</v>
      </c>
      <c r="G8" s="185">
        <f t="shared" si="6"/>
        <v>-600</v>
      </c>
      <c r="H8" s="185">
        <f t="shared" si="6"/>
        <v>100</v>
      </c>
      <c r="I8" s="185">
        <f t="shared" si="6"/>
        <v>-200</v>
      </c>
      <c r="J8" s="185">
        <f t="shared" si="6"/>
        <v>500</v>
      </c>
      <c r="K8" s="185">
        <f t="shared" si="6"/>
        <v>400</v>
      </c>
      <c r="L8" s="185">
        <f t="shared" si="6"/>
        <v>200</v>
      </c>
    </row>
    <row r="10" spans="1:12" x14ac:dyDescent="0.25">
      <c r="A10" s="237" t="s">
        <v>3</v>
      </c>
      <c r="B10" s="237"/>
      <c r="C10" s="237"/>
      <c r="D10" s="237"/>
      <c r="E10" s="237"/>
      <c r="F10" s="237"/>
      <c r="G10" s="237"/>
      <c r="H10" s="237"/>
      <c r="I10" s="237"/>
      <c r="J10" s="237"/>
      <c r="K10" s="237"/>
      <c r="L10" s="237"/>
    </row>
    <row r="11" spans="1:12" x14ac:dyDescent="0.25">
      <c r="A11">
        <v>150</v>
      </c>
      <c r="B11" t="s">
        <v>116</v>
      </c>
      <c r="C11" s="185">
        <f>A11+C13-C14</f>
        <v>150</v>
      </c>
      <c r="D11" s="185">
        <f>C12+D13-D14</f>
        <v>150</v>
      </c>
      <c r="E11" s="185">
        <f t="shared" ref="E11:L11" si="7">D12+E13-E14</f>
        <v>150</v>
      </c>
      <c r="F11" s="185">
        <f t="shared" si="7"/>
        <v>150</v>
      </c>
      <c r="G11" s="185">
        <f t="shared" si="7"/>
        <v>150</v>
      </c>
      <c r="H11" s="185">
        <f t="shared" si="7"/>
        <v>150</v>
      </c>
      <c r="I11" s="185">
        <f t="shared" si="7"/>
        <v>920</v>
      </c>
      <c r="J11" s="185">
        <f t="shared" si="7"/>
        <v>820</v>
      </c>
      <c r="K11" s="185">
        <f t="shared" si="7"/>
        <v>473</v>
      </c>
      <c r="L11" s="185">
        <f t="shared" si="7"/>
        <v>573</v>
      </c>
    </row>
    <row r="12" spans="1:12" x14ac:dyDescent="0.25">
      <c r="A12">
        <v>1000</v>
      </c>
      <c r="B12" t="s">
        <v>117</v>
      </c>
      <c r="C12" s="185">
        <f>A11+C13-C14</f>
        <v>150</v>
      </c>
      <c r="D12" s="185">
        <f>C12+D13-D14</f>
        <v>150</v>
      </c>
      <c r="E12" s="185">
        <f t="shared" ref="E12" si="8">D12+E13-E14</f>
        <v>150</v>
      </c>
      <c r="F12" s="185">
        <f t="shared" ref="F12" si="9">E12+F13-F14</f>
        <v>150</v>
      </c>
      <c r="G12" s="185">
        <f t="shared" ref="G12" si="10">F12+G13-G14</f>
        <v>150</v>
      </c>
      <c r="H12" s="185">
        <f t="shared" ref="H12" si="11">G12+H13-H14</f>
        <v>150</v>
      </c>
      <c r="I12" s="185">
        <f t="shared" ref="I12" si="12">H12+I13-I14</f>
        <v>920</v>
      </c>
      <c r="J12" s="185">
        <f t="shared" ref="J12" si="13">I12+J13-J14</f>
        <v>820</v>
      </c>
      <c r="K12" s="185">
        <f t="shared" ref="K12" si="14">J12+K13-K14</f>
        <v>473</v>
      </c>
      <c r="L12" s="185">
        <f t="shared" ref="L12" si="15">K12+L13-L14</f>
        <v>573</v>
      </c>
    </row>
    <row r="13" spans="1:12" x14ac:dyDescent="0.25">
      <c r="A13">
        <v>4</v>
      </c>
      <c r="B13" s="205" t="s">
        <v>115</v>
      </c>
      <c r="C13" s="206"/>
      <c r="D13" s="206">
        <f>IF(D15&lt;0,$A$4,0)</f>
        <v>0</v>
      </c>
      <c r="E13" s="206">
        <f t="shared" ref="E13:L13" si="16">IF(E15&lt;0,$A$4,0)</f>
        <v>0</v>
      </c>
      <c r="F13" s="206">
        <f t="shared" si="16"/>
        <v>0</v>
      </c>
      <c r="G13" s="206">
        <f t="shared" si="16"/>
        <v>0</v>
      </c>
      <c r="H13" s="206">
        <f t="shared" si="16"/>
        <v>0</v>
      </c>
      <c r="I13" s="206">
        <f t="shared" si="16"/>
        <v>1000</v>
      </c>
      <c r="J13" s="206">
        <f t="shared" si="16"/>
        <v>0</v>
      </c>
      <c r="K13" s="206">
        <f t="shared" si="16"/>
        <v>0</v>
      </c>
      <c r="L13" s="206">
        <f t="shared" si="16"/>
        <v>1000</v>
      </c>
    </row>
    <row r="14" spans="1:12" x14ac:dyDescent="0.25">
      <c r="B14" t="s">
        <v>118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230</v>
      </c>
      <c r="J14" s="4">
        <v>100</v>
      </c>
      <c r="K14" s="4">
        <v>347</v>
      </c>
      <c r="L14" s="4">
        <v>900</v>
      </c>
    </row>
    <row r="15" spans="1:12" x14ac:dyDescent="0.25">
      <c r="B15" t="s">
        <v>119</v>
      </c>
      <c r="C15" s="185"/>
      <c r="D15" s="185">
        <f>C12-D14</f>
        <v>150</v>
      </c>
      <c r="E15" s="185">
        <f t="shared" ref="E15" si="17">D12-E14</f>
        <v>150</v>
      </c>
      <c r="F15" s="185">
        <f t="shared" ref="F15" si="18">E12-F14</f>
        <v>150</v>
      </c>
      <c r="G15" s="185">
        <f t="shared" ref="G15" si="19">F12-G14</f>
        <v>150</v>
      </c>
      <c r="H15" s="185">
        <f t="shared" ref="H15" si="20">G12-H14</f>
        <v>150</v>
      </c>
      <c r="I15" s="185">
        <f t="shared" ref="I15" si="21">H12-I14</f>
        <v>-80</v>
      </c>
      <c r="J15" s="185">
        <f t="shared" ref="J15" si="22">I12-J14</f>
        <v>820</v>
      </c>
      <c r="K15" s="185">
        <f t="shared" ref="K15" si="23">J12-K14</f>
        <v>473</v>
      </c>
      <c r="L15" s="185">
        <f t="shared" ref="L15" si="24">K12-L14</f>
        <v>-427</v>
      </c>
    </row>
  </sheetData>
  <sheetProtection selectLockedCells="1" selectUnlockedCells="1"/>
  <mergeCells count="2">
    <mergeCell ref="A2:L2"/>
    <mergeCell ref="A10:L1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0"/>
  <sheetViews>
    <sheetView tabSelected="1" topLeftCell="A64" workbookViewId="0">
      <selection activeCell="S84" sqref="S84"/>
    </sheetView>
  </sheetViews>
  <sheetFormatPr baseColWidth="10" defaultRowHeight="15" x14ac:dyDescent="0.25"/>
  <cols>
    <col min="3" max="3" width="9.42578125" bestFit="1" customWidth="1"/>
    <col min="4" max="6" width="9" bestFit="1" customWidth="1"/>
    <col min="7" max="7" width="7" bestFit="1" customWidth="1"/>
    <col min="8" max="8" width="8.42578125" customWidth="1"/>
    <col min="9" max="9" width="7" bestFit="1" customWidth="1"/>
    <col min="10" max="10" width="8.85546875" customWidth="1"/>
    <col min="11" max="11" width="9.140625" customWidth="1"/>
    <col min="12" max="12" width="6.5703125" bestFit="1" customWidth="1"/>
    <col min="13" max="13" width="11.5703125" bestFit="1" customWidth="1"/>
  </cols>
  <sheetData>
    <row r="1" spans="1:25" x14ac:dyDescent="0.25">
      <c r="A1" t="s">
        <v>99</v>
      </c>
    </row>
    <row r="2" spans="1:25" x14ac:dyDescent="0.25">
      <c r="A2" t="s">
        <v>103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25" x14ac:dyDescent="0.25">
      <c r="A3" t="s">
        <v>1</v>
      </c>
      <c r="B3" s="98">
        <v>3000</v>
      </c>
      <c r="C3" s="98">
        <v>0</v>
      </c>
      <c r="D3" s="98">
        <v>0</v>
      </c>
      <c r="E3" s="188">
        <v>3000</v>
      </c>
      <c r="F3" s="98">
        <v>0</v>
      </c>
      <c r="G3" s="98">
        <v>0</v>
      </c>
      <c r="H3" s="98">
        <v>0</v>
      </c>
      <c r="I3" s="98">
        <v>0</v>
      </c>
      <c r="J3" s="98">
        <v>0</v>
      </c>
      <c r="K3" s="98">
        <v>0</v>
      </c>
    </row>
    <row r="4" spans="1:25" x14ac:dyDescent="0.25">
      <c r="A4" t="s">
        <v>3</v>
      </c>
      <c r="B4" s="98">
        <v>3000</v>
      </c>
      <c r="C4" s="98">
        <v>0</v>
      </c>
      <c r="D4" s="98">
        <v>0</v>
      </c>
      <c r="E4" s="98">
        <v>0</v>
      </c>
      <c r="F4" s="188">
        <v>3000</v>
      </c>
      <c r="G4" s="98">
        <v>0</v>
      </c>
      <c r="H4" s="98">
        <v>0</v>
      </c>
      <c r="I4" s="98">
        <v>0</v>
      </c>
      <c r="J4" s="98">
        <v>3000</v>
      </c>
      <c r="K4" s="98">
        <v>3000</v>
      </c>
    </row>
    <row r="5" spans="1:25" x14ac:dyDescent="0.25">
      <c r="A5" t="s">
        <v>110</v>
      </c>
      <c r="B5">
        <v>30</v>
      </c>
      <c r="C5">
        <v>30</v>
      </c>
      <c r="D5">
        <v>30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7" spans="1:25" x14ac:dyDescent="0.25">
      <c r="A7" s="28"/>
      <c r="B7" s="28"/>
      <c r="C7" s="240" t="s">
        <v>104</v>
      </c>
      <c r="D7" s="240"/>
      <c r="E7" s="240"/>
      <c r="F7" s="240" t="s">
        <v>106</v>
      </c>
      <c r="G7" s="240"/>
      <c r="H7" s="240"/>
      <c r="N7" s="28"/>
      <c r="O7" s="28"/>
      <c r="P7" s="240" t="s">
        <v>111</v>
      </c>
      <c r="Q7" s="240"/>
      <c r="R7" s="240"/>
      <c r="S7" s="240" t="s">
        <v>106</v>
      </c>
      <c r="T7" s="240"/>
      <c r="U7" s="240"/>
    </row>
    <row r="8" spans="1:25" x14ac:dyDescent="0.25">
      <c r="A8" s="28"/>
      <c r="B8" s="28"/>
      <c r="C8" s="190" t="s">
        <v>25</v>
      </c>
      <c r="D8" s="190" t="s">
        <v>28</v>
      </c>
      <c r="E8" s="190" t="s">
        <v>29</v>
      </c>
      <c r="F8" s="190" t="s">
        <v>25</v>
      </c>
      <c r="G8" s="190" t="s">
        <v>28</v>
      </c>
      <c r="H8" s="190" t="s">
        <v>29</v>
      </c>
      <c r="N8" s="28"/>
      <c r="O8" s="28"/>
      <c r="P8" s="190" t="s">
        <v>25</v>
      </c>
      <c r="Q8" s="190" t="s">
        <v>28</v>
      </c>
      <c r="R8" s="190" t="s">
        <v>29</v>
      </c>
      <c r="S8" s="190" t="s">
        <v>25</v>
      </c>
      <c r="T8" s="190" t="s">
        <v>28</v>
      </c>
      <c r="U8" s="190" t="s">
        <v>29</v>
      </c>
    </row>
    <row r="9" spans="1:25" x14ac:dyDescent="0.25">
      <c r="A9" s="186">
        <v>0</v>
      </c>
      <c r="B9" s="186"/>
      <c r="C9" s="191">
        <f t="shared" ref="C9:C10" si="0">B10</f>
        <v>0</v>
      </c>
      <c r="D9" s="192">
        <f>B14</f>
        <v>0</v>
      </c>
      <c r="E9" s="191">
        <f>B10</f>
        <v>0</v>
      </c>
      <c r="F9" s="191">
        <f>IF(C9&gt;0,Planteamiento!$O$18,0)+Planteamiento!$N$18*'Tests fresh'!C9</f>
        <v>0</v>
      </c>
      <c r="G9" s="192">
        <f>IF(D9&gt;0,Planteamiento!$O$21,0)+Planteamiento!$N$21*'Tests fresh'!D9</f>
        <v>0</v>
      </c>
      <c r="H9" s="192">
        <f>IF(E9&gt;0,Planteamiento!$O$22,0)+Planteamiento!$N$22*'Tests fresh'!E9</f>
        <v>0</v>
      </c>
      <c r="N9" s="186">
        <v>0</v>
      </c>
      <c r="O9" s="186"/>
      <c r="P9" s="191">
        <f t="shared" ref="P9:P10" si="1">O10</f>
        <v>0</v>
      </c>
      <c r="Q9" s="192">
        <f>O14</f>
        <v>0</v>
      </c>
      <c r="R9" s="191">
        <f>O10</f>
        <v>0</v>
      </c>
      <c r="S9" s="191">
        <f>IF(P9&gt;0,Planteamiento!$O$18,0)+Planteamiento!$N$18*'Tests fresh'!P9</f>
        <v>0</v>
      </c>
      <c r="T9" s="192">
        <f>IF(Q9&gt;0,Planteamiento!$O$21,0)+Planteamiento!$N$21*'Tests fresh'!Q9</f>
        <v>0</v>
      </c>
      <c r="U9" s="192">
        <f>IF(R9&gt;0,Planteamiento!$O$22,0)+Planteamiento!$N$22*'Tests fresh'!R9</f>
        <v>0</v>
      </c>
    </row>
    <row r="10" spans="1:25" x14ac:dyDescent="0.25">
      <c r="A10" s="186">
        <v>1</v>
      </c>
      <c r="B10" s="186"/>
      <c r="C10" s="191">
        <f t="shared" si="0"/>
        <v>0</v>
      </c>
      <c r="D10" s="192">
        <f t="shared" ref="D10:D14" si="2">B15</f>
        <v>0</v>
      </c>
      <c r="E10" s="191">
        <f t="shared" ref="E10:E18" si="3">B11</f>
        <v>0</v>
      </c>
      <c r="F10" s="191">
        <f>IF(C10&gt;0,Planteamiento!$O$18,0)+Planteamiento!$N$18*'Tests fresh'!C10</f>
        <v>0</v>
      </c>
      <c r="G10" s="192">
        <f>IF(D10&gt;0,Planteamiento!$O$21,0)+Planteamiento!$N$21*'Tests fresh'!D10</f>
        <v>0</v>
      </c>
      <c r="H10" s="192">
        <f>IF(E10&gt;0,Planteamiento!$O$22,0)+Planteamiento!$N$22*'Tests fresh'!E10</f>
        <v>0</v>
      </c>
      <c r="N10" s="186">
        <v>1</v>
      </c>
      <c r="O10" s="186"/>
      <c r="P10" s="191">
        <f t="shared" si="1"/>
        <v>0</v>
      </c>
      <c r="Q10" s="192">
        <f t="shared" ref="Q10:Q14" si="4">O15</f>
        <v>0</v>
      </c>
      <c r="R10" s="191">
        <f t="shared" ref="R10:R18" si="5">O11</f>
        <v>0</v>
      </c>
      <c r="S10" s="191">
        <f>IF(P10&gt;0,Planteamiento!$O$18,0)+Planteamiento!$N$18*'Tests fresh'!P10</f>
        <v>0</v>
      </c>
      <c r="T10" s="192">
        <f>IF(Q10&gt;0,Planteamiento!$O$21,0)+Planteamiento!$N$21*'Tests fresh'!Q10</f>
        <v>0</v>
      </c>
      <c r="U10" s="192">
        <f>IF(R10&gt;0,Planteamiento!$O$22,0)+Planteamiento!$N$22*'Tests fresh'!R10</f>
        <v>0</v>
      </c>
    </row>
    <row r="11" spans="1:25" x14ac:dyDescent="0.25">
      <c r="A11" s="186">
        <v>2</v>
      </c>
      <c r="B11" s="186"/>
      <c r="C11" s="191">
        <f>B12</f>
        <v>2970</v>
      </c>
      <c r="D11" s="192">
        <f t="shared" si="2"/>
        <v>0</v>
      </c>
      <c r="E11" s="191">
        <f t="shared" si="3"/>
        <v>2970</v>
      </c>
      <c r="F11" s="191">
        <f>IF(C11&gt;0,Planteamiento!$O$18,0)+Planteamiento!$N$18*'Tests fresh'!C11</f>
        <v>33810</v>
      </c>
      <c r="G11" s="192">
        <f>IF(D11&gt;0,Planteamiento!$O$21,0)+Planteamiento!$N$21*'Tests fresh'!D11</f>
        <v>0</v>
      </c>
      <c r="H11" s="192">
        <f>IF(E11&gt;0,Planteamiento!$O$22,0)+Planteamiento!$N$22*'Tests fresh'!E11</f>
        <v>30442.5</v>
      </c>
      <c r="J11" t="s">
        <v>107</v>
      </c>
      <c r="K11" t="s">
        <v>29</v>
      </c>
      <c r="N11" s="186">
        <v>2</v>
      </c>
      <c r="O11" s="186"/>
      <c r="P11" s="191">
        <f>O12</f>
        <v>0</v>
      </c>
      <c r="Q11" s="192">
        <f t="shared" si="4"/>
        <v>0</v>
      </c>
      <c r="R11" s="191">
        <f t="shared" si="5"/>
        <v>0</v>
      </c>
      <c r="S11" s="191">
        <f>IF(P11&gt;0,Planteamiento!$O$18,0)+Planteamiento!$N$18*'Tests fresh'!P11</f>
        <v>0</v>
      </c>
      <c r="T11" s="192">
        <f>IF(Q11&gt;0,Planteamiento!$O$21,0)+Planteamiento!$N$21*'Tests fresh'!Q11</f>
        <v>0</v>
      </c>
      <c r="U11" s="192">
        <f>IF(R11&gt;0,Planteamiento!$O$22,0)+Planteamiento!$N$22*'Tests fresh'!R11</f>
        <v>0</v>
      </c>
      <c r="W11" t="s">
        <v>107</v>
      </c>
      <c r="X11" t="s">
        <v>29</v>
      </c>
    </row>
    <row r="12" spans="1:25" x14ac:dyDescent="0.25">
      <c r="A12" s="186">
        <v>3</v>
      </c>
      <c r="B12" s="193">
        <f>E3-'Tests fresh'!E5</f>
        <v>2970</v>
      </c>
      <c r="C12" s="191">
        <f t="shared" ref="C12:C18" si="6">B13</f>
        <v>0</v>
      </c>
      <c r="D12" s="192">
        <f t="shared" si="2"/>
        <v>0</v>
      </c>
      <c r="E12" s="191">
        <f t="shared" si="3"/>
        <v>0</v>
      </c>
      <c r="F12" s="191">
        <f>IF(C12&gt;0,Planteamiento!$O$18,0)+Planteamiento!$N$18*'Tests fresh'!C12</f>
        <v>0</v>
      </c>
      <c r="G12" s="192">
        <f>IF(D12&gt;0,Planteamiento!$O$21,0)+Planteamiento!$N$21*'Tests fresh'!D12</f>
        <v>0</v>
      </c>
      <c r="H12" s="192">
        <f>IF(E12&gt;0,Planteamiento!$O$22,0)+Planteamiento!$N$22*'Tests fresh'!E12</f>
        <v>0</v>
      </c>
      <c r="J12" t="s">
        <v>108</v>
      </c>
      <c r="L12">
        <v>2</v>
      </c>
      <c r="N12" s="186">
        <v>3</v>
      </c>
      <c r="O12" s="193">
        <f>R3-'Tests fresh'!R5</f>
        <v>0</v>
      </c>
      <c r="P12" s="191">
        <f t="shared" ref="P12:P18" si="7">O13</f>
        <v>0</v>
      </c>
      <c r="Q12" s="192">
        <f t="shared" si="4"/>
        <v>0</v>
      </c>
      <c r="R12" s="191">
        <f t="shared" si="5"/>
        <v>0</v>
      </c>
      <c r="S12" s="191">
        <f>IF(P12&gt;0,Planteamiento!$O$18,0)+Planteamiento!$N$18*'Tests fresh'!P12</f>
        <v>0</v>
      </c>
      <c r="T12" s="192">
        <f>IF(Q12&gt;0,Planteamiento!$O$21,0)+Planteamiento!$N$21*'Tests fresh'!Q12</f>
        <v>0</v>
      </c>
      <c r="U12" s="192">
        <f>IF(R12&gt;0,Planteamiento!$O$22,0)+Planteamiento!$N$22*'Tests fresh'!R12</f>
        <v>0</v>
      </c>
      <c r="W12" t="s">
        <v>108</v>
      </c>
      <c r="Y12">
        <v>2</v>
      </c>
    </row>
    <row r="13" spans="1:25" x14ac:dyDescent="0.25">
      <c r="A13" s="186">
        <v>4</v>
      </c>
      <c r="B13" s="186"/>
      <c r="C13" s="191">
        <f t="shared" si="6"/>
        <v>0</v>
      </c>
      <c r="D13" s="192">
        <f t="shared" si="2"/>
        <v>0</v>
      </c>
      <c r="E13" s="191">
        <f t="shared" si="3"/>
        <v>0</v>
      </c>
      <c r="F13" s="191">
        <f>IF(C13&gt;0,Planteamiento!$O$18,0)+Planteamiento!$N$18*'Tests fresh'!C13</f>
        <v>0</v>
      </c>
      <c r="G13" s="192">
        <f>IF(D13&gt;0,Planteamiento!$O$21,0)+Planteamiento!$N$21*'Tests fresh'!D13</f>
        <v>0</v>
      </c>
      <c r="H13" s="192">
        <f>IF(E13&gt;0,Planteamiento!$O$22,0)+Planteamiento!$N$22*'Tests fresh'!E13</f>
        <v>0</v>
      </c>
      <c r="J13" t="s">
        <v>109</v>
      </c>
      <c r="K13" s="98">
        <f>B12</f>
        <v>2970</v>
      </c>
      <c r="N13" s="186">
        <v>4</v>
      </c>
      <c r="O13" s="186"/>
      <c r="P13" s="191">
        <f t="shared" si="7"/>
        <v>0</v>
      </c>
      <c r="Q13" s="192">
        <f t="shared" si="4"/>
        <v>0</v>
      </c>
      <c r="R13" s="191">
        <f t="shared" si="5"/>
        <v>0</v>
      </c>
      <c r="S13" s="191">
        <f>IF(P13&gt;0,Planteamiento!$O$18,0)+Planteamiento!$N$18*'Tests fresh'!P13</f>
        <v>0</v>
      </c>
      <c r="T13" s="192">
        <f>IF(Q13&gt;0,Planteamiento!$O$21,0)+Planteamiento!$N$21*'Tests fresh'!Q13</f>
        <v>0</v>
      </c>
      <c r="U13" s="192">
        <f>IF(R13&gt;0,Planteamiento!$O$22,0)+Planteamiento!$N$22*'Tests fresh'!R13</f>
        <v>0</v>
      </c>
      <c r="W13" t="s">
        <v>109</v>
      </c>
      <c r="X13" s="98">
        <f>O12</f>
        <v>0</v>
      </c>
    </row>
    <row r="14" spans="1:25" x14ac:dyDescent="0.25">
      <c r="A14" s="186">
        <v>5</v>
      </c>
      <c r="B14" s="186"/>
      <c r="C14" s="191">
        <f t="shared" si="6"/>
        <v>0</v>
      </c>
      <c r="D14" s="192" t="str">
        <f t="shared" si="2"/>
        <v>NULL</v>
      </c>
      <c r="E14" s="191">
        <f t="shared" si="3"/>
        <v>0</v>
      </c>
      <c r="F14" s="191">
        <f>IF(C14&gt;0,Planteamiento!$O$18,0)+Planteamiento!$N$18*'Tests fresh'!C14</f>
        <v>0</v>
      </c>
      <c r="G14" s="191" t="s">
        <v>105</v>
      </c>
      <c r="H14" s="192">
        <f>IF(E14&gt;0,Planteamiento!$O$22,0)+Planteamiento!$N$22*'Tests fresh'!E14</f>
        <v>0</v>
      </c>
      <c r="N14" s="186">
        <v>5</v>
      </c>
      <c r="O14" s="186"/>
      <c r="P14" s="191">
        <f t="shared" si="7"/>
        <v>0</v>
      </c>
      <c r="Q14" s="192" t="str">
        <f t="shared" si="4"/>
        <v>NULL</v>
      </c>
      <c r="R14" s="191">
        <f t="shared" si="5"/>
        <v>0</v>
      </c>
      <c r="S14" s="191">
        <f>IF(P14&gt;0,Planteamiento!$O$18,0)+Planteamiento!$N$18*'Tests fresh'!P14</f>
        <v>0</v>
      </c>
      <c r="T14" s="191" t="s">
        <v>105</v>
      </c>
      <c r="U14" s="192">
        <f>IF(R14&gt;0,Planteamiento!$O$22,0)+Planteamiento!$N$22*'Tests fresh'!R14</f>
        <v>0</v>
      </c>
    </row>
    <row r="15" spans="1:25" x14ac:dyDescent="0.25">
      <c r="A15" s="186">
        <v>6</v>
      </c>
      <c r="B15" s="186"/>
      <c r="C15" s="191">
        <f t="shared" si="6"/>
        <v>0</v>
      </c>
      <c r="D15" s="192"/>
      <c r="E15" s="191">
        <f t="shared" si="3"/>
        <v>0</v>
      </c>
      <c r="F15" s="191">
        <f>IF(C15&gt;0,Planteamiento!$O$18,0)+Planteamiento!$N$18*'Tests fresh'!C15</f>
        <v>0</v>
      </c>
      <c r="G15" s="192">
        <f>IF(D15&gt;0,Planteamiento!$O$21,0)+Planteamiento!$N$21*'Tests fresh'!D15</f>
        <v>0</v>
      </c>
      <c r="H15" s="192">
        <f>IF(E15&gt;0,Planteamiento!$O$22,0)+Planteamiento!$N$22*'Tests fresh'!E15</f>
        <v>0</v>
      </c>
      <c r="N15" s="186">
        <v>6</v>
      </c>
      <c r="O15" s="186"/>
      <c r="P15" s="191">
        <f t="shared" si="7"/>
        <v>0</v>
      </c>
      <c r="Q15" s="192"/>
      <c r="R15" s="191">
        <f t="shared" si="5"/>
        <v>0</v>
      </c>
      <c r="S15" s="191">
        <f>IF(P15&gt;0,Planteamiento!$O$18,0)+Planteamiento!$N$18*'Tests fresh'!P15</f>
        <v>0</v>
      </c>
      <c r="T15" s="192">
        <f>IF(Q15&gt;0,Planteamiento!$O$21,0)+Planteamiento!$N$21*'Tests fresh'!Q15</f>
        <v>0</v>
      </c>
      <c r="U15" s="192">
        <f>IF(R15&gt;0,Planteamiento!$O$22,0)+Planteamiento!$N$22*'Tests fresh'!R15</f>
        <v>0</v>
      </c>
    </row>
    <row r="16" spans="1:25" x14ac:dyDescent="0.25">
      <c r="A16" s="186">
        <v>7</v>
      </c>
      <c r="B16" s="186"/>
      <c r="C16" s="191">
        <f t="shared" si="6"/>
        <v>0</v>
      </c>
      <c r="D16" s="191"/>
      <c r="E16" s="191">
        <f t="shared" si="3"/>
        <v>0</v>
      </c>
      <c r="F16" s="191">
        <f>IF(C16&gt;0,Planteamiento!$O$18,0)+Planteamiento!$N$18*'Tests fresh'!C16</f>
        <v>0</v>
      </c>
      <c r="G16" s="192">
        <f>IF(D16&gt;0,Planteamiento!$O$21,0)+Planteamiento!$N$21*'Tests fresh'!D16</f>
        <v>0</v>
      </c>
      <c r="H16" s="192">
        <f>IF(E16&gt;0,Planteamiento!$O$22,0)+Planteamiento!$N$22*'Tests fresh'!E16</f>
        <v>0</v>
      </c>
      <c r="N16" s="186">
        <v>7</v>
      </c>
      <c r="O16" s="186"/>
      <c r="P16" s="191">
        <f t="shared" si="7"/>
        <v>0</v>
      </c>
      <c r="Q16" s="191"/>
      <c r="R16" s="191">
        <f t="shared" si="5"/>
        <v>0</v>
      </c>
      <c r="S16" s="191">
        <f>IF(P16&gt;0,Planteamiento!$O$18,0)+Planteamiento!$N$18*'Tests fresh'!P16</f>
        <v>0</v>
      </c>
      <c r="T16" s="192">
        <f>IF(Q16&gt;0,Planteamiento!$O$21,0)+Planteamiento!$N$21*'Tests fresh'!Q16</f>
        <v>0</v>
      </c>
      <c r="U16" s="192">
        <f>IF(R16&gt;0,Planteamiento!$O$22,0)+Planteamiento!$N$22*'Tests fresh'!R16</f>
        <v>0</v>
      </c>
    </row>
    <row r="17" spans="1:21" x14ac:dyDescent="0.25">
      <c r="A17" s="186">
        <v>8</v>
      </c>
      <c r="B17" s="186"/>
      <c r="C17" s="191">
        <f t="shared" si="6"/>
        <v>0</v>
      </c>
      <c r="D17" s="191"/>
      <c r="E17" s="191">
        <f t="shared" si="3"/>
        <v>0</v>
      </c>
      <c r="F17" s="191">
        <f>IF(C17&gt;0,Planteamiento!$O$18,0)+Planteamiento!$N$18*'Tests fresh'!C17</f>
        <v>0</v>
      </c>
      <c r="G17" s="192">
        <f>IF(D17&gt;0,Planteamiento!$O$21,0)+Planteamiento!$N$21*'Tests fresh'!D17</f>
        <v>0</v>
      </c>
      <c r="H17" s="192">
        <f>IF(E17&gt;0,Planteamiento!$O$22,0)+Planteamiento!$N$22*'Tests fresh'!E17</f>
        <v>0</v>
      </c>
      <c r="N17" s="186">
        <v>8</v>
      </c>
      <c r="O17" s="186"/>
      <c r="P17" s="191">
        <f t="shared" si="7"/>
        <v>0</v>
      </c>
      <c r="Q17" s="191"/>
      <c r="R17" s="191">
        <f t="shared" si="5"/>
        <v>0</v>
      </c>
      <c r="S17" s="191">
        <f>IF(P17&gt;0,Planteamiento!$O$18,0)+Planteamiento!$N$18*'Tests fresh'!P17</f>
        <v>0</v>
      </c>
      <c r="T17" s="192">
        <f>IF(Q17&gt;0,Planteamiento!$O$21,0)+Planteamiento!$N$21*'Tests fresh'!Q17</f>
        <v>0</v>
      </c>
      <c r="U17" s="192">
        <f>IF(R17&gt;0,Planteamiento!$O$22,0)+Planteamiento!$N$22*'Tests fresh'!R17</f>
        <v>0</v>
      </c>
    </row>
    <row r="18" spans="1:21" x14ac:dyDescent="0.25">
      <c r="A18" s="186">
        <v>9</v>
      </c>
      <c r="B18" s="186"/>
      <c r="C18" s="191" t="str">
        <f t="shared" si="6"/>
        <v>NULL</v>
      </c>
      <c r="D18" s="191"/>
      <c r="E18" s="191" t="str">
        <f t="shared" si="3"/>
        <v>NULL</v>
      </c>
      <c r="F18" s="191" t="s">
        <v>105</v>
      </c>
      <c r="G18" s="192">
        <f>IF(D18&gt;0,Planteamiento!$O$21,0)+Planteamiento!$N$21*'Tests fresh'!D18</f>
        <v>0</v>
      </c>
      <c r="H18" s="191" t="s">
        <v>105</v>
      </c>
      <c r="N18" s="186">
        <v>9</v>
      </c>
      <c r="O18" s="186"/>
      <c r="P18" s="191" t="str">
        <f t="shared" si="7"/>
        <v>NULL</v>
      </c>
      <c r="Q18" s="191"/>
      <c r="R18" s="191" t="str">
        <f t="shared" si="5"/>
        <v>NULL</v>
      </c>
      <c r="S18" s="191" t="s">
        <v>105</v>
      </c>
      <c r="T18" s="192">
        <f>IF(Q18&gt;0,Planteamiento!$O$21,0)+Planteamiento!$N$21*'Tests fresh'!Q18</f>
        <v>0</v>
      </c>
      <c r="U18" s="191" t="s">
        <v>105</v>
      </c>
    </row>
    <row r="19" spans="1:21" x14ac:dyDescent="0.25">
      <c r="B19" t="s">
        <v>105</v>
      </c>
      <c r="O19" t="s">
        <v>105</v>
      </c>
    </row>
    <row r="22" spans="1:21" ht="15.75" thickBot="1" x14ac:dyDescent="0.3">
      <c r="B22" s="17" t="s">
        <v>18</v>
      </c>
      <c r="C22" s="20" t="s">
        <v>21</v>
      </c>
      <c r="G22" t="s">
        <v>29</v>
      </c>
      <c r="K22" t="s">
        <v>29</v>
      </c>
    </row>
    <row r="23" spans="1:21" x14ac:dyDescent="0.25">
      <c r="B23" s="10" t="s">
        <v>25</v>
      </c>
      <c r="C23" s="28">
        <v>1</v>
      </c>
      <c r="F23">
        <v>3</v>
      </c>
      <c r="G23">
        <v>1</v>
      </c>
      <c r="J23">
        <f>+F23*$K$13</f>
        <v>8910</v>
      </c>
      <c r="K23">
        <f>+G23*$K$13</f>
        <v>2970</v>
      </c>
    </row>
    <row r="24" spans="1:21" x14ac:dyDescent="0.25">
      <c r="B24" s="10" t="s">
        <v>26</v>
      </c>
      <c r="C24" s="28">
        <v>2</v>
      </c>
      <c r="J24" t="s">
        <v>3</v>
      </c>
      <c r="K24" s="189" t="s">
        <v>11</v>
      </c>
    </row>
    <row r="25" spans="1:21" x14ac:dyDescent="0.25">
      <c r="B25" s="36" t="s">
        <v>27</v>
      </c>
      <c r="C25" s="28">
        <v>1</v>
      </c>
    </row>
    <row r="26" spans="1:21" x14ac:dyDescent="0.25">
      <c r="B26" s="36" t="s">
        <v>28</v>
      </c>
      <c r="C26" s="28">
        <v>5</v>
      </c>
    </row>
    <row r="27" spans="1:21" x14ac:dyDescent="0.25">
      <c r="B27" s="10" t="s">
        <v>29</v>
      </c>
      <c r="C27" s="28">
        <v>1</v>
      </c>
      <c r="D27" s="28"/>
      <c r="E27" s="28"/>
      <c r="F27" s="241" t="s">
        <v>111</v>
      </c>
      <c r="G27" s="242"/>
      <c r="H27" s="241" t="s">
        <v>106</v>
      </c>
      <c r="I27" s="242"/>
    </row>
    <row r="28" spans="1:21" x14ac:dyDescent="0.25">
      <c r="B28" s="10" t="s">
        <v>30</v>
      </c>
      <c r="C28" s="28">
        <v>2</v>
      </c>
      <c r="D28" s="28"/>
      <c r="E28" s="28"/>
      <c r="F28" s="190" t="s">
        <v>26</v>
      </c>
      <c r="G28" s="190" t="s">
        <v>32</v>
      </c>
      <c r="H28" s="190" t="s">
        <v>26</v>
      </c>
      <c r="I28" s="190" t="s">
        <v>32</v>
      </c>
    </row>
    <row r="29" spans="1:21" x14ac:dyDescent="0.25">
      <c r="B29" s="36" t="s">
        <v>31</v>
      </c>
      <c r="C29" s="28">
        <v>1</v>
      </c>
      <c r="D29" s="186">
        <v>0</v>
      </c>
      <c r="E29" s="186"/>
      <c r="F29" s="191">
        <f>E31</f>
        <v>0</v>
      </c>
      <c r="G29" s="192">
        <f>E32</f>
        <v>8910</v>
      </c>
      <c r="H29" s="191">
        <f>IF(F29&gt;0,Planteamiento!$O$19,0)+Planteamiento!$N$19*'Tests fresh'!F29</f>
        <v>0</v>
      </c>
      <c r="I29" s="192">
        <f>IF(G29&gt;0,Planteamiento!$O$25,0)+Planteamiento!$N$25*'Tests fresh'!G29</f>
        <v>7455</v>
      </c>
    </row>
    <row r="30" spans="1:21" x14ac:dyDescent="0.25">
      <c r="B30" s="36" t="s">
        <v>32</v>
      </c>
      <c r="C30" s="41">
        <v>3</v>
      </c>
      <c r="D30" s="186">
        <v>1</v>
      </c>
      <c r="E30" s="186"/>
      <c r="F30" s="191">
        <f t="shared" ref="F30:F37" si="8">E32</f>
        <v>8910</v>
      </c>
      <c r="G30" s="192">
        <f t="shared" ref="G30:G36" si="9">E33</f>
        <v>0</v>
      </c>
      <c r="H30" s="191">
        <f>IF(F30&gt;0,Planteamiento!$O$19,0)+Planteamiento!$N$19*'Tests fresh'!F30</f>
        <v>45740</v>
      </c>
      <c r="I30" s="192">
        <f>IF(G30&gt;0,Planteamiento!$O$25,0)+Planteamiento!$N$25*'Tests fresh'!G30</f>
        <v>0</v>
      </c>
    </row>
    <row r="31" spans="1:21" x14ac:dyDescent="0.25">
      <c r="B31" s="42" t="s">
        <v>33</v>
      </c>
      <c r="C31" s="44">
        <v>1</v>
      </c>
      <c r="D31" s="186">
        <v>2</v>
      </c>
      <c r="E31" s="186"/>
      <c r="F31" s="191">
        <f t="shared" si="8"/>
        <v>0</v>
      </c>
      <c r="G31" s="192">
        <f t="shared" si="9"/>
        <v>0</v>
      </c>
      <c r="H31" s="191">
        <f>IF(F31&gt;0,Planteamiento!$O$19,0)+Planteamiento!$N$19*'Tests fresh'!F31</f>
        <v>0</v>
      </c>
      <c r="I31" s="192">
        <f>IF(G31&gt;0,Planteamiento!$O$25,0)+Planteamiento!$N$25*'Tests fresh'!G31</f>
        <v>0</v>
      </c>
      <c r="K31" t="s">
        <v>107</v>
      </c>
      <c r="L31" t="s">
        <v>32</v>
      </c>
    </row>
    <row r="32" spans="1:21" x14ac:dyDescent="0.25">
      <c r="D32" s="186">
        <v>3</v>
      </c>
      <c r="E32" s="193">
        <f>J23</f>
        <v>8910</v>
      </c>
      <c r="F32" s="191">
        <f t="shared" si="8"/>
        <v>0</v>
      </c>
      <c r="G32" s="192">
        <f t="shared" si="9"/>
        <v>0</v>
      </c>
      <c r="H32" s="191">
        <f>IF(F32&gt;0,Planteamiento!$O$19,0)+Planteamiento!$N$19*'Tests fresh'!F32</f>
        <v>0</v>
      </c>
      <c r="I32" s="192">
        <f>IF(G32&gt;0,Planteamiento!$O$25,0)+Planteamiento!$N$25*'Tests fresh'!G32</f>
        <v>0</v>
      </c>
      <c r="K32" t="s">
        <v>108</v>
      </c>
      <c r="M32">
        <v>0</v>
      </c>
    </row>
    <row r="33" spans="1:14" x14ac:dyDescent="0.25">
      <c r="D33" s="186">
        <v>4</v>
      </c>
      <c r="E33" s="186"/>
      <c r="F33" s="191">
        <f t="shared" si="8"/>
        <v>0</v>
      </c>
      <c r="G33" s="192">
        <f t="shared" si="9"/>
        <v>0</v>
      </c>
      <c r="H33" s="191">
        <f>IF(F33&gt;0,Planteamiento!$O$19,0)+Planteamiento!$N$19*'Tests fresh'!F33</f>
        <v>0</v>
      </c>
      <c r="I33" s="192">
        <f>IF(G33&gt;0,Planteamiento!$O$25,0)+Planteamiento!$N$25*'Tests fresh'!G33</f>
        <v>0</v>
      </c>
      <c r="K33" t="s">
        <v>109</v>
      </c>
      <c r="L33" s="98">
        <f>E32</f>
        <v>8910</v>
      </c>
    </row>
    <row r="34" spans="1:14" x14ac:dyDescent="0.25">
      <c r="D34" s="186">
        <v>5</v>
      </c>
      <c r="E34" s="186"/>
      <c r="F34" s="191">
        <f t="shared" si="8"/>
        <v>0</v>
      </c>
      <c r="G34" s="192">
        <f t="shared" si="9"/>
        <v>0</v>
      </c>
      <c r="H34" s="191">
        <f>IF(F34&gt;0,Planteamiento!$O$19,0)+Planteamiento!$N$19*'Tests fresh'!F34</f>
        <v>0</v>
      </c>
      <c r="I34" s="192">
        <f>IF(G34&gt;0,Planteamiento!$O$25,0)+Planteamiento!$N$25*'Tests fresh'!G34</f>
        <v>0</v>
      </c>
    </row>
    <row r="35" spans="1:14" x14ac:dyDescent="0.25">
      <c r="D35" s="186">
        <v>6</v>
      </c>
      <c r="E35" s="186"/>
      <c r="F35" s="191">
        <f t="shared" si="8"/>
        <v>0</v>
      </c>
      <c r="G35" s="192">
        <f t="shared" si="9"/>
        <v>0</v>
      </c>
      <c r="H35" s="191">
        <f>IF(F35&gt;0,Planteamiento!$O$19,0)+Planteamiento!$N$19*'Tests fresh'!F35</f>
        <v>0</v>
      </c>
      <c r="I35" s="192">
        <f>IF(G35&gt;0,Planteamiento!$O$25,0)+Planteamiento!$N$25*'Tests fresh'!G35</f>
        <v>0</v>
      </c>
    </row>
    <row r="36" spans="1:14" x14ac:dyDescent="0.25">
      <c r="D36" s="186">
        <v>7</v>
      </c>
      <c r="E36" s="186"/>
      <c r="F36" s="191">
        <f t="shared" si="8"/>
        <v>0</v>
      </c>
      <c r="G36" s="191" t="str">
        <f t="shared" si="9"/>
        <v>NULL</v>
      </c>
      <c r="H36" s="191">
        <f>IF(F36&gt;0,Planteamiento!$O$19,0)+Planteamiento!$N$19*'Tests fresh'!F36</f>
        <v>0</v>
      </c>
      <c r="I36" s="191" t="s">
        <v>105</v>
      </c>
    </row>
    <row r="37" spans="1:14" x14ac:dyDescent="0.25">
      <c r="D37" s="186">
        <v>8</v>
      </c>
      <c r="E37" s="186"/>
      <c r="F37" s="191" t="str">
        <f t="shared" si="8"/>
        <v>NULL</v>
      </c>
      <c r="G37" s="192"/>
      <c r="H37" s="191" t="s">
        <v>105</v>
      </c>
      <c r="I37" s="192">
        <f>IF(G37&gt;0,Planteamiento!$O$25,0)+Planteamiento!$N$25*'Tests fresh'!G37</f>
        <v>0</v>
      </c>
    </row>
    <row r="38" spans="1:14" x14ac:dyDescent="0.25">
      <c r="D38" s="186">
        <v>9</v>
      </c>
      <c r="E38" s="186"/>
      <c r="F38" s="191"/>
      <c r="G38" s="192"/>
      <c r="H38" s="191">
        <f>IF(F38&gt;0,Planteamiento!$O$19,0)+Planteamiento!$N$19*'Tests fresh'!F38</f>
        <v>0</v>
      </c>
      <c r="I38" s="192">
        <f>IF(G38&gt;0,Planteamiento!$O$25,0)+Planteamiento!$N$25*'Tests fresh'!G38</f>
        <v>0</v>
      </c>
    </row>
    <row r="39" spans="1:14" x14ac:dyDescent="0.25">
      <c r="E39" t="s">
        <v>105</v>
      </c>
    </row>
    <row r="42" spans="1:14" x14ac:dyDescent="0.25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 t="s">
        <v>103</v>
      </c>
    </row>
    <row r="43" spans="1:14" x14ac:dyDescent="0.25">
      <c r="A43">
        <v>0</v>
      </c>
      <c r="B43">
        <v>0</v>
      </c>
      <c r="C43">
        <v>1200</v>
      </c>
      <c r="D43">
        <v>3040</v>
      </c>
      <c r="E43">
        <v>3390</v>
      </c>
      <c r="F43">
        <v>1740</v>
      </c>
      <c r="G43">
        <v>1130</v>
      </c>
      <c r="H43">
        <v>1300</v>
      </c>
      <c r="I43">
        <v>4070</v>
      </c>
      <c r="J43">
        <v>900</v>
      </c>
      <c r="K43" t="s">
        <v>113</v>
      </c>
    </row>
    <row r="44" spans="1:14" x14ac:dyDescent="0.25">
      <c r="A44">
        <v>945</v>
      </c>
      <c r="B44">
        <v>750</v>
      </c>
      <c r="C44">
        <v>423</v>
      </c>
      <c r="D44">
        <v>190</v>
      </c>
      <c r="E44">
        <v>990</v>
      </c>
      <c r="F44">
        <v>840</v>
      </c>
      <c r="G44">
        <v>230</v>
      </c>
      <c r="H44">
        <v>1000</v>
      </c>
      <c r="I44">
        <v>3470</v>
      </c>
      <c r="J44">
        <v>900</v>
      </c>
      <c r="K44" t="s">
        <v>112</v>
      </c>
    </row>
    <row r="46" spans="1:14" x14ac:dyDescent="0.25">
      <c r="A46">
        <f t="shared" ref="A46:B46" si="10">A43-A44</f>
        <v>-945</v>
      </c>
      <c r="B46">
        <f t="shared" si="10"/>
        <v>-750</v>
      </c>
      <c r="C46">
        <f>C43-C44</f>
        <v>777</v>
      </c>
      <c r="D46">
        <f t="shared" ref="D46:J46" si="11">D43-D44</f>
        <v>2850</v>
      </c>
      <c r="E46">
        <f t="shared" si="11"/>
        <v>2400</v>
      </c>
      <c r="F46">
        <f t="shared" si="11"/>
        <v>900</v>
      </c>
      <c r="G46">
        <f t="shared" si="11"/>
        <v>900</v>
      </c>
      <c r="H46">
        <f t="shared" si="11"/>
        <v>300</v>
      </c>
      <c r="I46">
        <f t="shared" si="11"/>
        <v>600</v>
      </c>
      <c r="J46">
        <f t="shared" si="11"/>
        <v>0</v>
      </c>
      <c r="K46" t="s">
        <v>114</v>
      </c>
    </row>
    <row r="48" spans="1:14" x14ac:dyDescent="0.25">
      <c r="A48" s="220"/>
      <c r="B48" s="220"/>
      <c r="C48" s="220"/>
      <c r="D48" s="220"/>
      <c r="E48" s="220"/>
      <c r="F48" s="220"/>
      <c r="G48" s="220"/>
      <c r="H48" s="220"/>
      <c r="I48" s="220"/>
      <c r="J48" s="220"/>
      <c r="K48" s="220"/>
      <c r="L48" s="220"/>
      <c r="M48" s="220"/>
      <c r="N48" s="220"/>
    </row>
    <row r="49" spans="1:23" x14ac:dyDescent="0.25">
      <c r="A49" s="221" t="s">
        <v>128</v>
      </c>
      <c r="B49" s="223" t="s">
        <v>10</v>
      </c>
      <c r="C49" s="223" t="s">
        <v>8</v>
      </c>
      <c r="D49" s="219">
        <v>56</v>
      </c>
      <c r="E49" s="223" t="s">
        <v>19</v>
      </c>
      <c r="F49" s="219">
        <v>1500</v>
      </c>
      <c r="G49" s="220"/>
      <c r="H49" s="220"/>
      <c r="I49" s="220"/>
      <c r="J49" s="220"/>
      <c r="K49" s="220"/>
      <c r="L49" s="220"/>
      <c r="M49" s="220"/>
      <c r="N49" s="220"/>
    </row>
    <row r="50" spans="1:23" x14ac:dyDescent="0.25">
      <c r="A50" s="221">
        <v>0</v>
      </c>
      <c r="B50" s="221">
        <v>0</v>
      </c>
      <c r="C50" s="221">
        <v>0</v>
      </c>
      <c r="D50" s="221">
        <v>1770</v>
      </c>
      <c r="E50" s="221">
        <v>1800</v>
      </c>
      <c r="F50" s="221">
        <v>0</v>
      </c>
      <c r="G50" s="221">
        <v>1200</v>
      </c>
      <c r="H50" s="221">
        <v>0</v>
      </c>
      <c r="I50" s="221">
        <v>600</v>
      </c>
      <c r="J50" s="221">
        <v>0</v>
      </c>
      <c r="K50" s="239" t="s">
        <v>128</v>
      </c>
      <c r="L50" s="221"/>
      <c r="M50" s="225" t="s">
        <v>135</v>
      </c>
      <c r="N50" s="221">
        <f>B62-1+0</f>
        <v>3</v>
      </c>
      <c r="W50" s="238"/>
    </row>
    <row r="51" spans="1:23" x14ac:dyDescent="0.25">
      <c r="A51" s="221">
        <v>1</v>
      </c>
      <c r="B51" s="221">
        <v>2</v>
      </c>
      <c r="C51" s="221">
        <v>3</v>
      </c>
      <c r="D51" s="221">
        <v>4</v>
      </c>
      <c r="E51" s="221">
        <v>5</v>
      </c>
      <c r="F51" s="221">
        <v>6</v>
      </c>
      <c r="G51" s="221">
        <v>7</v>
      </c>
      <c r="H51" s="221">
        <v>8</v>
      </c>
      <c r="I51" s="221">
        <v>9</v>
      </c>
      <c r="J51" s="221">
        <v>10</v>
      </c>
      <c r="K51" s="239"/>
      <c r="L51" s="221"/>
      <c r="M51" s="226" t="s">
        <v>136</v>
      </c>
      <c r="N51" s="221">
        <f>N50+1</f>
        <v>4</v>
      </c>
      <c r="W51" s="238"/>
    </row>
    <row r="52" spans="1:23" x14ac:dyDescent="0.25">
      <c r="A52" s="221"/>
      <c r="B52" s="221"/>
      <c r="C52" s="221"/>
      <c r="D52" s="221"/>
      <c r="E52" s="221"/>
      <c r="F52" s="221"/>
      <c r="G52" s="221"/>
      <c r="H52" s="221"/>
      <c r="I52" s="221"/>
      <c r="J52" s="221"/>
      <c r="K52" s="221">
        <f>SUM(A50:J50)</f>
        <v>5370</v>
      </c>
      <c r="L52" s="221"/>
      <c r="M52" s="221" t="s">
        <v>133</v>
      </c>
      <c r="N52" s="221"/>
    </row>
    <row r="53" spans="1:23" x14ac:dyDescent="0.25">
      <c r="A53" s="221" t="s">
        <v>130</v>
      </c>
      <c r="B53" s="221"/>
      <c r="C53" s="221"/>
      <c r="D53" s="221"/>
      <c r="E53" s="221"/>
      <c r="F53" s="221"/>
      <c r="G53" s="221"/>
      <c r="H53" s="221"/>
      <c r="I53" s="221"/>
      <c r="J53" s="221"/>
      <c r="K53" s="221"/>
      <c r="L53" s="221"/>
      <c r="M53" s="221"/>
      <c r="N53" s="221"/>
    </row>
    <row r="54" spans="1:23" x14ac:dyDescent="0.25">
      <c r="A54" s="221">
        <f>A50+B50+C50</f>
        <v>0</v>
      </c>
      <c r="B54" s="221">
        <v>0</v>
      </c>
      <c r="C54" s="221">
        <v>0</v>
      </c>
      <c r="D54" s="221">
        <f>D50</f>
        <v>1770</v>
      </c>
      <c r="E54" s="221">
        <f>E50+F50</f>
        <v>1800</v>
      </c>
      <c r="F54" s="221">
        <f>F50</f>
        <v>0</v>
      </c>
      <c r="G54" s="221">
        <f>G50+H50</f>
        <v>1200</v>
      </c>
      <c r="H54" s="221">
        <v>0</v>
      </c>
      <c r="I54" s="221">
        <f>I50+J50</f>
        <v>600</v>
      </c>
      <c r="J54" s="221">
        <v>0</v>
      </c>
      <c r="K54" s="221">
        <f>SUM(A54:J54)</f>
        <v>5370</v>
      </c>
      <c r="L54" s="221"/>
      <c r="M54" s="221"/>
      <c r="N54" s="221"/>
    </row>
    <row r="55" spans="1:23" x14ac:dyDescent="0.25">
      <c r="A55" s="221">
        <v>1</v>
      </c>
      <c r="B55" s="221">
        <v>2</v>
      </c>
      <c r="C55" s="221">
        <v>3</v>
      </c>
      <c r="D55" s="221">
        <v>4</v>
      </c>
      <c r="E55" s="221">
        <v>5</v>
      </c>
      <c r="F55" s="221">
        <v>6</v>
      </c>
      <c r="G55" s="221">
        <v>7</v>
      </c>
      <c r="H55" s="221">
        <v>8</v>
      </c>
      <c r="I55" s="221">
        <v>9</v>
      </c>
      <c r="J55" s="221">
        <v>10</v>
      </c>
      <c r="K55" s="220"/>
      <c r="L55" s="220"/>
      <c r="M55" s="220"/>
      <c r="N55" s="220"/>
    </row>
    <row r="56" spans="1:23" x14ac:dyDescent="0.25">
      <c r="A56" s="220"/>
      <c r="B56" s="220"/>
      <c r="C56" s="220"/>
      <c r="D56" s="220"/>
      <c r="E56" s="220"/>
      <c r="F56" s="220"/>
      <c r="G56" s="220"/>
      <c r="H56" s="220"/>
      <c r="I56" s="220"/>
      <c r="J56" s="220"/>
      <c r="K56" s="220"/>
      <c r="L56" s="220"/>
      <c r="M56" s="220"/>
      <c r="N56" s="220"/>
    </row>
    <row r="57" spans="1:23" x14ac:dyDescent="0.25">
      <c r="A57" s="221" t="s">
        <v>134</v>
      </c>
      <c r="B57" s="220"/>
      <c r="C57" s="220"/>
      <c r="D57" s="220"/>
      <c r="E57" s="220"/>
      <c r="F57" s="220"/>
      <c r="G57" s="220"/>
      <c r="H57" s="220"/>
      <c r="I57" s="220"/>
      <c r="J57" s="220"/>
      <c r="K57" s="221"/>
      <c r="L57" s="221"/>
      <c r="M57" s="221"/>
      <c r="N57" s="221"/>
    </row>
    <row r="58" spans="1:23" x14ac:dyDescent="0.25">
      <c r="A58" s="227">
        <v>0</v>
      </c>
      <c r="B58" s="221" t="s">
        <v>129</v>
      </c>
      <c r="C58" s="221">
        <v>1</v>
      </c>
      <c r="D58" s="221">
        <v>2</v>
      </c>
      <c r="E58" s="221">
        <v>3</v>
      </c>
      <c r="F58" s="221">
        <v>4</v>
      </c>
      <c r="G58" s="221">
        <v>5</v>
      </c>
      <c r="H58" s="221">
        <v>6</v>
      </c>
      <c r="I58" s="221">
        <v>7</v>
      </c>
      <c r="J58" s="221">
        <v>8</v>
      </c>
      <c r="K58" s="221">
        <v>9</v>
      </c>
      <c r="L58" s="221">
        <v>10</v>
      </c>
      <c r="M58" s="221"/>
      <c r="N58" s="221"/>
    </row>
    <row r="59" spans="1:23" x14ac:dyDescent="0.25">
      <c r="A59" s="226">
        <v>1</v>
      </c>
      <c r="B59" s="221">
        <v>1</v>
      </c>
      <c r="C59" s="222">
        <v>0</v>
      </c>
      <c r="D59" s="222"/>
      <c r="E59" s="222"/>
      <c r="F59" s="222"/>
      <c r="G59" s="222"/>
      <c r="H59" s="222"/>
      <c r="I59" s="222"/>
      <c r="J59" s="222"/>
      <c r="K59" s="222"/>
      <c r="L59" s="222"/>
      <c r="M59" s="243">
        <f t="shared" ref="M59:M60" si="12">($F$49+SUM(C59:L59))/B59</f>
        <v>1500</v>
      </c>
      <c r="N59" s="221"/>
    </row>
    <row r="60" spans="1:23" x14ac:dyDescent="0.25">
      <c r="A60" s="221">
        <v>2</v>
      </c>
      <c r="B60" s="221">
        <v>2</v>
      </c>
      <c r="C60" s="222">
        <f>0*B50*$D$49</f>
        <v>0</v>
      </c>
      <c r="D60" s="222">
        <f>C$58*B50*$D$49</f>
        <v>0</v>
      </c>
      <c r="E60" s="222"/>
      <c r="F60" s="222"/>
      <c r="G60" s="222"/>
      <c r="H60" s="222"/>
      <c r="I60" s="222"/>
      <c r="J60" s="222"/>
      <c r="K60" s="222"/>
      <c r="L60" s="222"/>
      <c r="M60" s="243">
        <f t="shared" si="12"/>
        <v>750</v>
      </c>
      <c r="N60" s="221" t="str">
        <f t="shared" ref="N60:N61" si="13">IF(M60&gt;M59,"YA","")</f>
        <v/>
      </c>
    </row>
    <row r="61" spans="1:23" x14ac:dyDescent="0.25">
      <c r="A61" s="227">
        <v>3</v>
      </c>
      <c r="B61" s="221">
        <v>3</v>
      </c>
      <c r="C61" s="222">
        <f>C$58*B$50*$D$49</f>
        <v>0</v>
      </c>
      <c r="D61" s="222">
        <f>C$58*B$50*$D$49</f>
        <v>0</v>
      </c>
      <c r="E61" s="222">
        <f>D$58*C$50*$D$49</f>
        <v>0</v>
      </c>
      <c r="F61" s="222"/>
      <c r="G61" s="222"/>
      <c r="H61" s="222"/>
      <c r="I61" s="222"/>
      <c r="J61" s="222"/>
      <c r="K61" s="222"/>
      <c r="L61" s="222"/>
      <c r="M61" s="243">
        <f>($F$49+SUM(C61:L61))/B61</f>
        <v>500</v>
      </c>
      <c r="N61" s="221" t="str">
        <f t="shared" si="13"/>
        <v/>
      </c>
    </row>
    <row r="62" spans="1:23" x14ac:dyDescent="0.25">
      <c r="A62" s="226">
        <v>4</v>
      </c>
      <c r="B62" s="221">
        <v>4</v>
      </c>
      <c r="C62" s="222">
        <f>0*A$50*$D$49</f>
        <v>0</v>
      </c>
      <c r="D62" s="222">
        <f>C$58*B$50*$D$49</f>
        <v>0</v>
      </c>
      <c r="E62" s="222">
        <f>D$58*C$50*$D$49</f>
        <v>0</v>
      </c>
      <c r="F62" s="222">
        <f>E$58*D$50*$D$49</f>
        <v>297360</v>
      </c>
      <c r="G62" s="222"/>
      <c r="H62" s="222"/>
      <c r="I62" s="222"/>
      <c r="J62" s="222"/>
      <c r="K62" s="222"/>
      <c r="L62" s="222"/>
      <c r="M62" s="243">
        <f>($F$49+SUM(C62:L62))/B62</f>
        <v>74715</v>
      </c>
      <c r="N62" s="221" t="str">
        <f>IF(M62&gt;M61,"YA","")</f>
        <v>YA</v>
      </c>
    </row>
    <row r="63" spans="1:23" x14ac:dyDescent="0.25">
      <c r="A63" s="221"/>
      <c r="B63" s="221"/>
      <c r="C63" s="222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1"/>
    </row>
    <row r="64" spans="1:23" x14ac:dyDescent="0.25">
      <c r="A64" s="221" t="s">
        <v>129</v>
      </c>
      <c r="B64" s="221" t="s">
        <v>129</v>
      </c>
      <c r="C64" s="221">
        <v>1</v>
      </c>
      <c r="D64" s="221">
        <v>2</v>
      </c>
      <c r="E64" s="221">
        <v>3</v>
      </c>
      <c r="F64" s="221">
        <v>4</v>
      </c>
      <c r="G64" s="221">
        <v>5</v>
      </c>
      <c r="H64" s="221">
        <v>6</v>
      </c>
      <c r="I64" s="221">
        <v>7</v>
      </c>
      <c r="J64" s="221">
        <v>8</v>
      </c>
      <c r="K64" s="221">
        <v>9</v>
      </c>
      <c r="L64" s="221">
        <v>10</v>
      </c>
      <c r="M64" s="221"/>
      <c r="N64" s="221"/>
    </row>
    <row r="65" spans="1:14" x14ac:dyDescent="0.25">
      <c r="A65" s="227">
        <v>4</v>
      </c>
      <c r="B65" s="221">
        <v>1</v>
      </c>
      <c r="C65" s="222">
        <f>0</f>
        <v>0</v>
      </c>
      <c r="D65" s="222"/>
      <c r="E65" s="222"/>
      <c r="F65" s="222"/>
      <c r="G65" s="222"/>
      <c r="H65" s="222"/>
      <c r="I65" s="222"/>
      <c r="J65" s="222"/>
      <c r="K65" s="222"/>
      <c r="L65" s="222"/>
      <c r="M65" s="243">
        <f t="shared" ref="M65:M66" si="14">($F$49+SUM(C65:L65))/B65</f>
        <v>1500</v>
      </c>
      <c r="N65" s="221"/>
    </row>
    <row r="66" spans="1:14" x14ac:dyDescent="0.25">
      <c r="A66" s="226">
        <v>5</v>
      </c>
      <c r="B66" s="221">
        <v>2</v>
      </c>
      <c r="C66" s="222">
        <f>0</f>
        <v>0</v>
      </c>
      <c r="D66" s="222">
        <f>E$50*$D$49*C$64</f>
        <v>100800</v>
      </c>
      <c r="E66" s="222"/>
      <c r="F66" s="222"/>
      <c r="G66" s="222"/>
      <c r="H66" s="222"/>
      <c r="I66" s="222"/>
      <c r="J66" s="222"/>
      <c r="K66" s="222"/>
      <c r="L66" s="222"/>
      <c r="M66" s="243">
        <f>($F$49+SUM(C66:L66))/B66</f>
        <v>51150</v>
      </c>
      <c r="N66" s="221" t="str">
        <f t="shared" ref="N66" si="15">IF(M66&gt;M65,"YA","")</f>
        <v>YA</v>
      </c>
    </row>
    <row r="67" spans="1:14" x14ac:dyDescent="0.25">
      <c r="A67" s="221"/>
      <c r="B67" s="221"/>
      <c r="C67" s="222"/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1"/>
    </row>
    <row r="68" spans="1:14" x14ac:dyDescent="0.25">
      <c r="A68" s="221" t="s">
        <v>129</v>
      </c>
      <c r="B68" s="221" t="s">
        <v>129</v>
      </c>
      <c r="C68" s="221">
        <v>1</v>
      </c>
      <c r="D68" s="221">
        <v>2</v>
      </c>
      <c r="E68" s="221">
        <v>3</v>
      </c>
      <c r="F68" s="221">
        <v>4</v>
      </c>
      <c r="G68" s="221">
        <v>5</v>
      </c>
      <c r="H68" s="221">
        <v>6</v>
      </c>
      <c r="I68" s="221">
        <v>7</v>
      </c>
      <c r="J68" s="221">
        <v>8</v>
      </c>
      <c r="K68" s="221">
        <v>9</v>
      </c>
      <c r="L68" s="221">
        <v>10</v>
      </c>
      <c r="M68" s="221"/>
      <c r="N68" s="221"/>
    </row>
    <row r="69" spans="1:14" x14ac:dyDescent="0.25">
      <c r="A69" s="221">
        <v>5</v>
      </c>
      <c r="B69" s="221">
        <v>1</v>
      </c>
      <c r="C69" s="222">
        <v>0</v>
      </c>
      <c r="D69" s="222"/>
      <c r="E69" s="222"/>
      <c r="F69" s="222"/>
      <c r="G69" s="222"/>
      <c r="H69" s="222"/>
      <c r="I69" s="222"/>
      <c r="J69" s="222"/>
      <c r="K69" s="222"/>
      <c r="L69" s="222"/>
      <c r="M69" s="243">
        <f t="shared" ref="M69:M70" si="16">($F$49+SUM(C69:L69))/B69</f>
        <v>1500</v>
      </c>
      <c r="N69" s="221"/>
    </row>
    <row r="70" spans="1:14" x14ac:dyDescent="0.25">
      <c r="A70" s="227">
        <v>6</v>
      </c>
      <c r="B70" s="221">
        <v>2</v>
      </c>
      <c r="C70" s="222">
        <v>0</v>
      </c>
      <c r="D70" s="222">
        <f>F$50*$D$49*C$68</f>
        <v>0</v>
      </c>
      <c r="E70" s="222"/>
      <c r="F70" s="222"/>
      <c r="G70" s="222"/>
      <c r="H70" s="222"/>
      <c r="I70" s="222"/>
      <c r="J70" s="222"/>
      <c r="K70" s="222"/>
      <c r="L70" s="222"/>
      <c r="M70" s="243">
        <f t="shared" si="16"/>
        <v>750</v>
      </c>
      <c r="N70" s="221" t="str">
        <f>IF(M70&gt;M69,"YA","")</f>
        <v/>
      </c>
    </row>
    <row r="71" spans="1:14" x14ac:dyDescent="0.25">
      <c r="A71" s="226">
        <v>7</v>
      </c>
      <c r="B71" s="221">
        <v>3</v>
      </c>
      <c r="C71" s="222">
        <v>0</v>
      </c>
      <c r="D71" s="222">
        <f>F$50*$D$49*C$68</f>
        <v>0</v>
      </c>
      <c r="E71" s="222">
        <f>G$50*$D$49*D$68</f>
        <v>134400</v>
      </c>
      <c r="F71" s="222"/>
      <c r="G71" s="222"/>
      <c r="H71" s="222"/>
      <c r="I71" s="222"/>
      <c r="J71" s="222"/>
      <c r="K71" s="222"/>
      <c r="L71" s="222"/>
      <c r="M71" s="243">
        <f t="shared" ref="M71" si="17">($F$49+SUM(C71:L71))/B71</f>
        <v>45300</v>
      </c>
      <c r="N71" s="221" t="str">
        <f>IF(M71&gt;M70,"YA","")</f>
        <v>YA</v>
      </c>
    </row>
    <row r="72" spans="1:14" x14ac:dyDescent="0.25">
      <c r="A72" s="221"/>
      <c r="B72" s="221"/>
      <c r="C72" s="222"/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1"/>
    </row>
    <row r="73" spans="1:14" x14ac:dyDescent="0.25">
      <c r="A73" s="221" t="s">
        <v>129</v>
      </c>
      <c r="B73" s="221" t="s">
        <v>129</v>
      </c>
      <c r="C73" s="221">
        <v>1</v>
      </c>
      <c r="D73" s="221">
        <v>2</v>
      </c>
      <c r="E73" s="221">
        <v>3</v>
      </c>
      <c r="F73" s="221">
        <v>4</v>
      </c>
      <c r="G73" s="221">
        <v>5</v>
      </c>
      <c r="H73" s="221">
        <v>6</v>
      </c>
      <c r="I73" s="221">
        <v>7</v>
      </c>
      <c r="J73" s="221">
        <v>8</v>
      </c>
      <c r="K73" s="221">
        <v>9</v>
      </c>
      <c r="L73" s="221">
        <v>10</v>
      </c>
      <c r="M73" s="221"/>
      <c r="N73" s="221"/>
    </row>
    <row r="74" spans="1:14" x14ac:dyDescent="0.25">
      <c r="A74" s="221">
        <v>7</v>
      </c>
      <c r="B74" s="221">
        <v>1</v>
      </c>
      <c r="C74" s="222">
        <f>0</f>
        <v>0</v>
      </c>
      <c r="D74" s="222"/>
      <c r="E74" s="222"/>
      <c r="F74" s="222"/>
      <c r="G74" s="222"/>
      <c r="H74" s="222"/>
      <c r="I74" s="222"/>
      <c r="J74" s="222"/>
      <c r="K74" s="222"/>
      <c r="L74" s="222"/>
      <c r="M74" s="243">
        <f t="shared" ref="M74:M75" si="18">($F$49+SUM(C74:L74))/B74</f>
        <v>1500</v>
      </c>
      <c r="N74" s="221"/>
    </row>
    <row r="75" spans="1:14" x14ac:dyDescent="0.25">
      <c r="A75" s="227">
        <v>8</v>
      </c>
      <c r="B75" s="221">
        <v>2</v>
      </c>
      <c r="C75" s="222">
        <v>0</v>
      </c>
      <c r="D75" s="222">
        <f>H$50*$D$49*C$73</f>
        <v>0</v>
      </c>
      <c r="E75" s="222"/>
      <c r="F75" s="222"/>
      <c r="G75" s="222"/>
      <c r="H75" s="222"/>
      <c r="I75" s="222"/>
      <c r="J75" s="222"/>
      <c r="K75" s="222"/>
      <c r="L75" s="222"/>
      <c r="M75" s="243">
        <f t="shared" si="18"/>
        <v>750</v>
      </c>
      <c r="N75" s="221" t="str">
        <f>IF(M75&gt;M74,"YA","")</f>
        <v/>
      </c>
    </row>
    <row r="76" spans="1:14" x14ac:dyDescent="0.25">
      <c r="A76" s="226">
        <v>9</v>
      </c>
      <c r="B76" s="221">
        <v>3</v>
      </c>
      <c r="C76" s="222">
        <f>0</f>
        <v>0</v>
      </c>
      <c r="D76" s="222">
        <f>H$50*$D$49*C$73</f>
        <v>0</v>
      </c>
      <c r="E76" s="222">
        <f>I$50*$D$49*D$73</f>
        <v>67200</v>
      </c>
      <c r="F76" s="222"/>
      <c r="G76" s="222"/>
      <c r="H76" s="222"/>
      <c r="I76" s="222"/>
      <c r="J76" s="222"/>
      <c r="K76" s="222"/>
      <c r="L76" s="222"/>
      <c r="M76" s="243">
        <f t="shared" ref="M76" si="19">($F$49+SUM(C76:L76))/B76</f>
        <v>22900</v>
      </c>
      <c r="N76" s="221" t="str">
        <f>IF(M76&gt;M75,"YA","")</f>
        <v>YA</v>
      </c>
    </row>
    <row r="77" spans="1:14" x14ac:dyDescent="0.25">
      <c r="A77" s="221"/>
      <c r="B77" s="221"/>
      <c r="C77" s="222"/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1"/>
    </row>
    <row r="78" spans="1:14" x14ac:dyDescent="0.25">
      <c r="A78" s="221" t="s">
        <v>129</v>
      </c>
      <c r="B78" s="221" t="s">
        <v>129</v>
      </c>
      <c r="C78" s="221">
        <v>1</v>
      </c>
      <c r="D78" s="221">
        <v>2</v>
      </c>
      <c r="E78" s="221">
        <v>3</v>
      </c>
      <c r="F78" s="221">
        <v>4</v>
      </c>
      <c r="G78" s="221">
        <v>5</v>
      </c>
      <c r="H78" s="221">
        <v>6</v>
      </c>
      <c r="I78" s="221">
        <v>7</v>
      </c>
      <c r="J78" s="221">
        <v>8</v>
      </c>
      <c r="K78" s="221">
        <v>9</v>
      </c>
      <c r="L78" s="221">
        <v>10</v>
      </c>
      <c r="M78" s="221"/>
      <c r="N78" s="221"/>
    </row>
    <row r="79" spans="1:14" x14ac:dyDescent="0.25">
      <c r="A79" s="221">
        <v>9</v>
      </c>
      <c r="B79" s="221">
        <v>1</v>
      </c>
      <c r="C79" s="222">
        <f>0</f>
        <v>0</v>
      </c>
      <c r="D79" s="222"/>
      <c r="E79" s="222"/>
      <c r="F79" s="222"/>
      <c r="G79" s="222"/>
      <c r="H79" s="222"/>
      <c r="I79" s="222"/>
      <c r="J79" s="222"/>
      <c r="K79" s="222"/>
      <c r="L79" s="222"/>
      <c r="M79" s="222">
        <f t="shared" ref="M79:M80" si="20">($F$49+SUM(C79:L79))/B79</f>
        <v>1500</v>
      </c>
      <c r="N79" s="221"/>
    </row>
    <row r="80" spans="1:14" x14ac:dyDescent="0.25">
      <c r="A80" s="227">
        <v>10</v>
      </c>
      <c r="B80" s="221">
        <v>2</v>
      </c>
      <c r="C80" s="222">
        <v>0</v>
      </c>
      <c r="D80" s="222">
        <f>J$50*$D$49*C$78</f>
        <v>0</v>
      </c>
      <c r="E80" s="222"/>
      <c r="F80" s="222"/>
      <c r="G80" s="222"/>
      <c r="H80" s="222"/>
      <c r="I80" s="222"/>
      <c r="J80" s="222"/>
      <c r="K80" s="222"/>
      <c r="L80" s="222"/>
      <c r="M80" s="222">
        <f t="shared" si="20"/>
        <v>750</v>
      </c>
      <c r="N80" s="221" t="str">
        <f>IF(M80&gt;M79,"YA","")</f>
        <v/>
      </c>
    </row>
    <row r="81" spans="1:14" x14ac:dyDescent="0.25">
      <c r="A81" s="221"/>
      <c r="B81" s="221"/>
      <c r="C81" s="222"/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1"/>
    </row>
    <row r="82" spans="1:14" x14ac:dyDescent="0.25">
      <c r="A82" s="220"/>
      <c r="B82" s="220"/>
      <c r="C82" s="220"/>
      <c r="D82" s="220"/>
      <c r="E82" s="220"/>
      <c r="F82" s="220"/>
      <c r="G82" s="220"/>
      <c r="H82" s="220"/>
      <c r="I82" s="220"/>
      <c r="J82" s="220"/>
      <c r="K82" s="220"/>
      <c r="L82" s="220"/>
      <c r="M82" s="220"/>
      <c r="N82" s="220"/>
    </row>
    <row r="83" spans="1:14" x14ac:dyDescent="0.25">
      <c r="A83" t="s">
        <v>131</v>
      </c>
    </row>
    <row r="84" spans="1:14" x14ac:dyDescent="0.25">
      <c r="A84" t="s">
        <v>132</v>
      </c>
    </row>
    <row r="86" spans="1:14" x14ac:dyDescent="0.25">
      <c r="A86" s="220"/>
      <c r="B86" s="220"/>
      <c r="C86" s="220"/>
      <c r="D86" s="220"/>
      <c r="E86" s="220"/>
      <c r="F86" s="220"/>
      <c r="G86" s="220"/>
      <c r="H86" s="220"/>
      <c r="I86" s="220"/>
      <c r="J86" s="220"/>
      <c r="K86" s="220"/>
      <c r="L86" s="220"/>
      <c r="M86" s="220"/>
      <c r="N86" s="220"/>
    </row>
    <row r="87" spans="1:14" x14ac:dyDescent="0.25">
      <c r="A87" s="221" t="s">
        <v>128</v>
      </c>
      <c r="B87" s="223" t="s">
        <v>10</v>
      </c>
      <c r="C87" s="223" t="s">
        <v>8</v>
      </c>
      <c r="D87" s="224">
        <v>56</v>
      </c>
      <c r="E87" s="223" t="s">
        <v>19</v>
      </c>
      <c r="F87" s="224">
        <v>1500</v>
      </c>
      <c r="G87" s="220"/>
      <c r="H87" s="220"/>
      <c r="I87" s="220"/>
      <c r="J87" s="220"/>
      <c r="K87" s="220"/>
      <c r="L87" s="220"/>
      <c r="M87" s="220"/>
      <c r="N87" s="220"/>
    </row>
    <row r="88" spans="1:14" x14ac:dyDescent="0.25">
      <c r="A88" s="221">
        <v>0</v>
      </c>
      <c r="B88" s="221">
        <v>0</v>
      </c>
      <c r="C88" s="221">
        <v>0</v>
      </c>
      <c r="D88" s="221">
        <v>0</v>
      </c>
      <c r="E88" s="221">
        <v>140</v>
      </c>
      <c r="F88" s="221">
        <v>200</v>
      </c>
      <c r="G88" s="221">
        <v>694</v>
      </c>
      <c r="H88" s="221">
        <v>1800</v>
      </c>
      <c r="I88" s="221">
        <v>0</v>
      </c>
      <c r="J88" s="221">
        <v>0</v>
      </c>
      <c r="K88" s="239" t="s">
        <v>128</v>
      </c>
      <c r="L88" s="221"/>
      <c r="M88" s="225" t="s">
        <v>135</v>
      </c>
      <c r="N88" s="221">
        <f>B100-1+0</f>
        <v>3</v>
      </c>
    </row>
    <row r="89" spans="1:14" x14ac:dyDescent="0.25">
      <c r="A89" s="221">
        <v>1</v>
      </c>
      <c r="B89" s="221">
        <v>2</v>
      </c>
      <c r="C89" s="221">
        <v>3</v>
      </c>
      <c r="D89" s="221">
        <v>4</v>
      </c>
      <c r="E89" s="221">
        <v>5</v>
      </c>
      <c r="F89" s="221">
        <v>6</v>
      </c>
      <c r="G89" s="221">
        <v>7</v>
      </c>
      <c r="H89" s="221">
        <v>8</v>
      </c>
      <c r="I89" s="221">
        <v>9</v>
      </c>
      <c r="J89" s="221">
        <v>10</v>
      </c>
      <c r="K89" s="239"/>
      <c r="L89" s="221"/>
      <c r="M89" s="226" t="s">
        <v>136</v>
      </c>
      <c r="N89" s="221">
        <f>N88+1</f>
        <v>4</v>
      </c>
    </row>
    <row r="90" spans="1:14" x14ac:dyDescent="0.25">
      <c r="A90" s="221"/>
      <c r="B90" s="221"/>
      <c r="C90" s="221"/>
      <c r="D90" s="221"/>
      <c r="E90" s="221"/>
      <c r="F90" s="221"/>
      <c r="G90" s="221"/>
      <c r="H90" s="221"/>
      <c r="I90" s="221"/>
      <c r="J90" s="221"/>
      <c r="K90" s="221">
        <f>SUM(A88:J88)</f>
        <v>2834</v>
      </c>
      <c r="L90" s="221"/>
      <c r="M90" s="221" t="s">
        <v>133</v>
      </c>
      <c r="N90" s="221"/>
    </row>
    <row r="91" spans="1:14" x14ac:dyDescent="0.25">
      <c r="A91" s="221" t="s">
        <v>130</v>
      </c>
      <c r="B91" s="221"/>
      <c r="C91" s="221"/>
      <c r="D91" s="221"/>
      <c r="E91" s="221"/>
      <c r="F91" s="221"/>
      <c r="G91" s="221"/>
      <c r="H91" s="221"/>
      <c r="I91" s="221"/>
      <c r="J91" s="221"/>
      <c r="K91" s="221"/>
      <c r="L91" s="221"/>
      <c r="M91" s="221"/>
      <c r="N91" s="221"/>
    </row>
    <row r="92" spans="1:14" x14ac:dyDescent="0.25">
      <c r="A92" s="221">
        <f>A88+B88+C88</f>
        <v>0</v>
      </c>
      <c r="B92" s="221">
        <v>0</v>
      </c>
      <c r="C92" s="221">
        <v>0</v>
      </c>
      <c r="D92" s="221">
        <f>D88</f>
        <v>0</v>
      </c>
      <c r="E92" s="221">
        <f>E88+F88</f>
        <v>340</v>
      </c>
      <c r="F92" s="221">
        <f>F88</f>
        <v>200</v>
      </c>
      <c r="G92" s="221">
        <f>G88+H88</f>
        <v>2494</v>
      </c>
      <c r="H92" s="221">
        <v>0</v>
      </c>
      <c r="I92" s="221">
        <f>I88+J88</f>
        <v>0</v>
      </c>
      <c r="J92" s="221">
        <v>0</v>
      </c>
      <c r="K92" s="221">
        <f>SUM(A92:J92)</f>
        <v>3034</v>
      </c>
      <c r="L92" s="221"/>
      <c r="M92" s="221"/>
      <c r="N92" s="221"/>
    </row>
    <row r="93" spans="1:14" x14ac:dyDescent="0.25">
      <c r="A93" s="221">
        <v>1</v>
      </c>
      <c r="B93" s="221">
        <v>2</v>
      </c>
      <c r="C93" s="221">
        <v>3</v>
      </c>
      <c r="D93" s="221">
        <v>4</v>
      </c>
      <c r="E93" s="221">
        <v>5</v>
      </c>
      <c r="F93" s="221">
        <v>6</v>
      </c>
      <c r="G93" s="221">
        <v>7</v>
      </c>
      <c r="H93" s="221">
        <v>8</v>
      </c>
      <c r="I93" s="221">
        <v>9</v>
      </c>
      <c r="J93" s="221">
        <v>10</v>
      </c>
      <c r="K93" s="220"/>
      <c r="L93" s="220"/>
      <c r="M93" s="220"/>
      <c r="N93" s="220"/>
    </row>
    <row r="94" spans="1:14" x14ac:dyDescent="0.25">
      <c r="A94" s="220"/>
      <c r="B94" s="220"/>
      <c r="C94" s="220"/>
      <c r="D94" s="220"/>
      <c r="E94" s="220"/>
      <c r="F94" s="220"/>
      <c r="G94" s="220"/>
      <c r="H94" s="220"/>
      <c r="I94" s="220"/>
      <c r="J94" s="220"/>
      <c r="K94" s="220"/>
      <c r="L94" s="220"/>
      <c r="M94" s="220"/>
      <c r="N94" s="220"/>
    </row>
    <row r="95" spans="1:14" x14ac:dyDescent="0.25">
      <c r="A95" s="221" t="s">
        <v>134</v>
      </c>
      <c r="B95" s="220"/>
      <c r="C95" s="220"/>
      <c r="D95" s="220"/>
      <c r="E95" s="220"/>
      <c r="F95" s="220"/>
      <c r="G95" s="220"/>
      <c r="H95" s="220"/>
      <c r="I95" s="220"/>
      <c r="J95" s="220"/>
      <c r="K95" s="221"/>
      <c r="L95" s="221"/>
      <c r="M95" s="221"/>
      <c r="N95" s="221"/>
    </row>
    <row r="96" spans="1:14" x14ac:dyDescent="0.25">
      <c r="A96" s="227">
        <v>0</v>
      </c>
      <c r="B96" s="221" t="s">
        <v>129</v>
      </c>
      <c r="C96" s="221">
        <v>1</v>
      </c>
      <c r="D96" s="221">
        <v>2</v>
      </c>
      <c r="E96" s="221">
        <v>3</v>
      </c>
      <c r="F96" s="221">
        <v>4</v>
      </c>
      <c r="G96" s="221">
        <v>5</v>
      </c>
      <c r="H96" s="221">
        <v>6</v>
      </c>
      <c r="I96" s="221">
        <v>7</v>
      </c>
      <c r="J96" s="221">
        <v>8</v>
      </c>
      <c r="K96" s="221">
        <v>9</v>
      </c>
      <c r="L96" s="221">
        <v>10</v>
      </c>
      <c r="M96" s="221"/>
      <c r="N96" s="221"/>
    </row>
    <row r="97" spans="1:14" x14ac:dyDescent="0.25">
      <c r="A97" s="226">
        <v>1</v>
      </c>
      <c r="B97" s="221">
        <v>1</v>
      </c>
      <c r="C97" s="222">
        <v>0</v>
      </c>
      <c r="D97" s="222"/>
      <c r="E97" s="222"/>
      <c r="F97" s="222"/>
      <c r="G97" s="222"/>
      <c r="H97" s="222"/>
      <c r="I97" s="222"/>
      <c r="J97" s="222"/>
      <c r="K97" s="222"/>
      <c r="L97" s="222"/>
      <c r="M97" s="243">
        <f t="shared" ref="M97:M98" si="21">($F$49+SUM(C97:L97))/B97</f>
        <v>1500</v>
      </c>
      <c r="N97" s="221"/>
    </row>
    <row r="98" spans="1:14" x14ac:dyDescent="0.25">
      <c r="A98" s="221">
        <v>2</v>
      </c>
      <c r="B98" s="221">
        <v>2</v>
      </c>
      <c r="C98" s="222">
        <f>0*B88*$D$49</f>
        <v>0</v>
      </c>
      <c r="D98" s="222">
        <f>C$58*B88*$D$49</f>
        <v>0</v>
      </c>
      <c r="E98" s="222"/>
      <c r="F98" s="222"/>
      <c r="G98" s="222"/>
      <c r="H98" s="222"/>
      <c r="I98" s="222"/>
      <c r="J98" s="222"/>
      <c r="K98" s="222"/>
      <c r="L98" s="222"/>
      <c r="M98" s="243">
        <f t="shared" si="21"/>
        <v>750</v>
      </c>
      <c r="N98" s="221" t="str">
        <f t="shared" ref="N98:N99" si="22">IF(M98&gt;M97,"YA","")</f>
        <v/>
      </c>
    </row>
    <row r="99" spans="1:14" x14ac:dyDescent="0.25">
      <c r="A99" s="227">
        <v>3</v>
      </c>
      <c r="B99" s="221">
        <v>3</v>
      </c>
      <c r="C99" s="222">
        <f>C$58*B$50*$D$49</f>
        <v>0</v>
      </c>
      <c r="D99" s="222">
        <f>C$58*B$50*$D$49</f>
        <v>0</v>
      </c>
      <c r="E99" s="222">
        <f>D$58*C$50*$D$49</f>
        <v>0</v>
      </c>
      <c r="F99" s="222"/>
      <c r="G99" s="222"/>
      <c r="H99" s="222"/>
      <c r="I99" s="222"/>
      <c r="J99" s="222"/>
      <c r="K99" s="222"/>
      <c r="L99" s="222"/>
      <c r="M99" s="243">
        <f>($F$49+SUM(C99:L99))/B99</f>
        <v>500</v>
      </c>
      <c r="N99" s="221" t="str">
        <f t="shared" si="22"/>
        <v/>
      </c>
    </row>
    <row r="100" spans="1:14" x14ac:dyDescent="0.25">
      <c r="A100" s="226">
        <v>4</v>
      </c>
      <c r="B100" s="221">
        <v>4</v>
      </c>
      <c r="C100" s="222">
        <f>0*A$50*$D$49</f>
        <v>0</v>
      </c>
      <c r="D100" s="222">
        <f>C$58*B$50*$D$49</f>
        <v>0</v>
      </c>
      <c r="E100" s="222">
        <f>D$58*C$50*$D$49</f>
        <v>0</v>
      </c>
      <c r="F100" s="222">
        <f>E$58*D$50*$D$49</f>
        <v>297360</v>
      </c>
      <c r="G100" s="222"/>
      <c r="H100" s="222"/>
      <c r="I100" s="222"/>
      <c r="J100" s="222"/>
      <c r="K100" s="222"/>
      <c r="L100" s="222"/>
      <c r="M100" s="243">
        <f>($F$49+SUM(C100:L100))/B100</f>
        <v>74715</v>
      </c>
      <c r="N100" s="221" t="str">
        <f>IF(M100&gt;M99,"YA","")</f>
        <v>YA</v>
      </c>
    </row>
    <row r="101" spans="1:14" x14ac:dyDescent="0.25">
      <c r="A101" s="221"/>
      <c r="B101" s="221"/>
      <c r="C101" s="222"/>
      <c r="D101" s="222"/>
      <c r="E101" s="222"/>
      <c r="F101" s="222"/>
      <c r="G101" s="222"/>
      <c r="H101" s="222"/>
      <c r="I101" s="222"/>
      <c r="J101" s="222"/>
      <c r="K101" s="222"/>
      <c r="L101" s="222"/>
      <c r="M101" s="222"/>
      <c r="N101" s="221"/>
    </row>
    <row r="102" spans="1:14" x14ac:dyDescent="0.25">
      <c r="A102" s="221" t="s">
        <v>129</v>
      </c>
      <c r="B102" s="221" t="s">
        <v>129</v>
      </c>
      <c r="C102" s="221">
        <v>1</v>
      </c>
      <c r="D102" s="221">
        <v>2</v>
      </c>
      <c r="E102" s="221">
        <v>3</v>
      </c>
      <c r="F102" s="221">
        <v>4</v>
      </c>
      <c r="G102" s="221">
        <v>5</v>
      </c>
      <c r="H102" s="221">
        <v>6</v>
      </c>
      <c r="I102" s="221">
        <v>7</v>
      </c>
      <c r="J102" s="221">
        <v>8</v>
      </c>
      <c r="K102" s="221">
        <v>9</v>
      </c>
      <c r="L102" s="221">
        <v>10</v>
      </c>
      <c r="M102" s="221"/>
      <c r="N102" s="221"/>
    </row>
    <row r="103" spans="1:14" x14ac:dyDescent="0.25">
      <c r="A103" s="227">
        <v>4</v>
      </c>
      <c r="B103" s="221">
        <v>1</v>
      </c>
      <c r="C103" s="222">
        <f>0</f>
        <v>0</v>
      </c>
      <c r="D103" s="222"/>
      <c r="E103" s="222"/>
      <c r="F103" s="222"/>
      <c r="G103" s="222"/>
      <c r="H103" s="222"/>
      <c r="I103" s="222"/>
      <c r="J103" s="222"/>
      <c r="K103" s="222"/>
      <c r="L103" s="222"/>
      <c r="M103" s="243">
        <f t="shared" ref="M103:M104" si="23">($F$49+SUM(C103:L103))/B103</f>
        <v>1500</v>
      </c>
      <c r="N103" s="221"/>
    </row>
    <row r="104" spans="1:14" x14ac:dyDescent="0.25">
      <c r="A104" s="226">
        <v>5</v>
      </c>
      <c r="B104" s="221">
        <v>2</v>
      </c>
      <c r="C104" s="222">
        <f>0</f>
        <v>0</v>
      </c>
      <c r="D104" s="222">
        <f>E$50*$D$49*C$64</f>
        <v>100800</v>
      </c>
      <c r="E104" s="222"/>
      <c r="F104" s="222"/>
      <c r="G104" s="222"/>
      <c r="H104" s="222"/>
      <c r="I104" s="222"/>
      <c r="J104" s="222"/>
      <c r="K104" s="222"/>
      <c r="L104" s="222"/>
      <c r="M104" s="243">
        <f>($F$49+SUM(C104:L104))/B104</f>
        <v>51150</v>
      </c>
      <c r="N104" s="221" t="str">
        <f t="shared" ref="N104" si="24">IF(M104&gt;M103,"YA","")</f>
        <v>YA</v>
      </c>
    </row>
    <row r="105" spans="1:14" x14ac:dyDescent="0.25">
      <c r="A105" s="221"/>
      <c r="B105" s="221"/>
      <c r="C105" s="222"/>
      <c r="D105" s="222"/>
      <c r="E105" s="222"/>
      <c r="F105" s="222"/>
      <c r="G105" s="222"/>
      <c r="H105" s="222"/>
      <c r="I105" s="222"/>
      <c r="J105" s="222"/>
      <c r="K105" s="222"/>
      <c r="L105" s="222"/>
      <c r="M105" s="222"/>
      <c r="N105" s="221"/>
    </row>
    <row r="106" spans="1:14" x14ac:dyDescent="0.25">
      <c r="A106" s="221" t="s">
        <v>129</v>
      </c>
      <c r="B106" s="221" t="s">
        <v>129</v>
      </c>
      <c r="C106" s="221">
        <v>1</v>
      </c>
      <c r="D106" s="221">
        <v>2</v>
      </c>
      <c r="E106" s="221">
        <v>3</v>
      </c>
      <c r="F106" s="221">
        <v>4</v>
      </c>
      <c r="G106" s="221">
        <v>5</v>
      </c>
      <c r="H106" s="221">
        <v>6</v>
      </c>
      <c r="I106" s="221">
        <v>7</v>
      </c>
      <c r="J106" s="221">
        <v>8</v>
      </c>
      <c r="K106" s="221">
        <v>9</v>
      </c>
      <c r="L106" s="221">
        <v>10</v>
      </c>
      <c r="M106" s="221"/>
      <c r="N106" s="221"/>
    </row>
    <row r="107" spans="1:14" x14ac:dyDescent="0.25">
      <c r="A107" s="221">
        <v>5</v>
      </c>
      <c r="B107" s="221">
        <v>1</v>
      </c>
      <c r="C107" s="222">
        <v>0</v>
      </c>
      <c r="D107" s="222"/>
      <c r="E107" s="222"/>
      <c r="F107" s="222"/>
      <c r="G107" s="222"/>
      <c r="H107" s="222"/>
      <c r="I107" s="222"/>
      <c r="J107" s="222"/>
      <c r="K107" s="222"/>
      <c r="L107" s="222"/>
      <c r="M107" s="243">
        <f t="shared" ref="M107:M109" si="25">($F$49+SUM(C107:L107))/B107</f>
        <v>1500</v>
      </c>
      <c r="N107" s="221"/>
    </row>
    <row r="108" spans="1:14" x14ac:dyDescent="0.25">
      <c r="A108" s="227">
        <v>6</v>
      </c>
      <c r="B108" s="221">
        <v>2</v>
      </c>
      <c r="C108" s="222">
        <v>0</v>
      </c>
      <c r="D108" s="222">
        <f>F$50*$D$49*C$68</f>
        <v>0</v>
      </c>
      <c r="E108" s="222"/>
      <c r="F108" s="222"/>
      <c r="G108" s="222"/>
      <c r="H108" s="222"/>
      <c r="I108" s="222"/>
      <c r="J108" s="222"/>
      <c r="K108" s="222"/>
      <c r="L108" s="222"/>
      <c r="M108" s="243">
        <f t="shared" si="25"/>
        <v>750</v>
      </c>
      <c r="N108" s="221" t="str">
        <f>IF(M108&gt;M107,"YA","")</f>
        <v/>
      </c>
    </row>
    <row r="109" spans="1:14" x14ac:dyDescent="0.25">
      <c r="A109" s="226">
        <v>7</v>
      </c>
      <c r="B109" s="221">
        <v>3</v>
      </c>
      <c r="C109" s="222">
        <v>0</v>
      </c>
      <c r="D109" s="222">
        <f>F$50*$D$49*C$68</f>
        <v>0</v>
      </c>
      <c r="E109" s="222">
        <f>G$50*$D$49*D$68</f>
        <v>134400</v>
      </c>
      <c r="F109" s="222"/>
      <c r="G109" s="222"/>
      <c r="H109" s="222"/>
      <c r="I109" s="222"/>
      <c r="J109" s="222"/>
      <c r="K109" s="222"/>
      <c r="L109" s="222"/>
      <c r="M109" s="243">
        <f t="shared" si="25"/>
        <v>45300</v>
      </c>
      <c r="N109" s="221" t="str">
        <f>IF(M109&gt;M108,"YA","")</f>
        <v>YA</v>
      </c>
    </row>
    <row r="110" spans="1:14" x14ac:dyDescent="0.25">
      <c r="A110" s="221"/>
      <c r="B110" s="221"/>
      <c r="C110" s="222"/>
      <c r="D110" s="222"/>
      <c r="E110" s="222"/>
      <c r="F110" s="222"/>
      <c r="G110" s="222"/>
      <c r="H110" s="222"/>
      <c r="I110" s="222"/>
      <c r="J110" s="222"/>
      <c r="K110" s="222"/>
      <c r="L110" s="222"/>
      <c r="M110" s="222"/>
      <c r="N110" s="221"/>
    </row>
    <row r="111" spans="1:14" x14ac:dyDescent="0.25">
      <c r="A111" s="221" t="s">
        <v>129</v>
      </c>
      <c r="B111" s="221" t="s">
        <v>129</v>
      </c>
      <c r="C111" s="221">
        <v>1</v>
      </c>
      <c r="D111" s="221">
        <v>2</v>
      </c>
      <c r="E111" s="221">
        <v>3</v>
      </c>
      <c r="F111" s="221">
        <v>4</v>
      </c>
      <c r="G111" s="221">
        <v>5</v>
      </c>
      <c r="H111" s="221">
        <v>6</v>
      </c>
      <c r="I111" s="221">
        <v>7</v>
      </c>
      <c r="J111" s="221">
        <v>8</v>
      </c>
      <c r="K111" s="221">
        <v>9</v>
      </c>
      <c r="L111" s="221">
        <v>10</v>
      </c>
      <c r="M111" s="221"/>
      <c r="N111" s="221"/>
    </row>
    <row r="112" spans="1:14" x14ac:dyDescent="0.25">
      <c r="A112" s="221">
        <v>7</v>
      </c>
      <c r="B112" s="221">
        <v>1</v>
      </c>
      <c r="C112" s="222">
        <f>0</f>
        <v>0</v>
      </c>
      <c r="D112" s="222"/>
      <c r="E112" s="222"/>
      <c r="F112" s="222"/>
      <c r="G112" s="222"/>
      <c r="H112" s="222"/>
      <c r="I112" s="222"/>
      <c r="J112" s="222"/>
      <c r="K112" s="222"/>
      <c r="L112" s="222"/>
      <c r="M112" s="243">
        <f t="shared" ref="M112:M114" si="26">($F$49+SUM(C112:L112))/B112</f>
        <v>1500</v>
      </c>
      <c r="N112" s="221"/>
    </row>
    <row r="113" spans="1:14" x14ac:dyDescent="0.25">
      <c r="A113" s="227">
        <v>8</v>
      </c>
      <c r="B113" s="221">
        <v>2</v>
      </c>
      <c r="C113" s="222">
        <v>0</v>
      </c>
      <c r="D113" s="222">
        <f>H$50*$D$49*C$73</f>
        <v>0</v>
      </c>
      <c r="E113" s="222"/>
      <c r="F113" s="222"/>
      <c r="G113" s="222"/>
      <c r="H113" s="222"/>
      <c r="I113" s="222"/>
      <c r="J113" s="222"/>
      <c r="K113" s="222"/>
      <c r="L113" s="222"/>
      <c r="M113" s="243">
        <f t="shared" si="26"/>
        <v>750</v>
      </c>
      <c r="N113" s="221" t="str">
        <f>IF(M113&gt;M112,"YA","")</f>
        <v/>
      </c>
    </row>
    <row r="114" spans="1:14" x14ac:dyDescent="0.25">
      <c r="A114" s="226">
        <v>9</v>
      </c>
      <c r="B114" s="221">
        <v>3</v>
      </c>
      <c r="C114" s="222">
        <f>0</f>
        <v>0</v>
      </c>
      <c r="D114" s="222">
        <f>H$50*$D$49*C$73</f>
        <v>0</v>
      </c>
      <c r="E114" s="222">
        <f>I$50*$D$49*D$73</f>
        <v>67200</v>
      </c>
      <c r="F114" s="222"/>
      <c r="G114" s="222"/>
      <c r="H114" s="222"/>
      <c r="I114" s="222"/>
      <c r="J114" s="222"/>
      <c r="K114" s="222"/>
      <c r="L114" s="222"/>
      <c r="M114" s="243">
        <f t="shared" si="26"/>
        <v>22900</v>
      </c>
      <c r="N114" s="221" t="str">
        <f>IF(M114&gt;M113,"YA","")</f>
        <v>YA</v>
      </c>
    </row>
    <row r="115" spans="1:14" x14ac:dyDescent="0.25">
      <c r="A115" s="221"/>
      <c r="B115" s="221"/>
      <c r="C115" s="222"/>
      <c r="D115" s="222"/>
      <c r="E115" s="222"/>
      <c r="F115" s="222"/>
      <c r="G115" s="222"/>
      <c r="H115" s="222"/>
      <c r="I115" s="222"/>
      <c r="J115" s="222"/>
      <c r="K115" s="222"/>
      <c r="L115" s="222"/>
      <c r="M115" s="222"/>
      <c r="N115" s="221"/>
    </row>
    <row r="116" spans="1:14" x14ac:dyDescent="0.25">
      <c r="A116" s="221" t="s">
        <v>129</v>
      </c>
      <c r="B116" s="221" t="s">
        <v>129</v>
      </c>
      <c r="C116" s="221">
        <v>1</v>
      </c>
      <c r="D116" s="221">
        <v>2</v>
      </c>
      <c r="E116" s="221">
        <v>3</v>
      </c>
      <c r="F116" s="221">
        <v>4</v>
      </c>
      <c r="G116" s="221">
        <v>5</v>
      </c>
      <c r="H116" s="221">
        <v>6</v>
      </c>
      <c r="I116" s="221">
        <v>7</v>
      </c>
      <c r="J116" s="221">
        <v>8</v>
      </c>
      <c r="K116" s="221">
        <v>9</v>
      </c>
      <c r="L116" s="221">
        <v>10</v>
      </c>
      <c r="M116" s="221"/>
      <c r="N116" s="221"/>
    </row>
    <row r="117" spans="1:14" x14ac:dyDescent="0.25">
      <c r="A117" s="221">
        <v>9</v>
      </c>
      <c r="B117" s="221">
        <v>1</v>
      </c>
      <c r="C117" s="222">
        <f>0</f>
        <v>0</v>
      </c>
      <c r="D117" s="222"/>
      <c r="E117" s="222"/>
      <c r="F117" s="222"/>
      <c r="G117" s="222"/>
      <c r="H117" s="222"/>
      <c r="I117" s="222"/>
      <c r="J117" s="222"/>
      <c r="K117" s="222"/>
      <c r="L117" s="222"/>
      <c r="M117" s="222">
        <f t="shared" ref="M117:M118" si="27">($F$49+SUM(C117:L117))/B117</f>
        <v>1500</v>
      </c>
      <c r="N117" s="221"/>
    </row>
    <row r="118" spans="1:14" x14ac:dyDescent="0.25">
      <c r="A118" s="227">
        <v>10</v>
      </c>
      <c r="B118" s="221">
        <v>2</v>
      </c>
      <c r="C118" s="222">
        <v>0</v>
      </c>
      <c r="D118" s="222">
        <f>J$50*$D$49*C$78</f>
        <v>0</v>
      </c>
      <c r="E118" s="222"/>
      <c r="F118" s="222"/>
      <c r="G118" s="222"/>
      <c r="H118" s="222"/>
      <c r="I118" s="222"/>
      <c r="J118" s="222"/>
      <c r="K118" s="222"/>
      <c r="L118" s="222"/>
      <c r="M118" s="222">
        <f t="shared" si="27"/>
        <v>750</v>
      </c>
      <c r="N118" s="221" t="str">
        <f>IF(M118&gt;M117,"YA","")</f>
        <v/>
      </c>
    </row>
    <row r="119" spans="1:14" x14ac:dyDescent="0.25">
      <c r="A119" s="221"/>
      <c r="B119" s="221"/>
      <c r="C119" s="222"/>
      <c r="D119" s="222"/>
      <c r="E119" s="222"/>
      <c r="F119" s="222"/>
      <c r="G119" s="222"/>
      <c r="H119" s="222"/>
      <c r="I119" s="222"/>
      <c r="J119" s="222"/>
      <c r="K119" s="222"/>
      <c r="L119" s="222"/>
      <c r="M119" s="222"/>
      <c r="N119" s="221"/>
    </row>
    <row r="120" spans="1:14" x14ac:dyDescent="0.25">
      <c r="A120" s="220"/>
      <c r="B120" s="220"/>
      <c r="C120" s="220"/>
      <c r="D120" s="220"/>
      <c r="E120" s="220"/>
      <c r="F120" s="220"/>
      <c r="G120" s="220"/>
      <c r="H120" s="220"/>
      <c r="I120" s="220"/>
      <c r="J120" s="220"/>
      <c r="K120" s="220"/>
      <c r="L120" s="220"/>
      <c r="M120" s="220"/>
      <c r="N120" s="220"/>
    </row>
  </sheetData>
  <mergeCells count="9">
    <mergeCell ref="K88:K89"/>
    <mergeCell ref="W50:W51"/>
    <mergeCell ref="K50:K51"/>
    <mergeCell ref="P7:R7"/>
    <mergeCell ref="S7:U7"/>
    <mergeCell ref="C7:E7"/>
    <mergeCell ref="F7:H7"/>
    <mergeCell ref="F27:G27"/>
    <mergeCell ref="H27:I27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Planteamiento</vt:lpstr>
      <vt:lpstr>Nivel 1</vt:lpstr>
      <vt:lpstr>Nivel 2 Opc CA</vt:lpstr>
      <vt:lpstr>Hoja3</vt:lpstr>
      <vt:lpstr>Hoja3 (2)</vt:lpstr>
      <vt:lpstr>Tests fresh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Simancas Mateus</cp:lastModifiedBy>
  <dcterms:created xsi:type="dcterms:W3CDTF">2014-10-08T15:31:39Z</dcterms:created>
  <dcterms:modified xsi:type="dcterms:W3CDTF">2014-12-22T18:01:26Z</dcterms:modified>
</cp:coreProperties>
</file>