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stollenwerk/Desktop/"/>
    </mc:Choice>
  </mc:AlternateContent>
  <xr:revisionPtr revIDLastSave="0" documentId="8_{8D5CC336-4F8D-9D42-89C3-ED057581554F}" xr6:coauthVersionLast="47" xr6:coauthVersionMax="47" xr10:uidLastSave="{00000000-0000-0000-0000-000000000000}"/>
  <bookViews>
    <workbookView xWindow="0" yWindow="500" windowWidth="28800" windowHeight="16520" xr2:uid="{5AD113C3-C4CC-AC48-A255-228DF3B0437F}"/>
  </bookViews>
  <sheets>
    <sheet name="CW2.1 results" sheetId="1" r:id="rId1"/>
    <sheet name="CW2.2 results" sheetId="2" r:id="rId2"/>
    <sheet name="Spreadshee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4" i="5" l="1"/>
  <c r="Y45" i="5" l="1"/>
  <c r="C12" i="5" l="1"/>
  <c r="D12" i="5"/>
  <c r="E12" i="5"/>
  <c r="F12" i="5"/>
  <c r="G12" i="5"/>
  <c r="H12" i="5"/>
  <c r="I12" i="5"/>
  <c r="J12" i="5"/>
  <c r="K12" i="5"/>
  <c r="L12" i="5"/>
  <c r="M12" i="5"/>
  <c r="N12" i="5" s="1"/>
  <c r="O12" i="5"/>
  <c r="S12" i="5"/>
  <c r="AA12" i="5" s="1"/>
  <c r="AB12" i="5" s="1"/>
  <c r="AC12" i="5" s="1"/>
  <c r="AD12" i="5" s="1"/>
  <c r="T12" i="5"/>
  <c r="U12" i="5"/>
  <c r="V12" i="5"/>
  <c r="W12" i="5"/>
  <c r="AE12" i="5" s="1"/>
  <c r="C13" i="5"/>
  <c r="D13" i="5"/>
  <c r="E13" i="5"/>
  <c r="F13" i="5"/>
  <c r="G13" i="5"/>
  <c r="H13" i="5"/>
  <c r="O13" i="5" s="1"/>
  <c r="I13" i="5"/>
  <c r="J13" i="5"/>
  <c r="K13" i="5"/>
  <c r="L13" i="5"/>
  <c r="M13" i="5" s="1"/>
  <c r="N13" i="5" s="1"/>
  <c r="P13" i="5" s="1"/>
  <c r="S13" i="5"/>
  <c r="T13" i="5"/>
  <c r="U13" i="5"/>
  <c r="V13" i="5"/>
  <c r="W13" i="5"/>
  <c r="AA13" i="5"/>
  <c r="AB13" i="5" s="1"/>
  <c r="AC13" i="5" s="1"/>
  <c r="AD13" i="5" s="1"/>
  <c r="AF13" i="5" s="1"/>
  <c r="AE13" i="5"/>
  <c r="C14" i="5"/>
  <c r="D14" i="5"/>
  <c r="E14" i="5"/>
  <c r="F14" i="5"/>
  <c r="G14" i="5"/>
  <c r="H14" i="5"/>
  <c r="I14" i="5"/>
  <c r="O14" i="5" s="1"/>
  <c r="J14" i="5"/>
  <c r="K14" i="5"/>
  <c r="L14" i="5" s="1"/>
  <c r="M14" i="5" s="1"/>
  <c r="N14" i="5" s="1"/>
  <c r="P14" i="5" s="1"/>
  <c r="S14" i="5"/>
  <c r="AA14" i="5" s="1"/>
  <c r="AB14" i="5" s="1"/>
  <c r="AC14" i="5" s="1"/>
  <c r="AD14" i="5" s="1"/>
  <c r="AF14" i="5" s="1"/>
  <c r="T14" i="5"/>
  <c r="U14" i="5"/>
  <c r="V14" i="5"/>
  <c r="W14" i="5"/>
  <c r="AE14" i="5" s="1"/>
  <c r="C15" i="5"/>
  <c r="D15" i="5"/>
  <c r="E15" i="5"/>
  <c r="F15" i="5"/>
  <c r="G15" i="5"/>
  <c r="H15" i="5"/>
  <c r="O15" i="5" s="1"/>
  <c r="I15" i="5"/>
  <c r="J15" i="5"/>
  <c r="K15" i="5"/>
  <c r="L15" i="5"/>
  <c r="M15" i="5" s="1"/>
  <c r="N15" i="5" s="1"/>
  <c r="P15" i="5" s="1"/>
  <c r="C16" i="5"/>
  <c r="D16" i="5"/>
  <c r="E16" i="5"/>
  <c r="F16" i="5"/>
  <c r="G16" i="5"/>
  <c r="H16" i="5"/>
  <c r="I16" i="5"/>
  <c r="O16" i="5" s="1"/>
  <c r="J16" i="5"/>
  <c r="K16" i="5"/>
  <c r="L16" i="5" s="1"/>
  <c r="M16" i="5" s="1"/>
  <c r="N16" i="5" s="1"/>
  <c r="P16" i="5" s="1"/>
  <c r="C17" i="5"/>
  <c r="D17" i="5"/>
  <c r="E17" i="5"/>
  <c r="F17" i="5"/>
  <c r="G17" i="5"/>
  <c r="H17" i="5"/>
  <c r="I17" i="5"/>
  <c r="J17" i="5"/>
  <c r="K17" i="5"/>
  <c r="L17" i="5"/>
  <c r="M17" i="5" s="1"/>
  <c r="N17" i="5" s="1"/>
  <c r="P17" i="5" s="1"/>
  <c r="O17" i="5"/>
  <c r="C18" i="5"/>
  <c r="D18" i="5"/>
  <c r="E18" i="5"/>
  <c r="F18" i="5"/>
  <c r="G18" i="5"/>
  <c r="H18" i="5"/>
  <c r="I18" i="5"/>
  <c r="O18" i="5" s="1"/>
  <c r="J18" i="5"/>
  <c r="K18" i="5"/>
  <c r="L18" i="5" s="1"/>
  <c r="M18" i="5" s="1"/>
  <c r="N18" i="5"/>
  <c r="P18" i="5" s="1"/>
  <c r="C19" i="5"/>
  <c r="D19" i="5"/>
  <c r="E19" i="5"/>
  <c r="F19" i="5"/>
  <c r="G19" i="5"/>
  <c r="H19" i="5"/>
  <c r="O19" i="5" s="1"/>
  <c r="I19" i="5"/>
  <c r="J19" i="5"/>
  <c r="K19" i="5"/>
  <c r="L19" i="5" s="1"/>
  <c r="M19" i="5" s="1"/>
  <c r="N19" i="5" s="1"/>
  <c r="P19" i="5" s="1"/>
  <c r="C20" i="5"/>
  <c r="D20" i="5"/>
  <c r="E20" i="5"/>
  <c r="F20" i="5"/>
  <c r="G20" i="5"/>
  <c r="H20" i="5"/>
  <c r="I20" i="5"/>
  <c r="O20" i="5" s="1"/>
  <c r="J20" i="5"/>
  <c r="K20" i="5"/>
  <c r="L20" i="5" s="1"/>
  <c r="M20" i="5" s="1"/>
  <c r="N20" i="5" s="1"/>
  <c r="P20" i="5" s="1"/>
  <c r="C21" i="5"/>
  <c r="D21" i="5"/>
  <c r="E21" i="5"/>
  <c r="F21" i="5"/>
  <c r="G21" i="5"/>
  <c r="H21" i="5"/>
  <c r="I21" i="5"/>
  <c r="J21" i="5"/>
  <c r="K21" i="5"/>
  <c r="L21" i="5"/>
  <c r="M21" i="5" s="1"/>
  <c r="N21" i="5" s="1"/>
  <c r="P21" i="5" s="1"/>
  <c r="O21" i="5"/>
  <c r="C22" i="5"/>
  <c r="D22" i="5"/>
  <c r="E22" i="5"/>
  <c r="F22" i="5"/>
  <c r="G22" i="5"/>
  <c r="H22" i="5"/>
  <c r="I22" i="5"/>
  <c r="O22" i="5" s="1"/>
  <c r="J22" i="5"/>
  <c r="K22" i="5"/>
  <c r="L22" i="5" s="1"/>
  <c r="M22" i="5" s="1"/>
  <c r="N22" i="5"/>
  <c r="P22" i="5" s="1"/>
  <c r="C23" i="5"/>
  <c r="D23" i="5"/>
  <c r="E23" i="5"/>
  <c r="F23" i="5"/>
  <c r="G23" i="5"/>
  <c r="H23" i="5"/>
  <c r="O23" i="5" s="1"/>
  <c r="I23" i="5"/>
  <c r="J23" i="5"/>
  <c r="K23" i="5"/>
  <c r="L23" i="5" s="1"/>
  <c r="M23" i="5" s="1"/>
  <c r="N23" i="5" s="1"/>
  <c r="P23" i="5" s="1"/>
  <c r="C24" i="5"/>
  <c r="D24" i="5"/>
  <c r="E24" i="5"/>
  <c r="F24" i="5"/>
  <c r="G24" i="5"/>
  <c r="H24" i="5"/>
  <c r="I24" i="5"/>
  <c r="O24" i="5" s="1"/>
  <c r="J24" i="5"/>
  <c r="K24" i="5"/>
  <c r="L24" i="5" s="1"/>
  <c r="M24" i="5" s="1"/>
  <c r="N24" i="5" s="1"/>
  <c r="P24" i="5" s="1"/>
  <c r="C25" i="5"/>
  <c r="D25" i="5"/>
  <c r="E25" i="5"/>
  <c r="F25" i="5"/>
  <c r="G25" i="5"/>
  <c r="H25" i="5"/>
  <c r="I25" i="5"/>
  <c r="J25" i="5"/>
  <c r="K25" i="5"/>
  <c r="L25" i="5"/>
  <c r="M25" i="5" s="1"/>
  <c r="N25" i="5" s="1"/>
  <c r="P25" i="5" s="1"/>
  <c r="O25" i="5"/>
  <c r="C26" i="5"/>
  <c r="D26" i="5"/>
  <c r="E26" i="5"/>
  <c r="F26" i="5"/>
  <c r="G26" i="5"/>
  <c r="H26" i="5"/>
  <c r="I26" i="5"/>
  <c r="O26" i="5" s="1"/>
  <c r="J26" i="5"/>
  <c r="K26" i="5"/>
  <c r="L26" i="5" s="1"/>
  <c r="M26" i="5" s="1"/>
  <c r="N26" i="5"/>
  <c r="P26" i="5" s="1"/>
  <c r="C27" i="5"/>
  <c r="D27" i="5"/>
  <c r="E27" i="5"/>
  <c r="F27" i="5"/>
  <c r="G27" i="5"/>
  <c r="H27" i="5"/>
  <c r="O27" i="5" s="1"/>
  <c r="I27" i="5"/>
  <c r="J27" i="5"/>
  <c r="K27" i="5"/>
  <c r="L27" i="5" s="1"/>
  <c r="M27" i="5" s="1"/>
  <c r="N27" i="5" s="1"/>
  <c r="P27" i="5" s="1"/>
  <c r="Z27" i="5"/>
  <c r="C28" i="5"/>
  <c r="D28" i="5"/>
  <c r="E28" i="5"/>
  <c r="F28" i="5"/>
  <c r="G28" i="5"/>
  <c r="H28" i="5"/>
  <c r="I28" i="5"/>
  <c r="J28" i="5"/>
  <c r="K28" i="5"/>
  <c r="L28" i="5"/>
  <c r="M28" i="5" s="1"/>
  <c r="N28" i="5" s="1"/>
  <c r="P28" i="5" s="1"/>
  <c r="O28" i="5"/>
  <c r="C29" i="5"/>
  <c r="D29" i="5"/>
  <c r="E29" i="5"/>
  <c r="F29" i="5"/>
  <c r="G29" i="5"/>
  <c r="H29" i="5"/>
  <c r="I29" i="5"/>
  <c r="J29" i="5"/>
  <c r="K29" i="5"/>
  <c r="L29" i="5"/>
  <c r="M29" i="5" s="1"/>
  <c r="N29" i="5" s="1"/>
  <c r="P29" i="5" s="1"/>
  <c r="C30" i="5"/>
  <c r="D30" i="5"/>
  <c r="E30" i="5"/>
  <c r="F30" i="5"/>
  <c r="N30" i="5" s="1"/>
  <c r="P30" i="5" s="1"/>
  <c r="G30" i="5"/>
  <c r="H30" i="5"/>
  <c r="I30" i="5"/>
  <c r="J30" i="5"/>
  <c r="K30" i="5"/>
  <c r="L30" i="5" s="1"/>
  <c r="M30" i="5" s="1"/>
  <c r="O30" i="5"/>
  <c r="C31" i="5"/>
  <c r="D31" i="5"/>
  <c r="E31" i="5"/>
  <c r="F31" i="5"/>
  <c r="G31" i="5"/>
  <c r="H31" i="5"/>
  <c r="I31" i="5"/>
  <c r="J31" i="5"/>
  <c r="O31" i="5" s="1"/>
  <c r="K31" i="5"/>
  <c r="L31" i="5" s="1"/>
  <c r="M31" i="5" s="1"/>
  <c r="N31" i="5" s="1"/>
  <c r="P31" i="5" s="1"/>
  <c r="C32" i="5"/>
  <c r="D32" i="5"/>
  <c r="E32" i="5"/>
  <c r="F32" i="5"/>
  <c r="G32" i="5"/>
  <c r="H32" i="5"/>
  <c r="O32" i="5" s="1"/>
  <c r="I32" i="5"/>
  <c r="J32" i="5"/>
  <c r="K32" i="5"/>
  <c r="L32" i="5" s="1"/>
  <c r="M32" i="5" s="1"/>
  <c r="N32" i="5" s="1"/>
  <c r="P32" i="5" s="1"/>
  <c r="C33" i="5"/>
  <c r="D33" i="5"/>
  <c r="E33" i="5"/>
  <c r="M33" i="5" s="1"/>
  <c r="N33" i="5" s="1"/>
  <c r="P33" i="5" s="1"/>
  <c r="F33" i="5"/>
  <c r="G33" i="5"/>
  <c r="H33" i="5"/>
  <c r="O33" i="5" s="1"/>
  <c r="I33" i="5"/>
  <c r="J33" i="5"/>
  <c r="K33" i="5"/>
  <c r="L33" i="5"/>
  <c r="U33" i="5"/>
  <c r="V33" i="5"/>
  <c r="W33" i="5"/>
  <c r="X33" i="5"/>
  <c r="Y33" i="5"/>
  <c r="AB29" i="5" s="1"/>
  <c r="AD29" i="5" s="1"/>
  <c r="Z33" i="5"/>
  <c r="C34" i="5"/>
  <c r="D34" i="5"/>
  <c r="E34" i="5"/>
  <c r="F34" i="5"/>
  <c r="G34" i="5"/>
  <c r="H34" i="5"/>
  <c r="O34" i="5" s="1"/>
  <c r="I34" i="5"/>
  <c r="J34" i="5"/>
  <c r="K34" i="5"/>
  <c r="L34" i="5"/>
  <c r="M34" i="5"/>
  <c r="N34" i="5"/>
  <c r="P34" i="5"/>
  <c r="AC29" i="5"/>
  <c r="C35" i="5"/>
  <c r="D35" i="5"/>
  <c r="E35" i="5"/>
  <c r="F35" i="5"/>
  <c r="N35" i="5" s="1"/>
  <c r="P35" i="5" s="1"/>
  <c r="G35" i="5"/>
  <c r="O35" i="5" s="1"/>
  <c r="H35" i="5"/>
  <c r="I35" i="5"/>
  <c r="J35" i="5"/>
  <c r="K35" i="5"/>
  <c r="L35" i="5" s="1"/>
  <c r="M35" i="5" s="1"/>
  <c r="C36" i="5"/>
  <c r="D36" i="5"/>
  <c r="E36" i="5"/>
  <c r="F36" i="5"/>
  <c r="G36" i="5"/>
  <c r="H36" i="5"/>
  <c r="I36" i="5"/>
  <c r="J36" i="5"/>
  <c r="K36" i="5"/>
  <c r="L36" i="5" s="1"/>
  <c r="M36" i="5" s="1"/>
  <c r="N36" i="5" s="1"/>
  <c r="P36" i="5"/>
  <c r="C37" i="5"/>
  <c r="D37" i="5"/>
  <c r="E37" i="5"/>
  <c r="F37" i="5"/>
  <c r="G37" i="5"/>
  <c r="H37" i="5"/>
  <c r="I37" i="5"/>
  <c r="J37" i="5"/>
  <c r="K37" i="5"/>
  <c r="L37" i="5" s="1"/>
  <c r="M37" i="5" s="1"/>
  <c r="N37" i="5" s="1"/>
  <c r="P37" i="5" s="1"/>
  <c r="C38" i="5"/>
  <c r="D38" i="5"/>
  <c r="E38" i="5"/>
  <c r="F38" i="5"/>
  <c r="G38" i="5"/>
  <c r="O38" i="5" s="1"/>
  <c r="H38" i="5"/>
  <c r="I38" i="5"/>
  <c r="J38" i="5"/>
  <c r="K38" i="5"/>
  <c r="L38" i="5"/>
  <c r="M38" i="5"/>
  <c r="N38" i="5"/>
  <c r="P38" i="5" s="1"/>
  <c r="C39" i="5"/>
  <c r="D39" i="5"/>
  <c r="E39" i="5"/>
  <c r="F39" i="5"/>
  <c r="G39" i="5"/>
  <c r="O39" i="5" s="1"/>
  <c r="H39" i="5"/>
  <c r="I39" i="5"/>
  <c r="J39" i="5"/>
  <c r="K39" i="5"/>
  <c r="L39" i="5" s="1"/>
  <c r="M39" i="5" s="1"/>
  <c r="N39" i="5" s="1"/>
  <c r="P39" i="5" s="1"/>
  <c r="Y39" i="5"/>
  <c r="C40" i="5"/>
  <c r="D40" i="5"/>
  <c r="E40" i="5"/>
  <c r="F40" i="5"/>
  <c r="G40" i="5"/>
  <c r="O40" i="5" s="1"/>
  <c r="H40" i="5"/>
  <c r="I40" i="5"/>
  <c r="J40" i="5"/>
  <c r="K40" i="5"/>
  <c r="L40" i="5"/>
  <c r="M40" i="5" s="1"/>
  <c r="N40" i="5" s="1"/>
  <c r="P40" i="5"/>
  <c r="X40" i="5"/>
  <c r="Y40" i="5" s="1"/>
  <c r="C41" i="5"/>
  <c r="D41" i="5"/>
  <c r="E41" i="5"/>
  <c r="F41" i="5"/>
  <c r="G41" i="5"/>
  <c r="O41" i="5" s="1"/>
  <c r="H41" i="5"/>
  <c r="I41" i="5"/>
  <c r="J41" i="5"/>
  <c r="K41" i="5"/>
  <c r="L41" i="5"/>
  <c r="M41" i="5" s="1"/>
  <c r="N41" i="5" s="1"/>
  <c r="P41" i="5"/>
  <c r="C42" i="5"/>
  <c r="D42" i="5"/>
  <c r="E42" i="5"/>
  <c r="F42" i="5"/>
  <c r="G42" i="5"/>
  <c r="O42" i="5" s="1"/>
  <c r="H42" i="5"/>
  <c r="I42" i="5"/>
  <c r="J42" i="5"/>
  <c r="K42" i="5"/>
  <c r="L42" i="5" s="1"/>
  <c r="M42" i="5" s="1"/>
  <c r="N42" i="5" s="1"/>
  <c r="P42" i="5" s="1"/>
  <c r="C43" i="5"/>
  <c r="D43" i="5"/>
  <c r="E43" i="5"/>
  <c r="F43" i="5"/>
  <c r="G43" i="5"/>
  <c r="H43" i="5"/>
  <c r="I43" i="5"/>
  <c r="J43" i="5"/>
  <c r="K43" i="5"/>
  <c r="L43" i="5"/>
  <c r="M43" i="5"/>
  <c r="N43" i="5"/>
  <c r="P43" i="5" s="1"/>
  <c r="O43" i="5"/>
  <c r="C44" i="5"/>
  <c r="D44" i="5"/>
  <c r="E44" i="5"/>
  <c r="F44" i="5"/>
  <c r="G44" i="5"/>
  <c r="H44" i="5"/>
  <c r="I44" i="5"/>
  <c r="J44" i="5"/>
  <c r="K44" i="5"/>
  <c r="L44" i="5"/>
  <c r="M44" i="5" s="1"/>
  <c r="N44" i="5" s="1"/>
  <c r="P44" i="5" s="1"/>
  <c r="U44" i="5"/>
  <c r="U43" i="5" s="1"/>
  <c r="V44" i="5"/>
  <c r="V42" i="5" s="1"/>
  <c r="W42" i="5" s="1"/>
  <c r="X42" i="5" s="1"/>
  <c r="Y42" i="5" s="1"/>
  <c r="W44" i="5"/>
  <c r="W41" i="5" s="1"/>
  <c r="X41" i="5" s="1"/>
  <c r="Y41" i="5" s="1"/>
  <c r="X44" i="5"/>
  <c r="Y44" i="5"/>
  <c r="C45" i="5"/>
  <c r="D45" i="5"/>
  <c r="E45" i="5"/>
  <c r="F45" i="5"/>
  <c r="N45" i="5" s="1"/>
  <c r="P45" i="5" s="1"/>
  <c r="G45" i="5"/>
  <c r="O45" i="5" s="1"/>
  <c r="H45" i="5"/>
  <c r="I45" i="5"/>
  <c r="J45" i="5"/>
  <c r="K45" i="5"/>
  <c r="L45" i="5" s="1"/>
  <c r="M45" i="5" s="1"/>
  <c r="C46" i="5"/>
  <c r="D46" i="5"/>
  <c r="E46" i="5"/>
  <c r="F46" i="5"/>
  <c r="G46" i="5"/>
  <c r="O46" i="5" s="1"/>
  <c r="H46" i="5"/>
  <c r="I46" i="5"/>
  <c r="J46" i="5"/>
  <c r="K46" i="5"/>
  <c r="L46" i="5"/>
  <c r="M46" i="5" s="1"/>
  <c r="N46" i="5" s="1"/>
  <c r="P46" i="5"/>
  <c r="C47" i="5"/>
  <c r="D47" i="5"/>
  <c r="E47" i="5"/>
  <c r="F47" i="5"/>
  <c r="G47" i="5"/>
  <c r="H47" i="5"/>
  <c r="I47" i="5"/>
  <c r="J47" i="5"/>
  <c r="K47" i="5"/>
  <c r="L47" i="5"/>
  <c r="M47" i="5" s="1"/>
  <c r="N47" i="5" s="1"/>
  <c r="P47" i="5"/>
  <c r="C48" i="5"/>
  <c r="D48" i="5"/>
  <c r="E48" i="5"/>
  <c r="F48" i="5"/>
  <c r="G48" i="5"/>
  <c r="H48" i="5"/>
  <c r="I48" i="5"/>
  <c r="J48" i="5"/>
  <c r="K48" i="5"/>
  <c r="L48" i="5"/>
  <c r="M48" i="5" s="1"/>
  <c r="N48" i="5" s="1"/>
  <c r="P48" i="5" s="1"/>
  <c r="C49" i="5"/>
  <c r="D49" i="5"/>
  <c r="E49" i="5"/>
  <c r="F49" i="5"/>
  <c r="G49" i="5"/>
  <c r="H49" i="5"/>
  <c r="O49" i="5" s="1"/>
  <c r="I49" i="5"/>
  <c r="J49" i="5"/>
  <c r="K49" i="5"/>
  <c r="L49" i="5"/>
  <c r="M49" i="5"/>
  <c r="N49" i="5"/>
  <c r="P49" i="5"/>
  <c r="C50" i="5"/>
  <c r="D50" i="5"/>
  <c r="E50" i="5"/>
  <c r="F50" i="5"/>
  <c r="N50" i="5" s="1"/>
  <c r="P50" i="5" s="1"/>
  <c r="G50" i="5"/>
  <c r="O50" i="5" s="1"/>
  <c r="H50" i="5"/>
  <c r="I50" i="5"/>
  <c r="J50" i="5"/>
  <c r="K50" i="5"/>
  <c r="L50" i="5"/>
  <c r="M50" i="5" s="1"/>
  <c r="C51" i="5"/>
  <c r="D51" i="5"/>
  <c r="L51" i="5" s="1"/>
  <c r="M51" i="5" s="1"/>
  <c r="N51" i="5" s="1"/>
  <c r="P51" i="5" s="1"/>
  <c r="E51" i="5"/>
  <c r="F51" i="5"/>
  <c r="G51" i="5"/>
  <c r="H51" i="5"/>
  <c r="I51" i="5"/>
  <c r="J51" i="5"/>
  <c r="K51" i="5"/>
  <c r="C52" i="5"/>
  <c r="D52" i="5"/>
  <c r="E52" i="5"/>
  <c r="M52" i="5" s="1"/>
  <c r="N52" i="5" s="1"/>
  <c r="P52" i="5" s="1"/>
  <c r="F52" i="5"/>
  <c r="G52" i="5"/>
  <c r="H52" i="5"/>
  <c r="I52" i="5"/>
  <c r="J52" i="5"/>
  <c r="K52" i="5"/>
  <c r="L52" i="5"/>
  <c r="C53" i="5"/>
  <c r="D53" i="5"/>
  <c r="E53" i="5"/>
  <c r="F53" i="5"/>
  <c r="G53" i="5"/>
  <c r="H53" i="5"/>
  <c r="O53" i="5" s="1"/>
  <c r="I53" i="5"/>
  <c r="J53" i="5"/>
  <c r="K53" i="5"/>
  <c r="L53" i="5"/>
  <c r="M53" i="5"/>
  <c r="N53" i="5"/>
  <c r="P53" i="5" s="1"/>
  <c r="C54" i="5"/>
  <c r="D54" i="5"/>
  <c r="E54" i="5"/>
  <c r="F54" i="5"/>
  <c r="N54" i="5" s="1"/>
  <c r="P54" i="5" s="1"/>
  <c r="G54" i="5"/>
  <c r="O54" i="5" s="1"/>
  <c r="H54" i="5"/>
  <c r="I54" i="5"/>
  <c r="J54" i="5"/>
  <c r="K54" i="5"/>
  <c r="L54" i="5"/>
  <c r="M54" i="5" s="1"/>
  <c r="C55" i="5"/>
  <c r="D55" i="5"/>
  <c r="E55" i="5"/>
  <c r="F55" i="5"/>
  <c r="G55" i="5"/>
  <c r="H55" i="5"/>
  <c r="I55" i="5"/>
  <c r="J55" i="5"/>
  <c r="K55" i="5"/>
  <c r="L55" i="5" s="1"/>
  <c r="M55" i="5" s="1"/>
  <c r="N55" i="5" s="1"/>
  <c r="P55" i="5" s="1"/>
  <c r="C56" i="5"/>
  <c r="D56" i="5"/>
  <c r="E56" i="5"/>
  <c r="M56" i="5" s="1"/>
  <c r="N56" i="5" s="1"/>
  <c r="P56" i="5" s="1"/>
  <c r="F56" i="5"/>
  <c r="G56" i="5"/>
  <c r="H56" i="5"/>
  <c r="O56" i="5" s="1"/>
  <c r="I56" i="5"/>
  <c r="J56" i="5"/>
  <c r="K56" i="5"/>
  <c r="L56" i="5"/>
  <c r="C57" i="5"/>
  <c r="D57" i="5"/>
  <c r="E57" i="5"/>
  <c r="F57" i="5"/>
  <c r="G57" i="5"/>
  <c r="H57" i="5"/>
  <c r="O57" i="5" s="1"/>
  <c r="I57" i="5"/>
  <c r="J57" i="5"/>
  <c r="K57" i="5"/>
  <c r="L57" i="5"/>
  <c r="M57" i="5" s="1"/>
  <c r="N57" i="5" s="1"/>
  <c r="P57" i="5" s="1"/>
  <c r="C58" i="5"/>
  <c r="D58" i="5"/>
  <c r="E58" i="5"/>
  <c r="F58" i="5"/>
  <c r="N58" i="5" s="1"/>
  <c r="P58" i="5" s="1"/>
  <c r="G58" i="5"/>
  <c r="H58" i="5"/>
  <c r="I58" i="5"/>
  <c r="J58" i="5"/>
  <c r="K58" i="5"/>
  <c r="L58" i="5"/>
  <c r="M58" i="5" s="1"/>
  <c r="O58" i="5"/>
  <c r="C59" i="5"/>
  <c r="D59" i="5"/>
  <c r="E59" i="5"/>
  <c r="F59" i="5"/>
  <c r="G59" i="5"/>
  <c r="H59" i="5"/>
  <c r="I59" i="5"/>
  <c r="J59" i="5"/>
  <c r="K59" i="5"/>
  <c r="L59" i="5"/>
  <c r="M59" i="5" s="1"/>
  <c r="N59" i="5" s="1"/>
  <c r="P59" i="5"/>
  <c r="C60" i="5"/>
  <c r="D60" i="5"/>
  <c r="L60" i="5" s="1"/>
  <c r="M60" i="5" s="1"/>
  <c r="N60" i="5" s="1"/>
  <c r="P60" i="5" s="1"/>
  <c r="E60" i="5"/>
  <c r="F60" i="5"/>
  <c r="G60" i="5"/>
  <c r="H60" i="5"/>
  <c r="I60" i="5"/>
  <c r="J60" i="5"/>
  <c r="K60" i="5"/>
  <c r="C61" i="5"/>
  <c r="D61" i="5"/>
  <c r="E61" i="5"/>
  <c r="F61" i="5"/>
  <c r="G61" i="5"/>
  <c r="O61" i="5" s="1"/>
  <c r="H61" i="5"/>
  <c r="I61" i="5"/>
  <c r="J61" i="5"/>
  <c r="K61" i="5"/>
  <c r="L61" i="5"/>
  <c r="M61" i="5"/>
  <c r="N61" i="5"/>
  <c r="P61" i="5"/>
  <c r="C62" i="5"/>
  <c r="D62" i="5"/>
  <c r="E62" i="5"/>
  <c r="F62" i="5"/>
  <c r="G62" i="5"/>
  <c r="O62" i="5" s="1"/>
  <c r="H62" i="5"/>
  <c r="I62" i="5"/>
  <c r="J62" i="5"/>
  <c r="K62" i="5"/>
  <c r="L62" i="5"/>
  <c r="M62" i="5" s="1"/>
  <c r="N62" i="5" s="1"/>
  <c r="P62" i="5" s="1"/>
  <c r="C63" i="5"/>
  <c r="D63" i="5"/>
  <c r="E63" i="5"/>
  <c r="F63" i="5"/>
  <c r="G63" i="5"/>
  <c r="H63" i="5"/>
  <c r="I63" i="5"/>
  <c r="J63" i="5"/>
  <c r="K63" i="5"/>
  <c r="L63" i="5"/>
  <c r="M63" i="5" s="1"/>
  <c r="N63" i="5" s="1"/>
  <c r="P63" i="5"/>
  <c r="C64" i="5"/>
  <c r="K64" i="5" s="1"/>
  <c r="L64" i="5" s="1"/>
  <c r="M64" i="5" s="1"/>
  <c r="N64" i="5" s="1"/>
  <c r="P64" i="5" s="1"/>
  <c r="D64" i="5"/>
  <c r="E64" i="5"/>
  <c r="F64" i="5"/>
  <c r="G64" i="5"/>
  <c r="H64" i="5"/>
  <c r="I64" i="5"/>
  <c r="J64" i="5"/>
  <c r="C65" i="5"/>
  <c r="D65" i="5"/>
  <c r="E65" i="5"/>
  <c r="M65" i="5" s="1"/>
  <c r="N65" i="5" s="1"/>
  <c r="P65" i="5" s="1"/>
  <c r="F65" i="5"/>
  <c r="G65" i="5"/>
  <c r="H65" i="5"/>
  <c r="O65" i="5" s="1"/>
  <c r="I65" i="5"/>
  <c r="J65" i="5"/>
  <c r="K65" i="5"/>
  <c r="L65" i="5"/>
  <c r="C66" i="5"/>
  <c r="D66" i="5"/>
  <c r="E66" i="5"/>
  <c r="F66" i="5"/>
  <c r="N66" i="5" s="1"/>
  <c r="P66" i="5" s="1"/>
  <c r="G66" i="5"/>
  <c r="O66" i="5" s="1"/>
  <c r="H66" i="5"/>
  <c r="I66" i="5"/>
  <c r="J66" i="5"/>
  <c r="K66" i="5"/>
  <c r="L66" i="5"/>
  <c r="M66" i="5" s="1"/>
  <c r="C67" i="5"/>
  <c r="D67" i="5"/>
  <c r="E67" i="5"/>
  <c r="F67" i="5"/>
  <c r="G67" i="5"/>
  <c r="H67" i="5"/>
  <c r="I67" i="5"/>
  <c r="J67" i="5"/>
  <c r="K67" i="5"/>
  <c r="L67" i="5"/>
  <c r="M67" i="5" s="1"/>
  <c r="N67" i="5" s="1"/>
  <c r="P67" i="5"/>
  <c r="C68" i="5"/>
  <c r="D68" i="5"/>
  <c r="E68" i="5"/>
  <c r="M68" i="5" s="1"/>
  <c r="N68" i="5" s="1"/>
  <c r="P68" i="5" s="1"/>
  <c r="F68" i="5"/>
  <c r="G68" i="5"/>
  <c r="H68" i="5"/>
  <c r="I68" i="5"/>
  <c r="J68" i="5"/>
  <c r="K68" i="5"/>
  <c r="L68" i="5"/>
  <c r="C69" i="5"/>
  <c r="D69" i="5"/>
  <c r="E69" i="5"/>
  <c r="F69" i="5"/>
  <c r="G69" i="5"/>
  <c r="H69" i="5"/>
  <c r="O69" i="5" s="1"/>
  <c r="I69" i="5"/>
  <c r="J69" i="5"/>
  <c r="K69" i="5"/>
  <c r="L69" i="5"/>
  <c r="M69" i="5"/>
  <c r="N69" i="5"/>
  <c r="P69" i="5" s="1"/>
  <c r="C70" i="5"/>
  <c r="D70" i="5"/>
  <c r="E70" i="5"/>
  <c r="F70" i="5"/>
  <c r="N70" i="5" s="1"/>
  <c r="P70" i="5" s="1"/>
  <c r="G70" i="5"/>
  <c r="O70" i="5" s="1"/>
  <c r="H70" i="5"/>
  <c r="I70" i="5"/>
  <c r="J70" i="5"/>
  <c r="K70" i="5"/>
  <c r="L70" i="5"/>
  <c r="M70" i="5" s="1"/>
  <c r="C71" i="5"/>
  <c r="D71" i="5"/>
  <c r="E71" i="5"/>
  <c r="F71" i="5"/>
  <c r="G71" i="5"/>
  <c r="H71" i="5"/>
  <c r="I71" i="5"/>
  <c r="J71" i="5"/>
  <c r="K71" i="5"/>
  <c r="L71" i="5" s="1"/>
  <c r="M71" i="5" s="1"/>
  <c r="N71" i="5" s="1"/>
  <c r="P71" i="5" s="1"/>
  <c r="C72" i="5"/>
  <c r="D72" i="5"/>
  <c r="E72" i="5"/>
  <c r="M72" i="5" s="1"/>
  <c r="N72" i="5" s="1"/>
  <c r="P72" i="5" s="1"/>
  <c r="F72" i="5"/>
  <c r="G72" i="5"/>
  <c r="H72" i="5"/>
  <c r="O72" i="5" s="1"/>
  <c r="I72" i="5"/>
  <c r="J72" i="5"/>
  <c r="K72" i="5"/>
  <c r="L72" i="5"/>
  <c r="C73" i="5"/>
  <c r="D73" i="5"/>
  <c r="E73" i="5"/>
  <c r="F73" i="5"/>
  <c r="G73" i="5"/>
  <c r="H73" i="5"/>
  <c r="O73" i="5" s="1"/>
  <c r="I73" i="5"/>
  <c r="J73" i="5"/>
  <c r="K73" i="5"/>
  <c r="L73" i="5"/>
  <c r="M73" i="5" s="1"/>
  <c r="N73" i="5" s="1"/>
  <c r="P73" i="5" s="1"/>
  <c r="C74" i="5"/>
  <c r="D74" i="5"/>
  <c r="E74" i="5"/>
  <c r="F74" i="5"/>
  <c r="N74" i="5" s="1"/>
  <c r="P74" i="5" s="1"/>
  <c r="G74" i="5"/>
  <c r="H74" i="5"/>
  <c r="I74" i="5"/>
  <c r="J74" i="5"/>
  <c r="K74" i="5"/>
  <c r="L74" i="5"/>
  <c r="M74" i="5" s="1"/>
  <c r="O74" i="5"/>
  <c r="C75" i="5"/>
  <c r="D75" i="5"/>
  <c r="E75" i="5"/>
  <c r="F75" i="5"/>
  <c r="G75" i="5"/>
  <c r="H75" i="5"/>
  <c r="I75" i="5"/>
  <c r="J75" i="5"/>
  <c r="K75" i="5"/>
  <c r="L75" i="5"/>
  <c r="M75" i="5" s="1"/>
  <c r="N75" i="5" s="1"/>
  <c r="P75" i="5"/>
  <c r="C76" i="5"/>
  <c r="K76" i="5" s="1"/>
  <c r="L76" i="5" s="1"/>
  <c r="M76" i="5" s="1"/>
  <c r="N76" i="5" s="1"/>
  <c r="P76" i="5" s="1"/>
  <c r="D76" i="5"/>
  <c r="E76" i="5"/>
  <c r="F76" i="5"/>
  <c r="G76" i="5"/>
  <c r="H76" i="5"/>
  <c r="I76" i="5"/>
  <c r="J76" i="5"/>
  <c r="C77" i="5"/>
  <c r="D77" i="5"/>
  <c r="E77" i="5"/>
  <c r="F77" i="5"/>
  <c r="G77" i="5"/>
  <c r="O77" i="5" s="1"/>
  <c r="H77" i="5"/>
  <c r="I77" i="5"/>
  <c r="J77" i="5"/>
  <c r="K77" i="5"/>
  <c r="L77" i="5"/>
  <c r="M77" i="5"/>
  <c r="N77" i="5"/>
  <c r="P77" i="5"/>
  <c r="C78" i="5"/>
  <c r="D78" i="5"/>
  <c r="E78" i="5"/>
  <c r="F78" i="5"/>
  <c r="G78" i="5"/>
  <c r="O78" i="5" s="1"/>
  <c r="H78" i="5"/>
  <c r="I78" i="5"/>
  <c r="J78" i="5"/>
  <c r="K78" i="5"/>
  <c r="L78" i="5"/>
  <c r="M78" i="5" s="1"/>
  <c r="N78" i="5" s="1"/>
  <c r="P78" i="5" s="1"/>
  <c r="C79" i="5"/>
  <c r="D79" i="5"/>
  <c r="E79" i="5"/>
  <c r="F79" i="5"/>
  <c r="G79" i="5"/>
  <c r="H79" i="5"/>
  <c r="I79" i="5"/>
  <c r="J79" i="5"/>
  <c r="K79" i="5"/>
  <c r="L79" i="5"/>
  <c r="M79" i="5" s="1"/>
  <c r="N79" i="5" s="1"/>
  <c r="P79" i="5"/>
  <c r="C80" i="5"/>
  <c r="D80" i="5"/>
  <c r="E80" i="5"/>
  <c r="F80" i="5"/>
  <c r="G80" i="5"/>
  <c r="H80" i="5"/>
  <c r="I80" i="5"/>
  <c r="J80" i="5"/>
  <c r="K80" i="5"/>
  <c r="L80" i="5"/>
  <c r="M80" i="5" s="1"/>
  <c r="N80" i="5" s="1"/>
  <c r="P80" i="5" s="1"/>
  <c r="C81" i="5"/>
  <c r="D81" i="5"/>
  <c r="E81" i="5"/>
  <c r="F81" i="5"/>
  <c r="N81" i="5" s="1"/>
  <c r="P81" i="5" s="1"/>
  <c r="G81" i="5"/>
  <c r="O81" i="5" s="1"/>
  <c r="H81" i="5"/>
  <c r="I81" i="5"/>
  <c r="J81" i="5"/>
  <c r="K81" i="5"/>
  <c r="L81" i="5"/>
  <c r="M81" i="5"/>
  <c r="C82" i="5"/>
  <c r="D82" i="5"/>
  <c r="E82" i="5"/>
  <c r="F82" i="5"/>
  <c r="N82" i="5" s="1"/>
  <c r="P82" i="5" s="1"/>
  <c r="G82" i="5"/>
  <c r="O82" i="5" s="1"/>
  <c r="H82" i="5"/>
  <c r="I82" i="5"/>
  <c r="J82" i="5"/>
  <c r="K82" i="5"/>
  <c r="L82" i="5"/>
  <c r="M82" i="5" s="1"/>
  <c r="C83" i="5"/>
  <c r="D83" i="5"/>
  <c r="L83" i="5" s="1"/>
  <c r="M83" i="5" s="1"/>
  <c r="N83" i="5" s="1"/>
  <c r="P83" i="5" s="1"/>
  <c r="E83" i="5"/>
  <c r="F83" i="5"/>
  <c r="G83" i="5"/>
  <c r="H83" i="5"/>
  <c r="I83" i="5"/>
  <c r="J83" i="5"/>
  <c r="K83" i="5"/>
  <c r="C84" i="5"/>
  <c r="D84" i="5"/>
  <c r="E84" i="5"/>
  <c r="M84" i="5" s="1"/>
  <c r="N84" i="5" s="1"/>
  <c r="P84" i="5" s="1"/>
  <c r="F84" i="5"/>
  <c r="G84" i="5"/>
  <c r="H84" i="5"/>
  <c r="I84" i="5"/>
  <c r="J84" i="5"/>
  <c r="K84" i="5"/>
  <c r="L84" i="5"/>
  <c r="C85" i="5"/>
  <c r="D85" i="5"/>
  <c r="E85" i="5"/>
  <c r="F85" i="5"/>
  <c r="N85" i="5" s="1"/>
  <c r="P85" i="5" s="1"/>
  <c r="G85" i="5"/>
  <c r="H85" i="5"/>
  <c r="O85" i="5" s="1"/>
  <c r="I85" i="5"/>
  <c r="J85" i="5"/>
  <c r="K85" i="5"/>
  <c r="L85" i="5"/>
  <c r="M85" i="5"/>
  <c r="C86" i="5"/>
  <c r="D86" i="5"/>
  <c r="E86" i="5"/>
  <c r="F86" i="5"/>
  <c r="N86" i="5" s="1"/>
  <c r="P86" i="5" s="1"/>
  <c r="G86" i="5"/>
  <c r="O86" i="5" s="1"/>
  <c r="H86" i="5"/>
  <c r="I86" i="5"/>
  <c r="J86" i="5"/>
  <c r="K86" i="5"/>
  <c r="L86" i="5"/>
  <c r="M86" i="5" s="1"/>
  <c r="C87" i="5"/>
  <c r="D87" i="5"/>
  <c r="E87" i="5"/>
  <c r="F87" i="5"/>
  <c r="G87" i="5"/>
  <c r="H87" i="5"/>
  <c r="I87" i="5"/>
  <c r="J87" i="5"/>
  <c r="K87" i="5"/>
  <c r="L87" i="5" s="1"/>
  <c r="M87" i="5" s="1"/>
  <c r="N87" i="5" s="1"/>
  <c r="P87" i="5" s="1"/>
  <c r="C88" i="5"/>
  <c r="K88" i="5" s="1"/>
  <c r="L88" i="5" s="1"/>
  <c r="M88" i="5" s="1"/>
  <c r="N88" i="5" s="1"/>
  <c r="P88" i="5" s="1"/>
  <c r="D88" i="5"/>
  <c r="E88" i="5"/>
  <c r="F88" i="5"/>
  <c r="G88" i="5"/>
  <c r="H88" i="5"/>
  <c r="O88" i="5" s="1"/>
  <c r="I88" i="5"/>
  <c r="J88" i="5"/>
  <c r="C89" i="5"/>
  <c r="D89" i="5"/>
  <c r="E89" i="5"/>
  <c r="F89" i="5"/>
  <c r="G89" i="5"/>
  <c r="H89" i="5"/>
  <c r="O89" i="5" s="1"/>
  <c r="I89" i="5"/>
  <c r="J89" i="5"/>
  <c r="K89" i="5"/>
  <c r="L89" i="5"/>
  <c r="M89" i="5" s="1"/>
  <c r="N89" i="5" s="1"/>
  <c r="P89" i="5" s="1"/>
  <c r="C90" i="5"/>
  <c r="D90" i="5"/>
  <c r="E90" i="5"/>
  <c r="F90" i="5"/>
  <c r="N90" i="5" s="1"/>
  <c r="P90" i="5" s="1"/>
  <c r="G90" i="5"/>
  <c r="H90" i="5"/>
  <c r="I90" i="5"/>
  <c r="J90" i="5"/>
  <c r="K90" i="5"/>
  <c r="L90" i="5"/>
  <c r="M90" i="5" s="1"/>
  <c r="O90" i="5"/>
  <c r="C91" i="5"/>
  <c r="D91" i="5"/>
  <c r="E91" i="5"/>
  <c r="F91" i="5"/>
  <c r="G91" i="5"/>
  <c r="H91" i="5"/>
  <c r="I91" i="5"/>
  <c r="J91" i="5"/>
  <c r="K91" i="5"/>
  <c r="L91" i="5"/>
  <c r="M91" i="5" s="1"/>
  <c r="N91" i="5" s="1"/>
  <c r="P91" i="5"/>
  <c r="C92" i="5"/>
  <c r="D92" i="5"/>
  <c r="E92" i="5"/>
  <c r="F92" i="5"/>
  <c r="N92" i="5" s="1"/>
  <c r="P92" i="5" s="1"/>
  <c r="G92" i="5"/>
  <c r="H92" i="5"/>
  <c r="I92" i="5"/>
  <c r="J92" i="5"/>
  <c r="K92" i="5"/>
  <c r="L92" i="5"/>
  <c r="M92" i="5"/>
  <c r="O84" i="5" l="1"/>
  <c r="O52" i="5"/>
  <c r="O75" i="5"/>
  <c r="O59" i="5"/>
  <c r="V43" i="5"/>
  <c r="W43" i="5" s="1"/>
  <c r="X43" i="5" s="1"/>
  <c r="Y43" i="5" s="1"/>
  <c r="O87" i="5"/>
  <c r="O71" i="5"/>
  <c r="O55" i="5"/>
  <c r="O80" i="5"/>
  <c r="O64" i="5"/>
  <c r="S5" i="5"/>
  <c r="AF12" i="5"/>
  <c r="S6" i="5" s="1"/>
  <c r="S7" i="5" s="1"/>
  <c r="O83" i="5"/>
  <c r="O67" i="5"/>
  <c r="O51" i="5"/>
  <c r="O92" i="5"/>
  <c r="O76" i="5"/>
  <c r="O60" i="5"/>
  <c r="O36" i="5"/>
  <c r="C5" i="5"/>
  <c r="P12" i="5"/>
  <c r="O91" i="5"/>
  <c r="O68" i="5"/>
  <c r="O37" i="5"/>
  <c r="O48" i="5"/>
  <c r="O29" i="5"/>
  <c r="C6" i="5" s="1"/>
  <c r="C7" i="5" s="1"/>
  <c r="O79" i="5"/>
  <c r="O63" i="5"/>
  <c r="O47" i="5"/>
  <c r="O93" i="5" s="1"/>
  <c r="O44" i="5"/>
  <c r="AB32" i="5"/>
  <c r="AD32" i="5" s="1"/>
  <c r="AE29" i="5"/>
  <c r="AF29" i="5" s="1"/>
  <c r="AE15" i="5"/>
  <c r="AC31" i="5"/>
  <c r="AB31" i="5"/>
  <c r="AD31" i="5" s="1"/>
  <c r="AC28" i="5"/>
  <c r="AE28" i="5" s="1"/>
  <c r="AF28" i="5" s="1"/>
  <c r="AB28" i="5"/>
  <c r="AD28" i="5" s="1"/>
  <c r="AC30" i="5"/>
  <c r="AB30" i="5"/>
  <c r="AD30" i="5" s="1"/>
  <c r="AC27" i="5"/>
  <c r="AC32" i="5"/>
  <c r="AE32" i="5" s="1"/>
  <c r="AF32" i="5" s="1"/>
  <c r="AB27" i="5"/>
  <c r="AD27" i="5" s="1"/>
  <c r="AE31" i="5" l="1"/>
  <c r="AF31" i="5" s="1"/>
  <c r="AE30" i="5"/>
  <c r="AF30" i="5" s="1"/>
  <c r="AE27" i="5"/>
  <c r="AE33" i="5" s="1"/>
  <c r="E28" i="2"/>
  <c r="F27" i="2"/>
  <c r="E27" i="2"/>
  <c r="G26" i="2"/>
  <c r="F26" i="2"/>
  <c r="E26" i="2"/>
  <c r="H25" i="2"/>
  <c r="G25" i="2"/>
  <c r="F25" i="2"/>
  <c r="E25" i="2"/>
  <c r="M24" i="2"/>
  <c r="M25" i="2" s="1"/>
  <c r="M26" i="2" s="1"/>
  <c r="M27" i="2" s="1"/>
  <c r="M28" i="2" s="1"/>
  <c r="I24" i="2"/>
  <c r="H24" i="2"/>
  <c r="G24" i="2"/>
  <c r="F24" i="2"/>
  <c r="E24" i="2"/>
  <c r="J23" i="2"/>
  <c r="I23" i="2"/>
  <c r="H23" i="2"/>
  <c r="G23" i="2"/>
  <c r="F23" i="2"/>
  <c r="E23" i="2"/>
  <c r="N28" i="2" l="1"/>
  <c r="AF27" i="5"/>
  <c r="N26" i="2"/>
  <c r="N24" i="2"/>
  <c r="N23" i="2"/>
  <c r="N27" i="2"/>
  <c r="N25" i="2"/>
</calcChain>
</file>

<file path=xl/sharedStrings.xml><?xml version="1.0" encoding="utf-8"?>
<sst xmlns="http://schemas.openxmlformats.org/spreadsheetml/2006/main" count="141" uniqueCount="73">
  <si>
    <t>Investment A</t>
  </si>
  <si>
    <t>Expected accumulated value for investment A:</t>
  </si>
  <si>
    <t>Expected accumulated value for investment B:</t>
  </si>
  <si>
    <t>Variance of investment A:</t>
  </si>
  <si>
    <t>Variance of investment B:</t>
  </si>
  <si>
    <t xml:space="preserve">Rate </t>
  </si>
  <si>
    <t>Probability</t>
  </si>
  <si>
    <t>Investment B</t>
  </si>
  <si>
    <t>Rate</t>
  </si>
  <si>
    <t xml:space="preserve"> (independent identicaly distributed rate)</t>
  </si>
  <si>
    <t>(same rate each year determined at time t=0)</t>
  </si>
  <si>
    <t>DATA</t>
  </si>
  <si>
    <t>DISPLAY YOUR ANSWERS HERE</t>
  </si>
  <si>
    <t>Initial Investment</t>
  </si>
  <si>
    <t>Display your final answers here</t>
  </si>
  <si>
    <t>B-F Method</t>
  </si>
  <si>
    <t>Chain Ladder method</t>
  </si>
  <si>
    <t>Given Data</t>
  </si>
  <si>
    <t>Incremental claim payments</t>
  </si>
  <si>
    <t>Earned Premium (EP)</t>
  </si>
  <si>
    <t>Development year</t>
  </si>
  <si>
    <t>Accident Year</t>
  </si>
  <si>
    <t>Year of origin</t>
  </si>
  <si>
    <t>EP</t>
  </si>
  <si>
    <t>Reserves:</t>
  </si>
  <si>
    <t>CW2.1</t>
  </si>
  <si>
    <t>Investment capital</t>
  </si>
  <si>
    <t>Rate of return, i_k</t>
  </si>
  <si>
    <t>Probability, P(i=i_k)</t>
  </si>
  <si>
    <t>Second moment</t>
  </si>
  <si>
    <t>Variance</t>
  </si>
  <si>
    <t>Rate, i_k</t>
  </si>
  <si>
    <t>Accumulated values</t>
  </si>
  <si>
    <t>Year 1</t>
  </si>
  <si>
    <t>Year 2</t>
  </si>
  <si>
    <t>Year 3</t>
  </si>
  <si>
    <t>Year 4</t>
  </si>
  <si>
    <t>i_1</t>
  </si>
  <si>
    <t>i_2</t>
  </si>
  <si>
    <t>i_3</t>
  </si>
  <si>
    <t>i_4</t>
  </si>
  <si>
    <t>P(i=i_1)</t>
  </si>
  <si>
    <t>P(i=i_2)</t>
  </si>
  <si>
    <t>P(i=i_3)</t>
  </si>
  <si>
    <t>P(i=i_4)</t>
  </si>
  <si>
    <t>A_1</t>
  </si>
  <si>
    <t>A_2</t>
  </si>
  <si>
    <t>A_3</t>
  </si>
  <si>
    <t>A_4</t>
  </si>
  <si>
    <t>P(A_4=A_4)</t>
  </si>
  <si>
    <t>CW2.2</t>
  </si>
  <si>
    <t>Bornhuetter-Ferguson method</t>
  </si>
  <si>
    <t>Accident year, AY</t>
  </si>
  <si>
    <t>Development factors, DF</t>
  </si>
  <si>
    <t>–</t>
  </si>
  <si>
    <t>Ultimate loss, UL</t>
  </si>
  <si>
    <t>1-(1/CDF)</t>
  </si>
  <si>
    <t>Emerging liability, EL</t>
  </si>
  <si>
    <t>Ultimate liability</t>
  </si>
  <si>
    <t>Reserve</t>
  </si>
  <si>
    <t>Chain ladder method</t>
  </si>
  <si>
    <t>Origin year, k</t>
  </si>
  <si>
    <t>Development years, DY_k (cumulative claim payments)</t>
  </si>
  <si>
    <t>Ultimate loss ratio, ULR</t>
  </si>
  <si>
    <t>Development years, DY_k (incremental claim payments)</t>
  </si>
  <si>
    <t>(A_4)^2</t>
  </si>
  <si>
    <t>P(A_4=A_4_j)</t>
  </si>
  <si>
    <t>Expected accumulated value</t>
  </si>
  <si>
    <t>Year k →</t>
  </si>
  <si>
    <t>Run, j ↓</t>
  </si>
  <si>
    <t>Cumulative DF, CDF</t>
  </si>
  <si>
    <t>Earned premium, EP</t>
  </si>
  <si>
    <t>UL projection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</si>
</sst>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.00"/>
    <numFmt numFmtId="165" formatCode="#,##0.0000"/>
    <numFmt numFmtId="166" formatCode="#,##0.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u/>
      <sz val="12"/>
      <color rgb="FF9C5700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6100"/>
      <name val="Calibri"/>
      <family val="2"/>
    </font>
    <font>
      <sz val="12"/>
      <color rgb="FF9C5700"/>
      <name val="Calibri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C6EFC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2" tint="-9.9948118533890809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</cellStyleXfs>
  <cellXfs count="121">
    <xf numFmtId="0" fontId="0" fillId="0" borderId="0" xfId="0"/>
    <xf numFmtId="0" fontId="4" fillId="2" borderId="0" xfId="3"/>
    <xf numFmtId="0" fontId="2" fillId="2" borderId="0" xfId="1" applyFill="1"/>
    <xf numFmtId="0" fontId="2" fillId="2" borderId="0" xfId="1" applyFill="1" applyBorder="1"/>
    <xf numFmtId="0" fontId="5" fillId="3" borderId="2" xfId="4" applyBorder="1"/>
    <xf numFmtId="0" fontId="3" fillId="0" borderId="1" xfId="2"/>
    <xf numFmtId="0" fontId="2" fillId="0" borderId="0" xfId="1"/>
    <xf numFmtId="0" fontId="5" fillId="3" borderId="3" xfId="4" applyBorder="1"/>
    <xf numFmtId="0" fontId="5" fillId="3" borderId="4" xfId="4" applyBorder="1"/>
    <xf numFmtId="0" fontId="5" fillId="3" borderId="5" xfId="4" applyBorder="1"/>
    <xf numFmtId="0" fontId="5" fillId="3" borderId="6" xfId="4" applyBorder="1"/>
    <xf numFmtId="0" fontId="5" fillId="3" borderId="7" xfId="4" applyBorder="1"/>
    <xf numFmtId="0" fontId="6" fillId="3" borderId="8" xfId="4" applyFont="1" applyBorder="1"/>
    <xf numFmtId="0" fontId="5" fillId="3" borderId="0" xfId="4" applyBorder="1"/>
    <xf numFmtId="0" fontId="5" fillId="3" borderId="9" xfId="4" applyBorder="1"/>
    <xf numFmtId="0" fontId="5" fillId="3" borderId="8" xfId="4" applyBorder="1"/>
    <xf numFmtId="0" fontId="5" fillId="3" borderId="10" xfId="4" applyBorder="1"/>
    <xf numFmtId="0" fontId="5" fillId="3" borderId="11" xfId="4" applyBorder="1"/>
    <xf numFmtId="0" fontId="5" fillId="3" borderId="12" xfId="4" applyBorder="1"/>
    <xf numFmtId="0" fontId="5" fillId="3" borderId="13" xfId="4" applyBorder="1"/>
    <xf numFmtId="0" fontId="5" fillId="3" borderId="14" xfId="4" applyBorder="1"/>
    <xf numFmtId="0" fontId="7" fillId="0" borderId="0" xfId="0" applyFont="1"/>
    <xf numFmtId="0" fontId="8" fillId="0" borderId="0" xfId="6" applyFont="1"/>
    <xf numFmtId="0" fontId="9" fillId="5" borderId="5" xfId="3" applyFont="1" applyFill="1" applyBorder="1" applyProtection="1">
      <protection locked="0"/>
    </xf>
    <xf numFmtId="0" fontId="9" fillId="5" borderId="6" xfId="3" applyFont="1" applyFill="1" applyBorder="1" applyProtection="1">
      <protection locked="0"/>
    </xf>
    <xf numFmtId="0" fontId="9" fillId="5" borderId="7" xfId="3" applyFont="1" applyFill="1" applyBorder="1" applyProtection="1">
      <protection locked="0"/>
    </xf>
    <xf numFmtId="0" fontId="7" fillId="0" borderId="0" xfId="0" applyFont="1" applyProtection="1">
      <protection locked="0"/>
    </xf>
    <xf numFmtId="0" fontId="9" fillId="5" borderId="8" xfId="3" applyFont="1" applyFill="1" applyBorder="1" applyProtection="1">
      <protection locked="0"/>
    </xf>
    <xf numFmtId="0" fontId="9" fillId="5" borderId="0" xfId="3" applyFont="1" applyFill="1" applyBorder="1" applyProtection="1">
      <protection locked="0"/>
    </xf>
    <xf numFmtId="0" fontId="9" fillId="5" borderId="9" xfId="3" applyFont="1" applyFill="1" applyBorder="1" applyProtection="1">
      <protection locked="0"/>
    </xf>
    <xf numFmtId="0" fontId="9" fillId="5" borderId="0" xfId="3" applyFont="1" applyFill="1" applyBorder="1" applyAlignment="1" applyProtection="1">
      <alignment horizontal="center"/>
      <protection locked="0"/>
    </xf>
    <xf numFmtId="0" fontId="7" fillId="0" borderId="0" xfId="0" applyFont="1" applyAlignment="1" applyProtection="1">
      <alignment wrapText="1"/>
      <protection locked="0"/>
    </xf>
    <xf numFmtId="0" fontId="9" fillId="5" borderId="3" xfId="3" applyFont="1" applyFill="1" applyBorder="1" applyProtection="1">
      <protection locked="0"/>
    </xf>
    <xf numFmtId="0" fontId="9" fillId="5" borderId="12" xfId="3" applyFont="1" applyFill="1" applyBorder="1" applyProtection="1">
      <protection locked="0"/>
    </xf>
    <xf numFmtId="0" fontId="9" fillId="5" borderId="13" xfId="3" applyFont="1" applyFill="1" applyBorder="1" applyProtection="1">
      <protection locked="0"/>
    </xf>
    <xf numFmtId="0" fontId="9" fillId="5" borderId="14" xfId="3" applyFont="1" applyFill="1" applyBorder="1" applyProtection="1">
      <protection locked="0"/>
    </xf>
    <xf numFmtId="0" fontId="10" fillId="6" borderId="0" xfId="4" applyFont="1" applyFill="1" applyBorder="1"/>
    <xf numFmtId="0" fontId="10" fillId="6" borderId="0" xfId="4" applyFont="1" applyFill="1" applyBorder="1" applyAlignment="1">
      <alignment horizontal="center"/>
    </xf>
    <xf numFmtId="0" fontId="10" fillId="6" borderId="2" xfId="4" applyFont="1" applyFill="1" applyBorder="1" applyAlignment="1">
      <alignment horizontal="center"/>
    </xf>
    <xf numFmtId="0" fontId="10" fillId="6" borderId="17" xfId="4" applyFont="1" applyFill="1" applyBorder="1" applyAlignment="1">
      <alignment horizontal="center"/>
    </xf>
    <xf numFmtId="0" fontId="10" fillId="6" borderId="18" xfId="4" applyFont="1" applyFill="1" applyBorder="1" applyAlignment="1">
      <alignment horizontal="center"/>
    </xf>
    <xf numFmtId="0" fontId="10" fillId="6" borderId="2" xfId="4" applyFont="1" applyFill="1" applyBorder="1" applyAlignment="1">
      <alignment horizontal="center" wrapText="1"/>
    </xf>
    <xf numFmtId="164" fontId="10" fillId="6" borderId="2" xfId="4" applyNumberFormat="1" applyFont="1" applyFill="1" applyBorder="1" applyProtection="1">
      <protection hidden="1"/>
    </xf>
    <xf numFmtId="0" fontId="10" fillId="6" borderId="19" xfId="4" applyFont="1" applyFill="1" applyBorder="1" applyAlignment="1">
      <alignment horizontal="center"/>
    </xf>
    <xf numFmtId="0" fontId="10" fillId="6" borderId="20" xfId="4" applyFont="1" applyFill="1" applyBorder="1" applyAlignment="1">
      <alignment horizontal="center"/>
    </xf>
    <xf numFmtId="164" fontId="10" fillId="6" borderId="19" xfId="4" applyNumberFormat="1" applyFont="1" applyFill="1" applyBorder="1" applyProtection="1">
      <protection hidden="1"/>
    </xf>
    <xf numFmtId="0" fontId="10" fillId="6" borderId="21" xfId="4" applyFont="1" applyFill="1" applyBorder="1" applyAlignment="1">
      <alignment horizontal="center"/>
    </xf>
    <xf numFmtId="0" fontId="10" fillId="6" borderId="21" xfId="4" applyFont="1" applyFill="1" applyBorder="1"/>
    <xf numFmtId="164" fontId="10" fillId="6" borderId="21" xfId="4" applyNumberFormat="1" applyFont="1" applyFill="1" applyBorder="1" applyProtection="1">
      <protection hidden="1"/>
    </xf>
    <xf numFmtId="0" fontId="11" fillId="0" borderId="0" xfId="0" applyFont="1"/>
    <xf numFmtId="165" fontId="4" fillId="2" borderId="2" xfId="3" applyNumberFormat="1" applyBorder="1"/>
    <xf numFmtId="0" fontId="12" fillId="0" borderId="0" xfId="0" applyFont="1"/>
    <xf numFmtId="0" fontId="12" fillId="7" borderId="0" xfId="0" applyFont="1" applyFill="1"/>
    <xf numFmtId="0" fontId="12" fillId="8" borderId="2" xfId="0" applyFont="1" applyFill="1" applyBorder="1"/>
    <xf numFmtId="0" fontId="0" fillId="0" borderId="2" xfId="0" applyBorder="1"/>
    <xf numFmtId="0" fontId="0" fillId="0" borderId="22" xfId="0" applyBorder="1"/>
    <xf numFmtId="0" fontId="12" fillId="8" borderId="24" xfId="0" applyFont="1" applyFill="1" applyBorder="1"/>
    <xf numFmtId="0" fontId="12" fillId="8" borderId="25" xfId="0" applyFont="1" applyFill="1" applyBorder="1"/>
    <xf numFmtId="165" fontId="0" fillId="0" borderId="2" xfId="0" applyNumberFormat="1" applyBorder="1"/>
    <xf numFmtId="0" fontId="13" fillId="0" borderId="0" xfId="0" applyFont="1" applyAlignment="1">
      <alignment horizontal="center"/>
    </xf>
    <xf numFmtId="0" fontId="13" fillId="0" borderId="0" xfId="0" applyFont="1" applyAlignment="1" applyProtection="1">
      <alignment horizontal="center"/>
      <protection locked="0"/>
    </xf>
    <xf numFmtId="0" fontId="13" fillId="7" borderId="0" xfId="0" applyFont="1" applyFill="1" applyAlignment="1">
      <alignment horizontal="center"/>
    </xf>
    <xf numFmtId="0" fontId="14" fillId="0" borderId="0" xfId="0" applyFont="1"/>
    <xf numFmtId="0" fontId="14" fillId="8" borderId="2" xfId="0" applyFont="1" applyFill="1" applyBorder="1"/>
    <xf numFmtId="0" fontId="14" fillId="8" borderId="2" xfId="0" applyFont="1" applyFill="1" applyBorder="1" applyAlignment="1">
      <alignment horizontal="left"/>
    </xf>
    <xf numFmtId="0" fontId="13" fillId="0" borderId="0" xfId="0" applyFont="1"/>
    <xf numFmtId="4" fontId="13" fillId="0" borderId="0" xfId="0" applyNumberFormat="1" applyFont="1" applyProtection="1">
      <protection hidden="1"/>
    </xf>
    <xf numFmtId="165" fontId="0" fillId="0" borderId="0" xfId="0" applyNumberFormat="1"/>
    <xf numFmtId="0" fontId="13" fillId="0" borderId="2" xfId="0" applyFont="1" applyBorder="1"/>
    <xf numFmtId="0" fontId="14" fillId="0" borderId="0" xfId="0" applyFont="1" applyProtection="1">
      <protection locked="0"/>
    </xf>
    <xf numFmtId="3" fontId="0" fillId="0" borderId="0" xfId="0" applyNumberFormat="1"/>
    <xf numFmtId="0" fontId="12" fillId="0" borderId="2" xfId="0" applyFont="1" applyBorder="1" applyAlignment="1">
      <alignment horizontal="center"/>
    </xf>
    <xf numFmtId="165" fontId="0" fillId="0" borderId="2" xfId="0" applyNumberFormat="1" applyBorder="1" applyAlignment="1">
      <alignment horizontal="right"/>
    </xf>
    <xf numFmtId="165" fontId="13" fillId="0" borderId="2" xfId="0" applyNumberFormat="1" applyFont="1" applyBorder="1" applyAlignment="1" applyProtection="1">
      <alignment horizontal="right"/>
      <protection locked="0"/>
    </xf>
    <xf numFmtId="165" fontId="0" fillId="0" borderId="0" xfId="0" applyNumberFormat="1" applyAlignment="1">
      <alignment horizontal="right"/>
    </xf>
    <xf numFmtId="0" fontId="14" fillId="8" borderId="17" xfId="0" applyFont="1" applyFill="1" applyBorder="1" applyAlignment="1">
      <alignment horizontal="left"/>
    </xf>
    <xf numFmtId="3" fontId="0" fillId="0" borderId="2" xfId="0" applyNumberFormat="1" applyBorder="1"/>
    <xf numFmtId="0" fontId="14" fillId="0" borderId="0" xfId="0" applyFont="1" applyAlignment="1">
      <alignment horizontal="left"/>
    </xf>
    <xf numFmtId="165" fontId="13" fillId="0" borderId="2" xfId="0" applyNumberFormat="1" applyFont="1" applyBorder="1"/>
    <xf numFmtId="165" fontId="13" fillId="0" borderId="2" xfId="0" applyNumberFormat="1" applyFont="1" applyBorder="1" applyProtection="1">
      <protection locked="0"/>
    </xf>
    <xf numFmtId="165" fontId="14" fillId="0" borderId="0" xfId="0" applyNumberFormat="1" applyFont="1" applyProtection="1">
      <protection locked="0"/>
    </xf>
    <xf numFmtId="165" fontId="13" fillId="0" borderId="0" xfId="0" applyNumberFormat="1" applyFont="1"/>
    <xf numFmtId="165" fontId="13" fillId="0" borderId="0" xfId="0" applyNumberFormat="1" applyFont="1" applyProtection="1">
      <protection locked="0"/>
    </xf>
    <xf numFmtId="0" fontId="0" fillId="0" borderId="2" xfId="0" applyBorder="1" applyAlignment="1">
      <alignment horizontal="right"/>
    </xf>
    <xf numFmtId="165" fontId="13" fillId="0" borderId="0" xfId="0" applyNumberFormat="1" applyFont="1" applyAlignment="1" applyProtection="1">
      <alignment horizontal="right"/>
      <protection locked="0"/>
    </xf>
    <xf numFmtId="0" fontId="0" fillId="0" borderId="0" xfId="0" applyAlignment="1">
      <alignment horizontal="right"/>
    </xf>
    <xf numFmtId="0" fontId="0" fillId="0" borderId="25" xfId="0" applyBorder="1"/>
    <xf numFmtId="0" fontId="12" fillId="8" borderId="2" xfId="0" applyFont="1" applyFill="1" applyBorder="1" applyAlignment="1">
      <alignment horizontal="right"/>
    </xf>
    <xf numFmtId="3" fontId="13" fillId="0" borderId="0" xfId="0" applyNumberFormat="1" applyFont="1" applyAlignment="1" applyProtection="1">
      <alignment horizontal="right"/>
      <protection locked="0"/>
    </xf>
    <xf numFmtId="164" fontId="13" fillId="0" borderId="0" xfId="0" applyNumberFormat="1" applyFont="1" applyAlignment="1" applyProtection="1">
      <alignment horizontal="right"/>
      <protection locked="0"/>
    </xf>
    <xf numFmtId="164" fontId="13" fillId="0" borderId="0" xfId="0" applyNumberFormat="1" applyFont="1" applyProtection="1">
      <protection hidden="1"/>
    </xf>
    <xf numFmtId="164" fontId="0" fillId="0" borderId="0" xfId="0" applyNumberFormat="1" applyAlignment="1">
      <alignment horizontal="right"/>
    </xf>
    <xf numFmtId="165" fontId="13" fillId="0" borderId="17" xfId="0" applyNumberFormat="1" applyFont="1" applyBorder="1" applyAlignment="1" applyProtection="1">
      <alignment horizontal="right"/>
      <protection locked="0"/>
    </xf>
    <xf numFmtId="164" fontId="13" fillId="0" borderId="2" xfId="0" applyNumberFormat="1" applyFont="1" applyBorder="1" applyAlignment="1" applyProtection="1">
      <alignment horizontal="right"/>
      <protection locked="0"/>
    </xf>
    <xf numFmtId="164" fontId="13" fillId="0" borderId="27" xfId="0" applyNumberFormat="1" applyFont="1" applyBorder="1" applyProtection="1">
      <protection hidden="1"/>
    </xf>
    <xf numFmtId="164" fontId="0" fillId="0" borderId="2" xfId="0" applyNumberFormat="1" applyBorder="1" applyAlignment="1">
      <alignment horizontal="right"/>
    </xf>
    <xf numFmtId="164" fontId="13" fillId="0" borderId="24" xfId="0" applyNumberFormat="1" applyFont="1" applyBorder="1" applyProtection="1">
      <protection hidden="1"/>
    </xf>
    <xf numFmtId="164" fontId="13" fillId="0" borderId="26" xfId="0" applyNumberFormat="1" applyFont="1" applyBorder="1" applyProtection="1">
      <protection hidden="1"/>
    </xf>
    <xf numFmtId="166" fontId="0" fillId="0" borderId="2" xfId="0" applyNumberFormat="1" applyBorder="1"/>
    <xf numFmtId="164" fontId="0" fillId="0" borderId="2" xfId="0" applyNumberFormat="1" applyBorder="1"/>
    <xf numFmtId="164" fontId="9" fillId="5" borderId="15" xfId="3" applyNumberFormat="1" applyFont="1" applyFill="1" applyBorder="1" applyAlignment="1" applyProtection="1">
      <alignment horizontal="right"/>
      <protection locked="0"/>
    </xf>
    <xf numFmtId="164" fontId="4" fillId="2" borderId="2" xfId="3" applyNumberFormat="1" applyBorder="1" applyAlignment="1">
      <alignment horizontal="right"/>
    </xf>
    <xf numFmtId="9" fontId="0" fillId="0" borderId="2" xfId="0" applyNumberFormat="1" applyBorder="1" applyAlignment="1">
      <alignment horizontal="right"/>
    </xf>
    <xf numFmtId="0" fontId="10" fillId="6" borderId="0" xfId="4" applyFont="1" applyFill="1" applyBorder="1" applyAlignment="1">
      <alignment horizontal="center"/>
    </xf>
    <xf numFmtId="0" fontId="8" fillId="0" borderId="0" xfId="6" applyFont="1"/>
    <xf numFmtId="0" fontId="9" fillId="5" borderId="6" xfId="3" applyFont="1" applyFill="1" applyBorder="1" applyAlignment="1" applyProtection="1">
      <alignment horizontal="center"/>
      <protection locked="0"/>
    </xf>
    <xf numFmtId="0" fontId="9" fillId="5" borderId="0" xfId="3" applyFont="1" applyFill="1" applyBorder="1" applyAlignment="1" applyProtection="1">
      <alignment horizontal="center"/>
      <protection locked="0"/>
    </xf>
    <xf numFmtId="0" fontId="9" fillId="5" borderId="13" xfId="3" applyFont="1" applyFill="1" applyBorder="1" applyAlignment="1" applyProtection="1">
      <alignment horizontal="center"/>
      <protection locked="0"/>
    </xf>
    <xf numFmtId="0" fontId="9" fillId="5" borderId="0" xfId="3" applyFont="1" applyFill="1" applyBorder="1"/>
    <xf numFmtId="0" fontId="9" fillId="5" borderId="3" xfId="3" applyFont="1" applyFill="1" applyBorder="1" applyAlignment="1" applyProtection="1">
      <alignment horizontal="center"/>
      <protection locked="0"/>
    </xf>
    <xf numFmtId="0" fontId="9" fillId="5" borderId="16" xfId="3" applyFont="1" applyFill="1" applyBorder="1" applyAlignment="1" applyProtection="1">
      <alignment horizontal="center"/>
      <protection locked="0"/>
    </xf>
    <xf numFmtId="0" fontId="9" fillId="5" borderId="4" xfId="3" applyFont="1" applyFill="1" applyBorder="1" applyAlignment="1" applyProtection="1">
      <alignment horizontal="center"/>
      <protection locked="0"/>
    </xf>
    <xf numFmtId="164" fontId="9" fillId="5" borderId="3" xfId="3" applyNumberFormat="1" applyFont="1" applyFill="1" applyBorder="1" applyAlignment="1" applyProtection="1">
      <alignment horizontal="right"/>
      <protection locked="0"/>
    </xf>
    <xf numFmtId="164" fontId="9" fillId="5" borderId="4" xfId="3" applyNumberFormat="1" applyFont="1" applyFill="1" applyBorder="1" applyAlignment="1" applyProtection="1">
      <alignment horizontal="right"/>
      <protection locked="0"/>
    </xf>
    <xf numFmtId="1" fontId="9" fillId="5" borderId="0" xfId="3" applyNumberFormat="1" applyFont="1" applyFill="1" applyBorder="1" applyAlignment="1" applyProtection="1">
      <alignment horizontal="center"/>
      <protection locked="0"/>
    </xf>
    <xf numFmtId="0" fontId="12" fillId="0" borderId="17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4" fillId="0" borderId="2" xfId="0" applyFont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center"/>
    </xf>
    <xf numFmtId="0" fontId="1" fillId="0" borderId="0" xfId="5" applyFill="1" applyBorder="1"/>
  </cellXfs>
  <cellStyles count="7">
    <cellStyle name="40% - Accent5" xfId="5" builtinId="47"/>
    <cellStyle name="Good" xfId="3" builtinId="26"/>
    <cellStyle name="Heading 1" xfId="2" builtinId="16"/>
    <cellStyle name="Neutral" xfId="4" builtinId="28"/>
    <cellStyle name="Normal" xfId="0" builtinId="0"/>
    <cellStyle name="Normal 2" xfId="6" xr:uid="{4FC66EAE-2C8A-034B-97C7-96FFF2F4FB93}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7B817-8FD8-5A43-88CB-3DA451E76EC7}">
  <dimension ref="B2:O24"/>
  <sheetViews>
    <sheetView tabSelected="1" zoomScale="91" workbookViewId="0">
      <selection activeCell="E4" sqref="E4"/>
    </sheetView>
  </sheetViews>
  <sheetFormatPr baseColWidth="10" defaultRowHeight="16" x14ac:dyDescent="0.2"/>
  <cols>
    <col min="2" max="2" width="15" customWidth="1"/>
    <col min="3" max="3" width="16.83203125" bestFit="1" customWidth="1"/>
    <col min="4" max="4" width="15" customWidth="1"/>
    <col min="5" max="5" width="16.6640625" customWidth="1"/>
    <col min="6" max="6" width="17.33203125" customWidth="1"/>
    <col min="7" max="7" width="17.6640625" customWidth="1"/>
    <col min="8" max="8" width="14.5" customWidth="1"/>
    <col min="9" max="9" width="15.33203125" customWidth="1"/>
    <col min="10" max="10" width="13" customWidth="1"/>
    <col min="11" max="11" width="18" customWidth="1"/>
    <col min="14" max="14" width="16.1640625" customWidth="1"/>
  </cols>
  <sheetData>
    <row r="2" spans="2:14" ht="12" customHeight="1" x14ac:dyDescent="0.2"/>
    <row r="3" spans="2:14" ht="18" customHeight="1" x14ac:dyDescent="0.2"/>
    <row r="4" spans="2:14" ht="17" customHeight="1" x14ac:dyDescent="0.2">
      <c r="B4" s="120"/>
      <c r="C4" s="120"/>
      <c r="K4" s="49"/>
    </row>
    <row r="5" spans="2:14" x14ac:dyDescent="0.2">
      <c r="B5" s="120"/>
      <c r="C5" s="120"/>
      <c r="I5" s="49"/>
    </row>
    <row r="9" spans="2:14" ht="21" thickBot="1" x14ac:dyDescent="0.3">
      <c r="I9" s="5" t="s">
        <v>12</v>
      </c>
      <c r="J9" s="5"/>
    </row>
    <row r="10" spans="2:14" ht="25" thickTop="1" x14ac:dyDescent="0.3">
      <c r="D10" s="1"/>
      <c r="E10" s="1"/>
      <c r="F10" s="1"/>
      <c r="G10" s="1"/>
      <c r="H10" s="3"/>
      <c r="I10" s="2"/>
      <c r="J10" s="1"/>
      <c r="K10" s="1"/>
      <c r="L10" s="1"/>
      <c r="M10" s="1"/>
      <c r="N10" s="1"/>
    </row>
    <row r="11" spans="2:14" x14ac:dyDescent="0.2">
      <c r="D11" s="1"/>
      <c r="E11" s="1" t="s">
        <v>1</v>
      </c>
      <c r="F11" s="1"/>
      <c r="G11" s="1"/>
      <c r="H11" s="1"/>
      <c r="I11" s="101">
        <v>110.381289</v>
      </c>
      <c r="J11" s="1"/>
      <c r="K11" s="1" t="s">
        <v>3</v>
      </c>
      <c r="L11" s="1"/>
      <c r="M11" s="50">
        <v>59.252114599999999</v>
      </c>
      <c r="N11" s="1"/>
    </row>
    <row r="12" spans="2:14" x14ac:dyDescent="0.2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2:14" x14ac:dyDescent="0.2">
      <c r="D13" s="1"/>
      <c r="E13" s="1" t="s">
        <v>2</v>
      </c>
      <c r="F13" s="1"/>
      <c r="G13" s="1"/>
      <c r="H13" s="1"/>
      <c r="I13" s="101">
        <v>107.8374195</v>
      </c>
      <c r="J13" s="1"/>
      <c r="K13" s="1" t="s">
        <v>4</v>
      </c>
      <c r="L13" s="1"/>
      <c r="M13" s="50">
        <v>5.190115241</v>
      </c>
      <c r="N13" s="1"/>
    </row>
    <row r="14" spans="2:14" x14ac:dyDescent="0.2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2:14" x14ac:dyDescent="0.2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7" spans="4:15" ht="25" thickBot="1" x14ac:dyDescent="0.35">
      <c r="H17" s="6" t="s">
        <v>11</v>
      </c>
    </row>
    <row r="18" spans="4:15" ht="17" thickBot="1" x14ac:dyDescent="0.25">
      <c r="D18" s="9"/>
      <c r="E18" s="10"/>
      <c r="F18" s="10"/>
      <c r="G18" s="11"/>
      <c r="I18" s="9"/>
      <c r="J18" s="10"/>
      <c r="K18" s="10"/>
      <c r="L18" s="11"/>
      <c r="N18" s="7" t="s">
        <v>13</v>
      </c>
      <c r="O18" s="8">
        <v>100</v>
      </c>
    </row>
    <row r="19" spans="4:15" x14ac:dyDescent="0.2">
      <c r="D19" s="12" t="s">
        <v>0</v>
      </c>
      <c r="E19" s="13" t="s">
        <v>9</v>
      </c>
      <c r="F19" s="13"/>
      <c r="G19" s="14"/>
      <c r="I19" s="12" t="s">
        <v>7</v>
      </c>
      <c r="J19" s="13" t="s">
        <v>10</v>
      </c>
      <c r="K19" s="13"/>
      <c r="L19" s="14"/>
    </row>
    <row r="20" spans="4:15" x14ac:dyDescent="0.2">
      <c r="D20" s="15"/>
      <c r="E20" s="13"/>
      <c r="F20" s="13"/>
      <c r="G20" s="14"/>
      <c r="I20" s="15"/>
      <c r="J20" s="13"/>
      <c r="K20" s="13"/>
      <c r="L20" s="14"/>
    </row>
    <row r="21" spans="4:15" x14ac:dyDescent="0.2">
      <c r="D21" s="16" t="s">
        <v>5</v>
      </c>
      <c r="E21" s="4">
        <v>-0.01</v>
      </c>
      <c r="F21" s="4">
        <v>0.05</v>
      </c>
      <c r="G21" s="17">
        <v>7.0000000000000007E-2</v>
      </c>
      <c r="I21" s="16" t="s">
        <v>8</v>
      </c>
      <c r="J21" s="4">
        <v>0.01</v>
      </c>
      <c r="K21" s="4">
        <v>0.02</v>
      </c>
      <c r="L21" s="17">
        <v>0.03</v>
      </c>
    </row>
    <row r="22" spans="4:15" x14ac:dyDescent="0.2">
      <c r="D22" s="16" t="s">
        <v>6</v>
      </c>
      <c r="E22" s="4">
        <v>0.5</v>
      </c>
      <c r="F22" s="4">
        <v>0.25</v>
      </c>
      <c r="G22" s="17">
        <v>0.25</v>
      </c>
      <c r="I22" s="16" t="s">
        <v>6</v>
      </c>
      <c r="J22" s="4">
        <v>0.2</v>
      </c>
      <c r="K22" s="4">
        <v>0.7</v>
      </c>
      <c r="L22" s="17">
        <v>0.1</v>
      </c>
    </row>
    <row r="23" spans="4:15" x14ac:dyDescent="0.2">
      <c r="D23" s="15"/>
      <c r="E23" s="13"/>
      <c r="F23" s="13"/>
      <c r="G23" s="14"/>
      <c r="I23" s="15"/>
      <c r="J23" s="13"/>
      <c r="K23" s="13"/>
      <c r="L23" s="14"/>
    </row>
    <row r="24" spans="4:15" ht="17" thickBot="1" x14ac:dyDescent="0.25">
      <c r="D24" s="18"/>
      <c r="E24" s="19"/>
      <c r="F24" s="19"/>
      <c r="G24" s="20"/>
      <c r="I24" s="18"/>
      <c r="J24" s="19"/>
      <c r="K24" s="19"/>
      <c r="L24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E513E-E617-A244-AEF0-4A2F17243868}">
  <dimension ref="A1:P30"/>
  <sheetViews>
    <sheetView zoomScale="92" workbookViewId="0">
      <selection activeCell="M3" sqref="M3"/>
    </sheetView>
  </sheetViews>
  <sheetFormatPr baseColWidth="10" defaultRowHeight="16" x14ac:dyDescent="0.2"/>
  <cols>
    <col min="3" max="3" width="14.33203125" customWidth="1"/>
    <col min="4" max="4" width="15.6640625" customWidth="1"/>
    <col min="13" max="13" width="15" customWidth="1"/>
    <col min="20" max="20" width="10.83203125" customWidth="1"/>
  </cols>
  <sheetData>
    <row r="1" spans="1:16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6" x14ac:dyDescent="0.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x14ac:dyDescent="0.2">
      <c r="A3" s="21"/>
      <c r="B3" s="21"/>
      <c r="C3" s="21">
        <v>1</v>
      </c>
      <c r="D3" s="21">
        <v>3</v>
      </c>
      <c r="E3" s="21">
        <v>2</v>
      </c>
      <c r="F3" s="21">
        <v>5</v>
      </c>
      <c r="G3" s="21">
        <v>4</v>
      </c>
      <c r="H3" s="21">
        <v>7</v>
      </c>
      <c r="I3" s="21">
        <v>6</v>
      </c>
      <c r="J3" s="21">
        <v>9</v>
      </c>
      <c r="K3" s="21">
        <v>8</v>
      </c>
      <c r="L3" s="21"/>
      <c r="M3" s="21"/>
      <c r="N3" s="21"/>
      <c r="O3" s="21"/>
      <c r="P3" s="21"/>
    </row>
    <row r="4" spans="1:16" x14ac:dyDescent="0.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x14ac:dyDescent="0.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2"/>
    </row>
    <row r="6" spans="1:16" x14ac:dyDescent="0.2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</row>
    <row r="7" spans="1:16" ht="17" thickBot="1" x14ac:dyDescent="0.25">
      <c r="A7" s="22"/>
      <c r="B7" s="22"/>
      <c r="C7" s="22"/>
      <c r="D7" s="22"/>
      <c r="E7" s="22"/>
      <c r="F7" s="22"/>
      <c r="G7" s="104"/>
      <c r="H7" s="104"/>
      <c r="I7" s="104"/>
      <c r="J7" s="104"/>
      <c r="K7" s="22"/>
      <c r="L7" s="22"/>
      <c r="M7" s="22"/>
      <c r="N7" s="22"/>
      <c r="O7" s="22"/>
      <c r="P7" s="22"/>
    </row>
    <row r="8" spans="1:16" x14ac:dyDescent="0.2">
      <c r="A8" s="22"/>
      <c r="B8" s="23"/>
      <c r="C8" s="24"/>
      <c r="D8" s="24"/>
      <c r="E8" s="105" t="s">
        <v>14</v>
      </c>
      <c r="F8" s="105"/>
      <c r="G8" s="105"/>
      <c r="H8" s="105"/>
      <c r="I8" s="24"/>
      <c r="J8" s="24"/>
      <c r="K8" s="24"/>
      <c r="L8" s="24"/>
      <c r="M8" s="25"/>
      <c r="N8" s="26"/>
      <c r="O8" s="26"/>
      <c r="P8" s="22"/>
    </row>
    <row r="9" spans="1:16" x14ac:dyDescent="0.2">
      <c r="A9" s="22"/>
      <c r="B9" s="27"/>
      <c r="C9" s="28"/>
      <c r="D9" s="28"/>
      <c r="E9" s="28"/>
      <c r="F9" s="28"/>
      <c r="G9" s="28"/>
      <c r="H9" s="28"/>
      <c r="I9" s="28"/>
      <c r="J9" s="28"/>
      <c r="K9" s="28"/>
      <c r="L9" s="28"/>
      <c r="M9" s="29"/>
      <c r="N9" s="26"/>
      <c r="O9" s="26"/>
      <c r="P9" s="22"/>
    </row>
    <row r="10" spans="1:16" x14ac:dyDescent="0.2">
      <c r="A10" s="22"/>
      <c r="B10" s="27"/>
      <c r="C10" s="28" t="s">
        <v>15</v>
      </c>
      <c r="D10" s="28"/>
      <c r="E10" s="28"/>
      <c r="F10" s="28"/>
      <c r="G10" s="28"/>
      <c r="H10" s="28" t="s">
        <v>16</v>
      </c>
      <c r="I10" s="28"/>
      <c r="J10" s="28"/>
      <c r="K10" s="28"/>
      <c r="L10" s="30"/>
      <c r="M10" s="29"/>
      <c r="N10" s="31"/>
      <c r="O10" s="31"/>
      <c r="P10" s="22"/>
    </row>
    <row r="11" spans="1:16" ht="17" thickBot="1" x14ac:dyDescent="0.25">
      <c r="A11" s="22"/>
      <c r="B11" s="27"/>
      <c r="C11" s="28"/>
      <c r="D11" s="28"/>
      <c r="E11" s="106"/>
      <c r="F11" s="106"/>
      <c r="G11" s="28"/>
      <c r="H11" s="28"/>
      <c r="I11" s="28"/>
      <c r="J11" s="28"/>
      <c r="K11" s="107"/>
      <c r="L11" s="107"/>
      <c r="M11" s="29"/>
      <c r="N11" s="31"/>
      <c r="O11" s="31"/>
      <c r="P11" s="22"/>
    </row>
    <row r="12" spans="1:16" ht="17" thickBot="1" x14ac:dyDescent="0.25">
      <c r="A12" s="22"/>
      <c r="B12" s="27"/>
      <c r="C12" s="32" t="s">
        <v>24</v>
      </c>
      <c r="D12" s="100">
        <v>2115.0735568411701</v>
      </c>
      <c r="E12" s="108"/>
      <c r="F12" s="108"/>
      <c r="G12" s="28"/>
      <c r="H12" s="109" t="s">
        <v>24</v>
      </c>
      <c r="I12" s="110"/>
      <c r="J12" s="111"/>
      <c r="K12" s="112">
        <v>1929.5793241240999</v>
      </c>
      <c r="L12" s="113"/>
      <c r="M12" s="29"/>
      <c r="N12" s="31"/>
      <c r="O12" s="31"/>
      <c r="P12" s="22"/>
    </row>
    <row r="13" spans="1:16" x14ac:dyDescent="0.2">
      <c r="A13" s="22"/>
      <c r="B13" s="27"/>
      <c r="C13" s="28"/>
      <c r="D13" s="28"/>
      <c r="E13" s="114"/>
      <c r="F13" s="114"/>
      <c r="G13" s="28"/>
      <c r="H13" s="106"/>
      <c r="I13" s="106"/>
      <c r="J13" s="106"/>
      <c r="K13" s="114"/>
      <c r="L13" s="114"/>
      <c r="M13" s="29"/>
      <c r="N13" s="31"/>
      <c r="O13" s="31"/>
      <c r="P13" s="22"/>
    </row>
    <row r="14" spans="1:16" ht="17" thickBot="1" x14ac:dyDescent="0.25">
      <c r="A14" s="22"/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5"/>
      <c r="N14" s="31"/>
      <c r="O14" s="31"/>
      <c r="P14" s="22"/>
    </row>
    <row r="15" spans="1:16" x14ac:dyDescent="0.2">
      <c r="A15" s="22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2"/>
    </row>
    <row r="16" spans="1:16" x14ac:dyDescent="0.2">
      <c r="A16" s="22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2"/>
    </row>
    <row r="17" spans="1:16" x14ac:dyDescent="0.2">
      <c r="A17" s="22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2"/>
    </row>
    <row r="18" spans="1:16" x14ac:dyDescent="0.2">
      <c r="A18" s="22"/>
      <c r="B18" s="36"/>
      <c r="C18" s="36"/>
      <c r="D18" s="36"/>
      <c r="E18" s="36"/>
      <c r="F18" s="103" t="s">
        <v>17</v>
      </c>
      <c r="G18" s="103"/>
      <c r="H18" s="103"/>
      <c r="I18" s="103"/>
      <c r="J18" s="103"/>
      <c r="K18" s="36"/>
      <c r="L18" s="36"/>
      <c r="M18" s="36"/>
      <c r="N18" s="36"/>
      <c r="O18" s="36"/>
      <c r="P18" s="22"/>
    </row>
    <row r="19" spans="1:16" x14ac:dyDescent="0.2">
      <c r="A19" s="22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22"/>
    </row>
    <row r="20" spans="1:16" x14ac:dyDescent="0.2">
      <c r="A20" s="22"/>
      <c r="B20" s="36"/>
      <c r="C20" s="103" t="s">
        <v>18</v>
      </c>
      <c r="D20" s="103"/>
      <c r="E20" s="103"/>
      <c r="F20" s="103"/>
      <c r="G20" s="36"/>
      <c r="H20" s="36"/>
      <c r="I20" s="36"/>
      <c r="J20" s="36"/>
      <c r="K20" s="36"/>
      <c r="L20" s="36"/>
      <c r="M20" s="37" t="s">
        <v>19</v>
      </c>
      <c r="N20" s="37"/>
      <c r="O20" s="36"/>
      <c r="P20" s="22"/>
    </row>
    <row r="21" spans="1:16" x14ac:dyDescent="0.2">
      <c r="A21" s="22"/>
      <c r="B21" s="36"/>
      <c r="C21" s="37"/>
      <c r="D21" s="37"/>
      <c r="E21" s="103" t="s">
        <v>20</v>
      </c>
      <c r="F21" s="103"/>
      <c r="G21" s="103"/>
      <c r="H21" s="103"/>
      <c r="I21" s="103"/>
      <c r="J21" s="103"/>
      <c r="K21" s="103"/>
      <c r="L21" s="36"/>
      <c r="M21" s="36"/>
      <c r="N21" s="36"/>
      <c r="O21" s="36"/>
      <c r="P21" s="22"/>
    </row>
    <row r="22" spans="1:16" ht="17" x14ac:dyDescent="0.2">
      <c r="A22" s="22"/>
      <c r="B22" s="36"/>
      <c r="C22" s="38" t="s">
        <v>21</v>
      </c>
      <c r="D22" s="38" t="s">
        <v>22</v>
      </c>
      <c r="E22" s="38">
        <v>0</v>
      </c>
      <c r="F22" s="38">
        <v>1</v>
      </c>
      <c r="G22" s="38">
        <v>2</v>
      </c>
      <c r="H22" s="38">
        <v>3</v>
      </c>
      <c r="I22" s="38">
        <v>4</v>
      </c>
      <c r="J22" s="39">
        <v>5</v>
      </c>
      <c r="K22" s="40"/>
      <c r="L22" s="36"/>
      <c r="M22" s="38" t="s">
        <v>21</v>
      </c>
      <c r="N22" s="41" t="s">
        <v>23</v>
      </c>
      <c r="O22" s="36"/>
      <c r="P22" s="22"/>
    </row>
    <row r="23" spans="1:16" x14ac:dyDescent="0.2">
      <c r="A23" s="22"/>
      <c r="B23" s="36"/>
      <c r="C23" s="38">
        <v>2014</v>
      </c>
      <c r="D23" s="38">
        <v>0</v>
      </c>
      <c r="E23" s="38">
        <f>2^(MOD(K3,2)+MOD(J3,2)+4)*100 +MOD(I3,7)*10 +H3 + MOD(H3,4)*2 +10*G3</f>
        <v>3313</v>
      </c>
      <c r="F23" s="38">
        <f>(MOD(F3,2)+5)*(MOD(H3,5)+4)*10+G3 +7*(K3+1)</f>
        <v>427</v>
      </c>
      <c r="G23" s="38">
        <f>(MOD(J3,2)+3)*(MOD(I3,3)+3)*10+(F3+1)*2</f>
        <v>132</v>
      </c>
      <c r="H23" s="38">
        <f>(MOD(G3,2)+3)*(MOD(I3,3)+2)*10+4*H3</f>
        <v>88</v>
      </c>
      <c r="I23" s="38">
        <f>(MOD(H3,2)+3)*(MOD(J3,3)+2)*5+3*(I3+1)</f>
        <v>61</v>
      </c>
      <c r="J23" s="39">
        <f>(MOD(G3,2)+2)*(MOD(K3,3)+2)*5+I3*4</f>
        <v>64</v>
      </c>
      <c r="K23" s="40"/>
      <c r="L23" s="36"/>
      <c r="M23" s="38">
        <v>2014</v>
      </c>
      <c r="N23" s="42">
        <f>SUM($E$23:$J$23)/0.86</f>
        <v>4750</v>
      </c>
      <c r="O23" s="36"/>
      <c r="P23" s="22"/>
    </row>
    <row r="24" spans="1:16" x14ac:dyDescent="0.2">
      <c r="A24" s="22"/>
      <c r="B24" s="36"/>
      <c r="C24" s="38">
        <v>2015</v>
      </c>
      <c r="D24" s="38">
        <v>1</v>
      </c>
      <c r="E24" s="38">
        <f>2^(MOD(K3,2)+MOD(J3,2)+4)*100 +MOD(I3,7)*10 +H3 + MOD(H3,4)*3 +12*G3</f>
        <v>3324</v>
      </c>
      <c r="F24" s="38">
        <f>(MOD(G3,2)+5)*(MOD(I3,5)+4)*10+H3 +10*(K3+1)</f>
        <v>347</v>
      </c>
      <c r="G24" s="38">
        <f>(MOD(I3,2)+3)*(MOD(H3,3)+3)*10+(F3+1)*3</f>
        <v>138</v>
      </c>
      <c r="H24" s="38">
        <f>(MOD(H3,2)+3)*(MOD(J3,3)+2)*10+4*(H3+2)</f>
        <v>116</v>
      </c>
      <c r="I24" s="38">
        <f>(MOD(I3,2)+3)*(MOD(K3,3)+2)*5+6*(I3+2)</f>
        <v>108</v>
      </c>
      <c r="J24" s="39"/>
      <c r="K24" s="40"/>
      <c r="L24" s="36"/>
      <c r="M24" s="38">
        <f>M23+1</f>
        <v>2015</v>
      </c>
      <c r="N24" s="42">
        <f>SUM($E$23:$J$23)/0.82</f>
        <v>4981.707317073171</v>
      </c>
      <c r="O24" s="36"/>
      <c r="P24" s="22"/>
    </row>
    <row r="25" spans="1:16" x14ac:dyDescent="0.2">
      <c r="A25" s="22"/>
      <c r="B25" s="36"/>
      <c r="C25" s="38">
        <v>2016</v>
      </c>
      <c r="D25" s="38">
        <v>2</v>
      </c>
      <c r="E25" s="38">
        <f>2^(MOD(K3,2)+MOD(J3,2)+4)*100 +MOD(I3,7)*12 +2*H3 + MOD(H3,4)*3 +13*G3</f>
        <v>3347</v>
      </c>
      <c r="F25" s="38">
        <f>(MOD(H3,2)+5)*(MOD(J3,5)+4)*10+I3 +13*(K3+1)</f>
        <v>603</v>
      </c>
      <c r="G25" s="38">
        <f>(MOD(H3,2)+3)*(MOD(G3,3)+3)*10+(F3+1)*4 +J3</f>
        <v>193</v>
      </c>
      <c r="H25" s="38">
        <f>(MOD(I3,2)+3)*(MOD(K3,3)+2)*10+5*(H3+3)</f>
        <v>170</v>
      </c>
      <c r="I25" s="38"/>
      <c r="J25" s="39"/>
      <c r="K25" s="40"/>
      <c r="L25" s="36"/>
      <c r="M25" s="38">
        <f>M24+1</f>
        <v>2016</v>
      </c>
      <c r="N25" s="42">
        <f>SUM($E$23:$J$23)/0.79</f>
        <v>5170.8860759493673</v>
      </c>
      <c r="O25" s="36"/>
      <c r="P25" s="22"/>
    </row>
    <row r="26" spans="1:16" x14ac:dyDescent="0.2">
      <c r="A26" s="22"/>
      <c r="B26" s="36"/>
      <c r="C26" s="38">
        <v>2017</v>
      </c>
      <c r="D26" s="38">
        <v>3</v>
      </c>
      <c r="E26" s="38">
        <f>2^(MOD(K3,2)+MOD(J3,2)+4)*100 +MOD(I3,7)*12 +3*H3 + MOD(H3,4)*3 +13*G3 +10*J3+5*H3</f>
        <v>3479</v>
      </c>
      <c r="F26" s="38">
        <f>(MOD(F3,2)+5)*(MOD(H3,5)+4)*10+I3 +15*(K3+1)</f>
        <v>501</v>
      </c>
      <c r="G26" s="38">
        <f>(MOD(G3,2)+3)*(MOD(F3,3)+3)*10+(F3+1)*5 +2*J3</f>
        <v>198</v>
      </c>
      <c r="H26" s="38"/>
      <c r="I26" s="38"/>
      <c r="J26" s="39"/>
      <c r="K26" s="40"/>
      <c r="L26" s="36"/>
      <c r="M26" s="38">
        <f>M25+1</f>
        <v>2017</v>
      </c>
      <c r="N26" s="42">
        <f>SUM($E$23:$J$23)/0.76</f>
        <v>5375</v>
      </c>
      <c r="O26" s="36"/>
      <c r="P26" s="22"/>
    </row>
    <row r="27" spans="1:16" x14ac:dyDescent="0.2">
      <c r="A27" s="22"/>
      <c r="B27" s="36"/>
      <c r="C27" s="38">
        <v>2018</v>
      </c>
      <c r="D27" s="38">
        <v>4</v>
      </c>
      <c r="E27" s="38">
        <f>2^(MOD(K3,2)+MOD(J3,2)+4)*100 +MOD(I3,7)*12 +3*H3 + MOD(H3,4)*4 +13*G3 +10*J3+(5*H3) +3*I3</f>
        <v>3500</v>
      </c>
      <c r="F27" s="38">
        <f>(MOD(G3,2)+5)*(MOD(I3,5)+4)*10+J3 +16*(K3+1)</f>
        <v>403</v>
      </c>
      <c r="G27" s="38"/>
      <c r="H27" s="38"/>
      <c r="I27" s="38"/>
      <c r="J27" s="39"/>
      <c r="K27" s="40"/>
      <c r="L27" s="36"/>
      <c r="M27" s="38">
        <f>M26+1</f>
        <v>2018</v>
      </c>
      <c r="N27" s="42">
        <f>SUM($E$23:$J$23)/0.72</f>
        <v>5673.6111111111113</v>
      </c>
      <c r="O27" s="36"/>
      <c r="P27" s="22"/>
    </row>
    <row r="28" spans="1:16" x14ac:dyDescent="0.2">
      <c r="A28" s="22"/>
      <c r="B28" s="36"/>
      <c r="C28" s="43">
        <v>2019</v>
      </c>
      <c r="D28" s="43">
        <v>5</v>
      </c>
      <c r="E28" s="43">
        <f>2^(MOD(K3,2)+MOD(J3,2)+4)*100 +MOD(I3,7)*12 +3*H3 + MOD(H3,4)*4 +13*G3 +10*J3+(5*H3) +3*I3 +9*K3</f>
        <v>3572</v>
      </c>
      <c r="F28" s="43"/>
      <c r="G28" s="43"/>
      <c r="H28" s="43"/>
      <c r="I28" s="43"/>
      <c r="J28" s="44"/>
      <c r="K28" s="40"/>
      <c r="L28" s="36"/>
      <c r="M28" s="38">
        <f>M27+1</f>
        <v>2019</v>
      </c>
      <c r="N28" s="45">
        <f>SUM($E$23:$J$23)/0.69</f>
        <v>5920.289855072464</v>
      </c>
      <c r="O28" s="36"/>
      <c r="P28" s="22"/>
    </row>
    <row r="29" spans="1:16" x14ac:dyDescent="0.2">
      <c r="A29" s="22"/>
      <c r="B29" s="36"/>
      <c r="C29" s="46"/>
      <c r="D29" s="46"/>
      <c r="E29" s="47"/>
      <c r="F29" s="47"/>
      <c r="G29" s="47"/>
      <c r="H29" s="47"/>
      <c r="I29" s="47"/>
      <c r="J29" s="47"/>
      <c r="K29" s="37"/>
      <c r="L29" s="36"/>
      <c r="M29" s="46"/>
      <c r="N29" s="48"/>
      <c r="O29" s="36"/>
      <c r="P29" s="22"/>
    </row>
    <row r="30" spans="1:16" x14ac:dyDescent="0.2">
      <c r="A30" s="22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22"/>
    </row>
  </sheetData>
  <mergeCells count="13">
    <mergeCell ref="E21:K21"/>
    <mergeCell ref="G7:J7"/>
    <mergeCell ref="E8:H8"/>
    <mergeCell ref="E11:F11"/>
    <mergeCell ref="K11:L11"/>
    <mergeCell ref="E12:F12"/>
    <mergeCell ref="H12:J12"/>
    <mergeCell ref="K12:L12"/>
    <mergeCell ref="E13:F13"/>
    <mergeCell ref="H13:J13"/>
    <mergeCell ref="K13:L13"/>
    <mergeCell ref="F18:J18"/>
    <mergeCell ref="C20:F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13F8B-32A3-2D41-A295-50547E0C2870}">
  <sheetPr>
    <pageSetUpPr fitToPage="1"/>
  </sheetPr>
  <dimension ref="A1:AL93"/>
  <sheetViews>
    <sheetView zoomScaleNormal="100" workbookViewId="0">
      <selection activeCell="W5" sqref="W5"/>
    </sheetView>
  </sheetViews>
  <sheetFormatPr baseColWidth="10" defaultRowHeight="16" x14ac:dyDescent="0.2"/>
  <cols>
    <col min="1" max="1" width="6.5" customWidth="1"/>
    <col min="2" max="2" width="25" bestFit="1" customWidth="1"/>
    <col min="3" max="3" width="11.1640625" bestFit="1" customWidth="1"/>
    <col min="4" max="6" width="6.33203125" bestFit="1" customWidth="1"/>
    <col min="7" max="10" width="7.5" bestFit="1" customWidth="1"/>
    <col min="11" max="11" width="6.33203125" bestFit="1" customWidth="1"/>
    <col min="12" max="12" width="7.1640625" bestFit="1" customWidth="1"/>
    <col min="13" max="13" width="8.6640625" bestFit="1" customWidth="1"/>
    <col min="14" max="14" width="10.83203125" customWidth="1"/>
    <col min="15" max="15" width="12.33203125" bestFit="1" customWidth="1"/>
    <col min="16" max="16" width="11.1640625" bestFit="1" customWidth="1"/>
    <col min="17" max="17" width="6.5" bestFit="1" customWidth="1"/>
    <col min="18" max="18" width="26.33203125" bestFit="1" customWidth="1"/>
    <col min="19" max="19" width="12.33203125" bestFit="1" customWidth="1"/>
    <col min="20" max="20" width="6.33203125" bestFit="1" customWidth="1"/>
    <col min="21" max="25" width="10.1640625" bestFit="1" customWidth="1"/>
    <col min="26" max="26" width="15.33203125" bestFit="1" customWidth="1"/>
    <col min="27" max="27" width="18" bestFit="1" customWidth="1"/>
    <col min="28" max="28" width="17.83203125" bestFit="1" customWidth="1"/>
    <col min="29" max="29" width="12" bestFit="1" customWidth="1"/>
    <col min="30" max="30" width="10.83203125" customWidth="1"/>
    <col min="31" max="31" width="18.6640625" bestFit="1" customWidth="1"/>
    <col min="32" max="32" width="15.1640625" customWidth="1"/>
    <col min="33" max="33" width="20" customWidth="1"/>
    <col min="34" max="34" width="15.1640625" customWidth="1"/>
  </cols>
  <sheetData>
    <row r="1" spans="1:32" x14ac:dyDescent="0.2">
      <c r="A1" s="51" t="s">
        <v>25</v>
      </c>
      <c r="B1" s="52" t="s">
        <v>0</v>
      </c>
      <c r="C1" s="51"/>
      <c r="R1" s="52" t="s">
        <v>7</v>
      </c>
      <c r="S1" s="51"/>
    </row>
    <row r="2" spans="1:32" x14ac:dyDescent="0.2">
      <c r="B2" s="53" t="s">
        <v>26</v>
      </c>
      <c r="C2" s="99">
        <v>100</v>
      </c>
      <c r="D2" s="55"/>
      <c r="R2" s="53" t="s">
        <v>26</v>
      </c>
      <c r="S2" s="99">
        <v>100</v>
      </c>
      <c r="T2" s="55"/>
    </row>
    <row r="3" spans="1:32" x14ac:dyDescent="0.2">
      <c r="B3" s="53" t="s">
        <v>27</v>
      </c>
      <c r="C3" s="54">
        <v>-0.01</v>
      </c>
      <c r="D3" s="54">
        <v>0.05</v>
      </c>
      <c r="E3" s="54">
        <v>7.0000000000000007E-2</v>
      </c>
      <c r="R3" s="53" t="s">
        <v>27</v>
      </c>
      <c r="S3" s="54">
        <v>0.01</v>
      </c>
      <c r="T3" s="54">
        <v>0.02</v>
      </c>
      <c r="U3" s="54">
        <v>0.03</v>
      </c>
    </row>
    <row r="4" spans="1:32" x14ac:dyDescent="0.2">
      <c r="B4" s="53" t="s">
        <v>28</v>
      </c>
      <c r="C4" s="54">
        <v>0.5</v>
      </c>
      <c r="D4" s="54">
        <v>0.25</v>
      </c>
      <c r="E4" s="54">
        <v>0.25</v>
      </c>
      <c r="R4" s="53" t="s">
        <v>28</v>
      </c>
      <c r="S4" s="54">
        <v>0.2</v>
      </c>
      <c r="T4" s="54">
        <v>0.7</v>
      </c>
      <c r="U4" s="54">
        <v>0.1</v>
      </c>
    </row>
    <row r="5" spans="1:32" x14ac:dyDescent="0.2">
      <c r="B5" s="53" t="s">
        <v>67</v>
      </c>
      <c r="C5" s="99">
        <f>SUMPRODUCT(N12:N92, O12:O92)</f>
        <v>110.38128906249999</v>
      </c>
      <c r="R5" s="53" t="s">
        <v>67</v>
      </c>
      <c r="S5" s="99">
        <f>SUMPRODUCT(AD12:AD14, AE12:AE14)</f>
        <v>107.83741950000001</v>
      </c>
    </row>
    <row r="6" spans="1:32" x14ac:dyDescent="0.2">
      <c r="B6" s="53" t="s">
        <v>29</v>
      </c>
      <c r="C6" s="58">
        <f>SUMPRODUCT(O12:O92, P12:P92)</f>
        <v>12243.281089708325</v>
      </c>
      <c r="R6" s="53" t="s">
        <v>29</v>
      </c>
      <c r="S6" s="58">
        <f>SUMPRODUCT(AE12:AE14, AF12:AF14)</f>
        <v>11634.099159659636</v>
      </c>
    </row>
    <row r="7" spans="1:32" x14ac:dyDescent="0.2">
      <c r="B7" s="53" t="s">
        <v>30</v>
      </c>
      <c r="C7" s="58">
        <f>C6-C5^2</f>
        <v>59.252114609145792</v>
      </c>
      <c r="R7" s="53" t="s">
        <v>30</v>
      </c>
      <c r="S7" s="58">
        <f>S6-S5^2</f>
        <v>5.1901152406535402</v>
      </c>
    </row>
    <row r="9" spans="1:32" x14ac:dyDescent="0.2">
      <c r="C9" s="115" t="s">
        <v>31</v>
      </c>
      <c r="D9" s="116"/>
      <c r="E9" s="116"/>
      <c r="F9" s="117"/>
      <c r="G9" s="115" t="s">
        <v>28</v>
      </c>
      <c r="H9" s="116"/>
      <c r="I9" s="116"/>
      <c r="J9" s="117"/>
      <c r="K9" s="115" t="s">
        <v>32</v>
      </c>
      <c r="L9" s="116"/>
      <c r="M9" s="116"/>
      <c r="N9" s="117"/>
      <c r="S9" s="115" t="s">
        <v>31</v>
      </c>
      <c r="T9" s="116"/>
      <c r="U9" s="116"/>
      <c r="V9" s="117"/>
      <c r="W9" s="115" t="s">
        <v>28</v>
      </c>
      <c r="X9" s="116"/>
      <c r="Y9" s="116"/>
      <c r="Z9" s="117"/>
      <c r="AA9" s="115" t="s">
        <v>32</v>
      </c>
      <c r="AB9" s="116"/>
      <c r="AC9" s="116"/>
      <c r="AD9" s="117"/>
    </row>
    <row r="10" spans="1:32" x14ac:dyDescent="0.2">
      <c r="B10" s="71" t="s">
        <v>68</v>
      </c>
      <c r="C10" s="53" t="s">
        <v>33</v>
      </c>
      <c r="D10" s="56" t="s">
        <v>34</v>
      </c>
      <c r="E10" s="53" t="s">
        <v>35</v>
      </c>
      <c r="F10" s="53" t="s">
        <v>36</v>
      </c>
      <c r="G10" s="53" t="s">
        <v>33</v>
      </c>
      <c r="H10" s="56" t="s">
        <v>34</v>
      </c>
      <c r="I10" s="53" t="s">
        <v>35</v>
      </c>
      <c r="J10" s="53" t="s">
        <v>36</v>
      </c>
      <c r="K10" s="53" t="s">
        <v>33</v>
      </c>
      <c r="L10" s="53" t="s">
        <v>34</v>
      </c>
      <c r="M10" s="56" t="s">
        <v>35</v>
      </c>
      <c r="N10" s="53" t="s">
        <v>36</v>
      </c>
      <c r="R10" s="71" t="s">
        <v>68</v>
      </c>
      <c r="S10" s="53" t="s">
        <v>33</v>
      </c>
      <c r="T10" s="56" t="s">
        <v>34</v>
      </c>
      <c r="U10" s="53" t="s">
        <v>35</v>
      </c>
      <c r="V10" s="53" t="s">
        <v>36</v>
      </c>
      <c r="W10" s="53" t="s">
        <v>33</v>
      </c>
      <c r="X10" s="56" t="s">
        <v>34</v>
      </c>
      <c r="Y10" s="53" t="s">
        <v>35</v>
      </c>
      <c r="Z10" s="53" t="s">
        <v>36</v>
      </c>
      <c r="AA10" s="53" t="s">
        <v>33</v>
      </c>
      <c r="AB10" s="53" t="s">
        <v>34</v>
      </c>
      <c r="AC10" s="56" t="s">
        <v>35</v>
      </c>
      <c r="AD10" s="53" t="s">
        <v>36</v>
      </c>
    </row>
    <row r="11" spans="1:32" x14ac:dyDescent="0.2">
      <c r="B11" s="71" t="s">
        <v>69</v>
      </c>
      <c r="C11" s="57" t="s">
        <v>37</v>
      </c>
      <c r="D11" s="57" t="s">
        <v>38</v>
      </c>
      <c r="E11" s="57" t="s">
        <v>39</v>
      </c>
      <c r="F11" s="57" t="s">
        <v>40</v>
      </c>
      <c r="G11" s="57" t="s">
        <v>41</v>
      </c>
      <c r="H11" s="57" t="s">
        <v>42</v>
      </c>
      <c r="I11" s="57" t="s">
        <v>43</v>
      </c>
      <c r="J11" s="57" t="s">
        <v>44</v>
      </c>
      <c r="K11" s="57" t="s">
        <v>45</v>
      </c>
      <c r="L11" s="57" t="s">
        <v>46</v>
      </c>
      <c r="M11" s="57" t="s">
        <v>47</v>
      </c>
      <c r="N11" s="57" t="s">
        <v>48</v>
      </c>
      <c r="O11" s="53" t="s">
        <v>66</v>
      </c>
      <c r="P11" s="53" t="s">
        <v>65</v>
      </c>
      <c r="R11" s="71" t="s">
        <v>69</v>
      </c>
      <c r="S11" s="57" t="s">
        <v>37</v>
      </c>
      <c r="T11" s="57" t="s">
        <v>38</v>
      </c>
      <c r="U11" s="57" t="s">
        <v>39</v>
      </c>
      <c r="V11" s="57" t="s">
        <v>40</v>
      </c>
      <c r="W11" s="57" t="s">
        <v>41</v>
      </c>
      <c r="X11" s="57" t="s">
        <v>42</v>
      </c>
      <c r="Y11" s="57" t="s">
        <v>43</v>
      </c>
      <c r="Z11" s="57" t="s">
        <v>44</v>
      </c>
      <c r="AA11" s="57" t="s">
        <v>45</v>
      </c>
      <c r="AB11" s="57" t="s">
        <v>46</v>
      </c>
      <c r="AC11" s="57" t="s">
        <v>47</v>
      </c>
      <c r="AD11" s="57" t="s">
        <v>48</v>
      </c>
      <c r="AE11" s="53" t="s">
        <v>66</v>
      </c>
      <c r="AF11" s="53" t="s">
        <v>65</v>
      </c>
    </row>
    <row r="12" spans="1:32" x14ac:dyDescent="0.2">
      <c r="B12" s="87">
        <v>1</v>
      </c>
      <c r="C12" s="54">
        <f>$C$3</f>
        <v>-0.01</v>
      </c>
      <c r="D12" s="54">
        <f>$C$3</f>
        <v>-0.01</v>
      </c>
      <c r="E12" s="54">
        <f>$C$3</f>
        <v>-0.01</v>
      </c>
      <c r="F12" s="54">
        <f>$C$3</f>
        <v>-0.01</v>
      </c>
      <c r="G12" s="54">
        <f>$C$4</f>
        <v>0.5</v>
      </c>
      <c r="H12" s="54">
        <f>$C$4</f>
        <v>0.5</v>
      </c>
      <c r="I12" s="54">
        <f>$C$4</f>
        <v>0.5</v>
      </c>
      <c r="J12" s="54">
        <f>$C$4</f>
        <v>0.5</v>
      </c>
      <c r="K12" s="54">
        <f t="shared" ref="K12:K43" si="0">$C$2*(1+C12)</f>
        <v>99</v>
      </c>
      <c r="L12" s="54">
        <f t="shared" ref="L12:L43" si="1">K12*(1+D12)</f>
        <v>98.01</v>
      </c>
      <c r="M12" s="58">
        <f t="shared" ref="M12:M43" si="2">L12*(1+E12)</f>
        <v>97.029899999999998</v>
      </c>
      <c r="N12" s="58">
        <f t="shared" ref="N12:N43" si="3">M12*(1+F12)</f>
        <v>96.059601000000001</v>
      </c>
      <c r="O12" s="58">
        <f t="shared" ref="O12:O43" si="4">G12*H12*I12*J12</f>
        <v>6.25E-2</v>
      </c>
      <c r="P12" s="58">
        <f t="shared" ref="P12:P43" si="5">N12^2</f>
        <v>9227.4469442792015</v>
      </c>
      <c r="R12" s="87">
        <v>1</v>
      </c>
      <c r="S12" s="54">
        <f>$S$3</f>
        <v>0.01</v>
      </c>
      <c r="T12" s="54">
        <f>$S$3</f>
        <v>0.01</v>
      </c>
      <c r="U12" s="54">
        <f>$S$3</f>
        <v>0.01</v>
      </c>
      <c r="V12" s="54">
        <f>$S$3</f>
        <v>0.01</v>
      </c>
      <c r="W12" s="54">
        <f>$S$4</f>
        <v>0.2</v>
      </c>
      <c r="X12" s="54">
        <v>1</v>
      </c>
      <c r="Y12" s="54">
        <v>1</v>
      </c>
      <c r="Z12">
        <v>1</v>
      </c>
      <c r="AA12" s="54">
        <f>$S$2*(1+S12)</f>
        <v>101</v>
      </c>
      <c r="AB12" s="54">
        <f t="shared" ref="AB12:AD14" si="6">AA12*(1+T12)</f>
        <v>102.01</v>
      </c>
      <c r="AC12" s="58">
        <f t="shared" si="6"/>
        <v>103.0301</v>
      </c>
      <c r="AD12" s="58">
        <f t="shared" si="6"/>
        <v>104.060401</v>
      </c>
      <c r="AE12" s="98">
        <f>W12</f>
        <v>0.2</v>
      </c>
      <c r="AF12" s="58">
        <f>AD12^2</f>
        <v>10828.567056280801</v>
      </c>
    </row>
    <row r="13" spans="1:32" x14ac:dyDescent="0.2">
      <c r="B13" s="87">
        <v>2</v>
      </c>
      <c r="C13" s="54">
        <f t="shared" ref="C13:E14" si="7">$C$3</f>
        <v>-0.01</v>
      </c>
      <c r="D13" s="54">
        <f t="shared" si="7"/>
        <v>-0.01</v>
      </c>
      <c r="E13" s="54">
        <f t="shared" si="7"/>
        <v>-0.01</v>
      </c>
      <c r="F13" s="54">
        <f>$D$3</f>
        <v>0.05</v>
      </c>
      <c r="G13" s="54">
        <f t="shared" ref="G13:I14" si="8">$C$4</f>
        <v>0.5</v>
      </c>
      <c r="H13" s="54">
        <f t="shared" si="8"/>
        <v>0.5</v>
      </c>
      <c r="I13" s="54">
        <f t="shared" si="8"/>
        <v>0.5</v>
      </c>
      <c r="J13" s="54">
        <f>$D$4</f>
        <v>0.25</v>
      </c>
      <c r="K13" s="54">
        <f t="shared" si="0"/>
        <v>99</v>
      </c>
      <c r="L13" s="54">
        <f t="shared" si="1"/>
        <v>98.01</v>
      </c>
      <c r="M13" s="58">
        <f t="shared" si="2"/>
        <v>97.029899999999998</v>
      </c>
      <c r="N13" s="58">
        <f t="shared" si="3"/>
        <v>101.881395</v>
      </c>
      <c r="O13" s="58">
        <f t="shared" si="4"/>
        <v>3.125E-2</v>
      </c>
      <c r="P13" s="58">
        <f t="shared" si="5"/>
        <v>10379.818647146025</v>
      </c>
      <c r="R13" s="87">
        <v>2</v>
      </c>
      <c r="S13" s="54">
        <f>$T$3</f>
        <v>0.02</v>
      </c>
      <c r="T13" s="54">
        <f>$T$3</f>
        <v>0.02</v>
      </c>
      <c r="U13" s="54">
        <f>$T$3</f>
        <v>0.02</v>
      </c>
      <c r="V13" s="54">
        <f>$T$3</f>
        <v>0.02</v>
      </c>
      <c r="W13" s="54">
        <f>$T$4</f>
        <v>0.7</v>
      </c>
      <c r="X13" s="54">
        <v>1</v>
      </c>
      <c r="Y13" s="54">
        <v>1</v>
      </c>
      <c r="Z13" s="54">
        <v>1</v>
      </c>
      <c r="AA13" s="54">
        <f>$S$2*(1+S13)</f>
        <v>102</v>
      </c>
      <c r="AB13" s="54">
        <f t="shared" si="6"/>
        <v>104.04</v>
      </c>
      <c r="AC13" s="58">
        <f t="shared" si="6"/>
        <v>106.1208</v>
      </c>
      <c r="AD13" s="58">
        <f t="shared" si="6"/>
        <v>108.243216</v>
      </c>
      <c r="AE13" s="98">
        <f>W13</f>
        <v>0.7</v>
      </c>
      <c r="AF13" s="58">
        <f>AD13^2</f>
        <v>11716.593810022658</v>
      </c>
    </row>
    <row r="14" spans="1:32" x14ac:dyDescent="0.2">
      <c r="B14" s="87">
        <v>3</v>
      </c>
      <c r="C14" s="54">
        <f t="shared" si="7"/>
        <v>-0.01</v>
      </c>
      <c r="D14" s="54">
        <f t="shared" si="7"/>
        <v>-0.01</v>
      </c>
      <c r="E14" s="54">
        <f t="shared" si="7"/>
        <v>-0.01</v>
      </c>
      <c r="F14" s="54">
        <f>$E$3</f>
        <v>7.0000000000000007E-2</v>
      </c>
      <c r="G14" s="54">
        <f t="shared" si="8"/>
        <v>0.5</v>
      </c>
      <c r="H14" s="54">
        <f t="shared" si="8"/>
        <v>0.5</v>
      </c>
      <c r="I14" s="54">
        <f t="shared" si="8"/>
        <v>0.5</v>
      </c>
      <c r="J14" s="54">
        <f>$E$4</f>
        <v>0.25</v>
      </c>
      <c r="K14" s="54">
        <f t="shared" si="0"/>
        <v>99</v>
      </c>
      <c r="L14" s="54">
        <f t="shared" si="1"/>
        <v>98.01</v>
      </c>
      <c r="M14" s="58">
        <f t="shared" si="2"/>
        <v>97.029899999999998</v>
      </c>
      <c r="N14" s="58">
        <f t="shared" si="3"/>
        <v>103.82199300000001</v>
      </c>
      <c r="O14" s="58">
        <f t="shared" si="4"/>
        <v>3.125E-2</v>
      </c>
      <c r="P14" s="58">
        <f t="shared" si="5"/>
        <v>10779.00623049205</v>
      </c>
      <c r="R14" s="87">
        <v>3</v>
      </c>
      <c r="S14" s="54">
        <f>$U$3</f>
        <v>0.03</v>
      </c>
      <c r="T14" s="54">
        <f>$U$3</f>
        <v>0.03</v>
      </c>
      <c r="U14" s="54">
        <f>$U$3</f>
        <v>0.03</v>
      </c>
      <c r="V14" s="54">
        <f>$U$3</f>
        <v>0.03</v>
      </c>
      <c r="W14" s="54">
        <f>$U$4</f>
        <v>0.1</v>
      </c>
      <c r="X14" s="54">
        <v>1</v>
      </c>
      <c r="Y14" s="54">
        <v>1</v>
      </c>
      <c r="Z14" s="54">
        <v>1</v>
      </c>
      <c r="AA14" s="54">
        <f>$S$2*(1+S14)</f>
        <v>103</v>
      </c>
      <c r="AB14" s="54">
        <f t="shared" si="6"/>
        <v>106.09</v>
      </c>
      <c r="AC14" s="58">
        <f t="shared" si="6"/>
        <v>109.2727</v>
      </c>
      <c r="AD14" s="58">
        <f t="shared" si="6"/>
        <v>112.550881</v>
      </c>
      <c r="AE14" s="98">
        <f>W14</f>
        <v>0.1</v>
      </c>
      <c r="AF14" s="58">
        <f>AD14^2</f>
        <v>12667.700813876161</v>
      </c>
    </row>
    <row r="15" spans="1:32" x14ac:dyDescent="0.2">
      <c r="B15" s="87">
        <v>4</v>
      </c>
      <c r="C15" s="54">
        <f t="shared" ref="C15:D20" si="9">$C$3</f>
        <v>-0.01</v>
      </c>
      <c r="D15" s="54">
        <f t="shared" si="9"/>
        <v>-0.01</v>
      </c>
      <c r="E15" s="54">
        <f>$D$3</f>
        <v>0.05</v>
      </c>
      <c r="F15" s="54">
        <f>$C$3</f>
        <v>-0.01</v>
      </c>
      <c r="G15" s="54">
        <f t="shared" ref="G15:H20" si="10">$C$4</f>
        <v>0.5</v>
      </c>
      <c r="H15" s="54">
        <f t="shared" si="10"/>
        <v>0.5</v>
      </c>
      <c r="I15" s="54">
        <f>$D$4</f>
        <v>0.25</v>
      </c>
      <c r="J15" s="54">
        <f>$C$4</f>
        <v>0.5</v>
      </c>
      <c r="K15" s="54">
        <f t="shared" si="0"/>
        <v>99</v>
      </c>
      <c r="L15" s="54">
        <f t="shared" si="1"/>
        <v>98.01</v>
      </c>
      <c r="M15" s="58">
        <f t="shared" si="2"/>
        <v>102.91050000000001</v>
      </c>
      <c r="N15" s="58">
        <f t="shared" si="3"/>
        <v>101.88139500000001</v>
      </c>
      <c r="O15" s="58">
        <f t="shared" si="4"/>
        <v>3.125E-2</v>
      </c>
      <c r="P15" s="58">
        <f t="shared" si="5"/>
        <v>10379.818647146027</v>
      </c>
      <c r="AD15" s="53" t="s">
        <v>49</v>
      </c>
      <c r="AE15" s="54">
        <f>SUM(AE12:AE14)</f>
        <v>0.99999999999999989</v>
      </c>
    </row>
    <row r="16" spans="1:32" x14ac:dyDescent="0.2">
      <c r="B16" s="87">
        <v>5</v>
      </c>
      <c r="C16" s="54">
        <f t="shared" si="9"/>
        <v>-0.01</v>
      </c>
      <c r="D16" s="54">
        <f t="shared" si="9"/>
        <v>-0.01</v>
      </c>
      <c r="E16" s="54">
        <f>$D$3</f>
        <v>0.05</v>
      </c>
      <c r="F16" s="54">
        <f>$D$3</f>
        <v>0.05</v>
      </c>
      <c r="G16" s="54">
        <f t="shared" si="10"/>
        <v>0.5</v>
      </c>
      <c r="H16" s="54">
        <f t="shared" si="10"/>
        <v>0.5</v>
      </c>
      <c r="I16" s="54">
        <f>$D$4</f>
        <v>0.25</v>
      </c>
      <c r="J16" s="54">
        <f>$D$4</f>
        <v>0.25</v>
      </c>
      <c r="K16" s="54">
        <f t="shared" si="0"/>
        <v>99</v>
      </c>
      <c r="L16" s="54">
        <f t="shared" si="1"/>
        <v>98.01</v>
      </c>
      <c r="M16" s="58">
        <f t="shared" si="2"/>
        <v>102.91050000000001</v>
      </c>
      <c r="N16" s="58">
        <f t="shared" si="3"/>
        <v>108.05602500000002</v>
      </c>
      <c r="O16" s="58">
        <f t="shared" si="4"/>
        <v>1.5625E-2</v>
      </c>
      <c r="P16" s="58">
        <f t="shared" si="5"/>
        <v>11676.10453880063</v>
      </c>
      <c r="Q16" s="51" t="s">
        <v>50</v>
      </c>
      <c r="R16" s="52" t="s">
        <v>51</v>
      </c>
      <c r="S16" s="61"/>
      <c r="T16" s="118" t="s">
        <v>64</v>
      </c>
      <c r="U16" s="118"/>
      <c r="V16" s="118"/>
      <c r="W16" s="118"/>
      <c r="X16" s="118"/>
      <c r="Y16" s="118"/>
      <c r="Z16" s="62"/>
      <c r="AA16" s="51"/>
      <c r="AB16" s="51"/>
      <c r="AC16" s="51"/>
      <c r="AD16" s="51"/>
      <c r="AE16" s="51"/>
      <c r="AF16" s="51"/>
    </row>
    <row r="17" spans="2:38" x14ac:dyDescent="0.2">
      <c r="B17" s="87">
        <v>6</v>
      </c>
      <c r="C17" s="54">
        <f t="shared" si="9"/>
        <v>-0.01</v>
      </c>
      <c r="D17" s="54">
        <f t="shared" si="9"/>
        <v>-0.01</v>
      </c>
      <c r="E17" s="54">
        <f>$D$3</f>
        <v>0.05</v>
      </c>
      <c r="F17" s="54">
        <f>$E$3</f>
        <v>7.0000000000000007E-2</v>
      </c>
      <c r="G17" s="54">
        <f t="shared" si="10"/>
        <v>0.5</v>
      </c>
      <c r="H17" s="54">
        <f t="shared" si="10"/>
        <v>0.5</v>
      </c>
      <c r="I17" s="54">
        <f>$D$4</f>
        <v>0.25</v>
      </c>
      <c r="J17" s="54">
        <f>$E$4</f>
        <v>0.25</v>
      </c>
      <c r="K17" s="54">
        <f t="shared" si="0"/>
        <v>99</v>
      </c>
      <c r="L17" s="54">
        <f t="shared" si="1"/>
        <v>98.01</v>
      </c>
      <c r="M17" s="58">
        <f t="shared" si="2"/>
        <v>102.91050000000001</v>
      </c>
      <c r="N17" s="58">
        <f t="shared" si="3"/>
        <v>110.11423500000002</v>
      </c>
      <c r="O17" s="58">
        <f t="shared" si="4"/>
        <v>1.5625E-2</v>
      </c>
      <c r="P17" s="58">
        <f t="shared" si="5"/>
        <v>12125.14474963523</v>
      </c>
      <c r="R17" s="63" t="s">
        <v>52</v>
      </c>
      <c r="S17" s="63" t="s">
        <v>61</v>
      </c>
      <c r="T17" s="64">
        <v>0</v>
      </c>
      <c r="U17" s="64">
        <v>1</v>
      </c>
      <c r="V17" s="64">
        <v>2</v>
      </c>
      <c r="W17" s="64">
        <v>3</v>
      </c>
      <c r="X17" s="64">
        <v>4</v>
      </c>
      <c r="Y17" s="64">
        <v>5</v>
      </c>
      <c r="Z17" s="65"/>
      <c r="AA17" s="66"/>
      <c r="AB17" s="67"/>
      <c r="AC17" s="67"/>
      <c r="AD17" s="67"/>
      <c r="AG17" s="51"/>
      <c r="AH17" s="51"/>
    </row>
    <row r="18" spans="2:38" x14ac:dyDescent="0.2">
      <c r="B18" s="87">
        <v>7</v>
      </c>
      <c r="C18" s="54">
        <f t="shared" si="9"/>
        <v>-0.01</v>
      </c>
      <c r="D18" s="54">
        <f t="shared" si="9"/>
        <v>-0.01</v>
      </c>
      <c r="E18" s="54">
        <f>$E$3</f>
        <v>7.0000000000000007E-2</v>
      </c>
      <c r="F18" s="54">
        <f>$C$3</f>
        <v>-0.01</v>
      </c>
      <c r="G18" s="54">
        <f t="shared" si="10"/>
        <v>0.5</v>
      </c>
      <c r="H18" s="54">
        <f t="shared" si="10"/>
        <v>0.5</v>
      </c>
      <c r="I18" s="54">
        <f>$E$4</f>
        <v>0.25</v>
      </c>
      <c r="J18" s="54">
        <f>$C$4</f>
        <v>0.5</v>
      </c>
      <c r="K18" s="54">
        <f t="shared" si="0"/>
        <v>99</v>
      </c>
      <c r="L18" s="54">
        <f t="shared" si="1"/>
        <v>98.01</v>
      </c>
      <c r="M18" s="58">
        <f t="shared" si="2"/>
        <v>104.87070000000001</v>
      </c>
      <c r="N18" s="58">
        <f t="shared" si="3"/>
        <v>103.82199300000001</v>
      </c>
      <c r="O18" s="58">
        <f t="shared" si="4"/>
        <v>3.125E-2</v>
      </c>
      <c r="P18" s="58">
        <f t="shared" si="5"/>
        <v>10779.00623049205</v>
      </c>
      <c r="R18" s="63">
        <v>2014</v>
      </c>
      <c r="S18" s="63">
        <v>0</v>
      </c>
      <c r="T18" s="68">
        <v>3313</v>
      </c>
      <c r="U18" s="68">
        <v>427</v>
      </c>
      <c r="V18" s="68">
        <v>132</v>
      </c>
      <c r="W18" s="68">
        <v>88</v>
      </c>
      <c r="X18" s="68">
        <v>61</v>
      </c>
      <c r="Y18" s="68">
        <v>64</v>
      </c>
      <c r="Z18" s="65"/>
      <c r="AA18" s="65"/>
      <c r="AB18" s="65"/>
      <c r="AC18" s="65"/>
      <c r="AD18" s="65"/>
      <c r="AE18" s="65"/>
    </row>
    <row r="19" spans="2:38" x14ac:dyDescent="0.2">
      <c r="B19" s="87">
        <v>8</v>
      </c>
      <c r="C19" s="54">
        <f t="shared" si="9"/>
        <v>-0.01</v>
      </c>
      <c r="D19" s="54">
        <f t="shared" si="9"/>
        <v>-0.01</v>
      </c>
      <c r="E19" s="54">
        <f>$E$3</f>
        <v>7.0000000000000007E-2</v>
      </c>
      <c r="F19" s="54">
        <f>$D$3</f>
        <v>0.05</v>
      </c>
      <c r="G19" s="54">
        <f t="shared" si="10"/>
        <v>0.5</v>
      </c>
      <c r="H19" s="54">
        <f t="shared" si="10"/>
        <v>0.5</v>
      </c>
      <c r="I19" s="54">
        <f>$E$4</f>
        <v>0.25</v>
      </c>
      <c r="J19" s="54">
        <f>$D$4</f>
        <v>0.25</v>
      </c>
      <c r="K19" s="54">
        <f t="shared" si="0"/>
        <v>99</v>
      </c>
      <c r="L19" s="54">
        <f t="shared" si="1"/>
        <v>98.01</v>
      </c>
      <c r="M19" s="58">
        <f t="shared" si="2"/>
        <v>104.87070000000001</v>
      </c>
      <c r="N19" s="58">
        <f t="shared" si="3"/>
        <v>110.11423500000002</v>
      </c>
      <c r="O19" s="58">
        <f t="shared" si="4"/>
        <v>1.5625E-2</v>
      </c>
      <c r="P19" s="58">
        <f t="shared" si="5"/>
        <v>12125.14474963523</v>
      </c>
      <c r="R19" s="63">
        <v>2015</v>
      </c>
      <c r="S19" s="63">
        <v>1</v>
      </c>
      <c r="T19" s="68">
        <v>3324</v>
      </c>
      <c r="U19" s="68">
        <v>347</v>
      </c>
      <c r="V19" s="68">
        <v>138</v>
      </c>
      <c r="W19" s="68">
        <v>116</v>
      </c>
      <c r="X19" s="68">
        <v>108</v>
      </c>
      <c r="Y19" s="68"/>
      <c r="Z19" s="65"/>
      <c r="AA19" s="65"/>
      <c r="AB19" s="65"/>
      <c r="AC19" s="65"/>
      <c r="AD19" s="65"/>
      <c r="AE19" s="65"/>
    </row>
    <row r="20" spans="2:38" x14ac:dyDescent="0.2">
      <c r="B20" s="87">
        <v>9</v>
      </c>
      <c r="C20" s="54">
        <f t="shared" si="9"/>
        <v>-0.01</v>
      </c>
      <c r="D20" s="54">
        <f t="shared" si="9"/>
        <v>-0.01</v>
      </c>
      <c r="E20" s="54">
        <f>$E$3</f>
        <v>7.0000000000000007E-2</v>
      </c>
      <c r="F20" s="54">
        <f>$E$3</f>
        <v>7.0000000000000007E-2</v>
      </c>
      <c r="G20" s="54">
        <f t="shared" si="10"/>
        <v>0.5</v>
      </c>
      <c r="H20" s="54">
        <f t="shared" si="10"/>
        <v>0.5</v>
      </c>
      <c r="I20" s="54">
        <f>$E$4</f>
        <v>0.25</v>
      </c>
      <c r="J20" s="54">
        <f>$E$4</f>
        <v>0.25</v>
      </c>
      <c r="K20" s="54">
        <f t="shared" si="0"/>
        <v>99</v>
      </c>
      <c r="L20" s="54">
        <f t="shared" si="1"/>
        <v>98.01</v>
      </c>
      <c r="M20" s="58">
        <f t="shared" si="2"/>
        <v>104.87070000000001</v>
      </c>
      <c r="N20" s="58">
        <f t="shared" si="3"/>
        <v>112.21164900000002</v>
      </c>
      <c r="O20" s="58">
        <f t="shared" si="4"/>
        <v>1.5625E-2</v>
      </c>
      <c r="P20" s="58">
        <f t="shared" si="5"/>
        <v>12591.454171299207</v>
      </c>
      <c r="R20" s="63">
        <v>2016</v>
      </c>
      <c r="S20" s="63">
        <v>2</v>
      </c>
      <c r="T20" s="68">
        <v>3347</v>
      </c>
      <c r="U20" s="68">
        <v>603</v>
      </c>
      <c r="V20" s="68">
        <v>193</v>
      </c>
      <c r="W20" s="68">
        <v>170</v>
      </c>
      <c r="X20" s="68"/>
      <c r="Y20" s="68"/>
      <c r="Z20" s="65"/>
      <c r="AA20" s="65"/>
      <c r="AB20" s="65"/>
      <c r="AC20" s="65"/>
      <c r="AD20" s="65"/>
      <c r="AE20" s="65"/>
    </row>
    <row r="21" spans="2:38" x14ac:dyDescent="0.2">
      <c r="B21" s="87">
        <v>10</v>
      </c>
      <c r="C21" s="54">
        <f t="shared" ref="C21:C38" si="11">$C$3</f>
        <v>-0.01</v>
      </c>
      <c r="D21" s="54">
        <f t="shared" ref="D21:D29" si="12">$D$3</f>
        <v>0.05</v>
      </c>
      <c r="E21" s="54">
        <f>$C$3</f>
        <v>-0.01</v>
      </c>
      <c r="F21" s="54">
        <f>$C$3</f>
        <v>-0.01</v>
      </c>
      <c r="G21" s="54">
        <f t="shared" ref="G21:G38" si="13">$C$4</f>
        <v>0.5</v>
      </c>
      <c r="H21" s="54">
        <f t="shared" ref="H21:H29" si="14">$D$4</f>
        <v>0.25</v>
      </c>
      <c r="I21" s="54">
        <f>$C$4</f>
        <v>0.5</v>
      </c>
      <c r="J21" s="54">
        <f>$C$4</f>
        <v>0.5</v>
      </c>
      <c r="K21" s="54">
        <f t="shared" si="0"/>
        <v>99</v>
      </c>
      <c r="L21" s="54">
        <f t="shared" si="1"/>
        <v>103.95</v>
      </c>
      <c r="M21" s="58">
        <f t="shared" si="2"/>
        <v>102.9105</v>
      </c>
      <c r="N21" s="58">
        <f t="shared" si="3"/>
        <v>101.881395</v>
      </c>
      <c r="O21" s="58">
        <f t="shared" si="4"/>
        <v>3.125E-2</v>
      </c>
      <c r="P21" s="58">
        <f t="shared" si="5"/>
        <v>10379.818647146025</v>
      </c>
      <c r="R21" s="63">
        <v>2017</v>
      </c>
      <c r="S21" s="63">
        <v>3</v>
      </c>
      <c r="T21" s="68">
        <v>3479</v>
      </c>
      <c r="U21" s="68">
        <v>501</v>
      </c>
      <c r="V21" s="68">
        <v>198</v>
      </c>
      <c r="W21" s="68"/>
      <c r="X21" s="68"/>
      <c r="Y21" s="68"/>
      <c r="Z21" s="65"/>
      <c r="AA21" s="65"/>
      <c r="AB21" s="65"/>
      <c r="AC21" s="65"/>
      <c r="AD21" s="65"/>
      <c r="AE21" s="65"/>
    </row>
    <row r="22" spans="2:38" x14ac:dyDescent="0.2">
      <c r="B22" s="87">
        <v>11</v>
      </c>
      <c r="C22" s="54">
        <f t="shared" si="11"/>
        <v>-0.01</v>
      </c>
      <c r="D22" s="54">
        <f t="shared" si="12"/>
        <v>0.05</v>
      </c>
      <c r="E22" s="54">
        <f>$C$3</f>
        <v>-0.01</v>
      </c>
      <c r="F22" s="54">
        <f>$D$3</f>
        <v>0.05</v>
      </c>
      <c r="G22" s="54">
        <f t="shared" si="13"/>
        <v>0.5</v>
      </c>
      <c r="H22" s="54">
        <f t="shared" si="14"/>
        <v>0.25</v>
      </c>
      <c r="I22" s="54">
        <f>$C$4</f>
        <v>0.5</v>
      </c>
      <c r="J22" s="54">
        <f>$D$4</f>
        <v>0.25</v>
      </c>
      <c r="K22" s="54">
        <f t="shared" si="0"/>
        <v>99</v>
      </c>
      <c r="L22" s="54">
        <f t="shared" si="1"/>
        <v>103.95</v>
      </c>
      <c r="M22" s="58">
        <f t="shared" si="2"/>
        <v>102.9105</v>
      </c>
      <c r="N22" s="58">
        <f t="shared" si="3"/>
        <v>108.05602500000001</v>
      </c>
      <c r="O22" s="58">
        <f t="shared" si="4"/>
        <v>1.5625E-2</v>
      </c>
      <c r="P22" s="58">
        <f t="shared" si="5"/>
        <v>11676.104538800626</v>
      </c>
      <c r="R22" s="63">
        <v>2018</v>
      </c>
      <c r="S22" s="63">
        <v>4</v>
      </c>
      <c r="T22" s="68">
        <v>3500</v>
      </c>
      <c r="U22" s="68">
        <v>403</v>
      </c>
      <c r="V22" s="68"/>
      <c r="W22" s="68"/>
      <c r="X22" s="68"/>
      <c r="Y22" s="68"/>
      <c r="Z22" s="65"/>
      <c r="AA22" s="65"/>
      <c r="AB22" s="65"/>
      <c r="AC22" s="65"/>
      <c r="AD22" s="65"/>
      <c r="AE22" s="65"/>
      <c r="AF22" s="69"/>
    </row>
    <row r="23" spans="2:38" x14ac:dyDescent="0.2">
      <c r="B23" s="87">
        <v>12</v>
      </c>
      <c r="C23" s="54">
        <f t="shared" si="11"/>
        <v>-0.01</v>
      </c>
      <c r="D23" s="54">
        <f t="shared" si="12"/>
        <v>0.05</v>
      </c>
      <c r="E23" s="54">
        <f>$C$3</f>
        <v>-0.01</v>
      </c>
      <c r="F23" s="54">
        <f>$E$3</f>
        <v>7.0000000000000007E-2</v>
      </c>
      <c r="G23" s="54">
        <f t="shared" si="13"/>
        <v>0.5</v>
      </c>
      <c r="H23" s="54">
        <f t="shared" si="14"/>
        <v>0.25</v>
      </c>
      <c r="I23" s="54">
        <f>$C$4</f>
        <v>0.5</v>
      </c>
      <c r="J23" s="54">
        <f>$E$4</f>
        <v>0.25</v>
      </c>
      <c r="K23" s="54">
        <f t="shared" si="0"/>
        <v>99</v>
      </c>
      <c r="L23" s="54">
        <f t="shared" si="1"/>
        <v>103.95</v>
      </c>
      <c r="M23" s="58">
        <f t="shared" si="2"/>
        <v>102.9105</v>
      </c>
      <c r="N23" s="58">
        <f t="shared" si="3"/>
        <v>110.11423500000001</v>
      </c>
      <c r="O23" s="58">
        <f t="shared" si="4"/>
        <v>1.5625E-2</v>
      </c>
      <c r="P23" s="58">
        <f t="shared" si="5"/>
        <v>12125.144749635227</v>
      </c>
      <c r="R23" s="63">
        <v>2019</v>
      </c>
      <c r="S23" s="63">
        <v>5</v>
      </c>
      <c r="T23" s="68">
        <v>3572</v>
      </c>
      <c r="U23" s="68"/>
      <c r="V23" s="68"/>
      <c r="W23" s="68"/>
      <c r="X23" s="68"/>
      <c r="Y23" s="68"/>
      <c r="Z23" s="70"/>
      <c r="AA23" s="65"/>
      <c r="AB23" s="65"/>
      <c r="AC23" s="65"/>
      <c r="AD23" s="65"/>
      <c r="AE23" s="65"/>
      <c r="AF23" s="69"/>
      <c r="AG23" s="69"/>
      <c r="AH23" s="69"/>
    </row>
    <row r="24" spans="2:38" x14ac:dyDescent="0.2">
      <c r="B24" s="87">
        <v>13</v>
      </c>
      <c r="C24" s="54">
        <f t="shared" si="11"/>
        <v>-0.01</v>
      </c>
      <c r="D24" s="54">
        <f t="shared" si="12"/>
        <v>0.05</v>
      </c>
      <c r="E24" s="54">
        <f>$D$3</f>
        <v>0.05</v>
      </c>
      <c r="F24" s="54">
        <f>$C$3</f>
        <v>-0.01</v>
      </c>
      <c r="G24" s="54">
        <f t="shared" si="13"/>
        <v>0.5</v>
      </c>
      <c r="H24" s="54">
        <f t="shared" si="14"/>
        <v>0.25</v>
      </c>
      <c r="I24" s="54">
        <f>$D$4</f>
        <v>0.25</v>
      </c>
      <c r="J24" s="54">
        <f>$C$4</f>
        <v>0.5</v>
      </c>
      <c r="K24" s="54">
        <f t="shared" si="0"/>
        <v>99</v>
      </c>
      <c r="L24" s="54">
        <f t="shared" si="1"/>
        <v>103.95</v>
      </c>
      <c r="M24" s="58">
        <f t="shared" si="2"/>
        <v>109.14750000000001</v>
      </c>
      <c r="N24" s="58">
        <f t="shared" si="3"/>
        <v>108.05602500000001</v>
      </c>
      <c r="O24" s="58">
        <f t="shared" si="4"/>
        <v>1.5625E-2</v>
      </c>
      <c r="P24" s="58">
        <f t="shared" si="5"/>
        <v>11676.104538800626</v>
      </c>
      <c r="R24" s="51"/>
      <c r="S24" s="51"/>
      <c r="T24" s="74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2"/>
      <c r="AG24" s="69"/>
      <c r="AH24" s="69"/>
      <c r="AI24" s="69"/>
      <c r="AJ24" s="69"/>
    </row>
    <row r="25" spans="2:38" x14ac:dyDescent="0.2">
      <c r="B25" s="87">
        <v>14</v>
      </c>
      <c r="C25" s="54">
        <f t="shared" si="11"/>
        <v>-0.01</v>
      </c>
      <c r="D25" s="54">
        <f t="shared" si="12"/>
        <v>0.05</v>
      </c>
      <c r="E25" s="54">
        <f>$D$3</f>
        <v>0.05</v>
      </c>
      <c r="F25" s="54">
        <f>$D$3</f>
        <v>0.05</v>
      </c>
      <c r="G25" s="54">
        <f t="shared" si="13"/>
        <v>0.5</v>
      </c>
      <c r="H25" s="54">
        <f t="shared" si="14"/>
        <v>0.25</v>
      </c>
      <c r="I25" s="54">
        <f>$D$4</f>
        <v>0.25</v>
      </c>
      <c r="J25" s="54">
        <f>$D$4</f>
        <v>0.25</v>
      </c>
      <c r="K25" s="54">
        <f t="shared" si="0"/>
        <v>99</v>
      </c>
      <c r="L25" s="54">
        <f t="shared" si="1"/>
        <v>103.95</v>
      </c>
      <c r="M25" s="58">
        <f t="shared" si="2"/>
        <v>109.14750000000001</v>
      </c>
      <c r="N25" s="58">
        <f t="shared" si="3"/>
        <v>114.60487500000001</v>
      </c>
      <c r="O25" s="58">
        <f t="shared" si="4"/>
        <v>7.8125E-3</v>
      </c>
      <c r="P25" s="58">
        <f t="shared" si="5"/>
        <v>13134.277373765626</v>
      </c>
      <c r="R25" s="51"/>
      <c r="S25" s="59"/>
      <c r="T25" s="118" t="s">
        <v>62</v>
      </c>
      <c r="U25" s="118"/>
      <c r="V25" s="118"/>
      <c r="W25" s="118"/>
      <c r="X25" s="118"/>
      <c r="Y25" s="118"/>
      <c r="Z25" s="60"/>
      <c r="AG25" s="62"/>
      <c r="AH25" s="62"/>
      <c r="AI25" s="62"/>
      <c r="AJ25" s="62"/>
    </row>
    <row r="26" spans="2:38" x14ac:dyDescent="0.2">
      <c r="B26" s="87">
        <v>15</v>
      </c>
      <c r="C26" s="54">
        <f t="shared" si="11"/>
        <v>-0.01</v>
      </c>
      <c r="D26" s="54">
        <f t="shared" si="12"/>
        <v>0.05</v>
      </c>
      <c r="E26" s="54">
        <f>$D$3</f>
        <v>0.05</v>
      </c>
      <c r="F26" s="54">
        <f>$E$3</f>
        <v>7.0000000000000007E-2</v>
      </c>
      <c r="G26" s="54">
        <f t="shared" si="13"/>
        <v>0.5</v>
      </c>
      <c r="H26" s="54">
        <f t="shared" si="14"/>
        <v>0.25</v>
      </c>
      <c r="I26" s="54">
        <f>$D$4</f>
        <v>0.25</v>
      </c>
      <c r="J26" s="54">
        <f>$E$4</f>
        <v>0.25</v>
      </c>
      <c r="K26" s="54">
        <f t="shared" si="0"/>
        <v>99</v>
      </c>
      <c r="L26" s="54">
        <f t="shared" si="1"/>
        <v>103.95</v>
      </c>
      <c r="M26" s="58">
        <f t="shared" si="2"/>
        <v>109.14750000000001</v>
      </c>
      <c r="N26" s="58">
        <f t="shared" si="3"/>
        <v>116.78782500000001</v>
      </c>
      <c r="O26" s="58">
        <f t="shared" si="4"/>
        <v>7.8125E-3</v>
      </c>
      <c r="P26" s="58">
        <f t="shared" si="5"/>
        <v>13639.396068230628</v>
      </c>
      <c r="R26" s="63" t="s">
        <v>52</v>
      </c>
      <c r="S26" s="63" t="s">
        <v>61</v>
      </c>
      <c r="T26" s="64">
        <v>0</v>
      </c>
      <c r="U26" s="64">
        <v>1</v>
      </c>
      <c r="V26" s="64">
        <v>2</v>
      </c>
      <c r="W26" s="64">
        <v>3</v>
      </c>
      <c r="X26" s="64">
        <v>4</v>
      </c>
      <c r="Y26" s="75">
        <v>5</v>
      </c>
      <c r="Z26" s="63" t="s">
        <v>55</v>
      </c>
      <c r="AA26" s="53" t="s">
        <v>71</v>
      </c>
      <c r="AB26" s="53" t="s">
        <v>70</v>
      </c>
      <c r="AC26" s="53" t="s">
        <v>72</v>
      </c>
      <c r="AD26" s="53" t="s">
        <v>56</v>
      </c>
      <c r="AE26" s="53" t="s">
        <v>57</v>
      </c>
      <c r="AF26" s="53" t="s">
        <v>58</v>
      </c>
      <c r="AG26" s="65"/>
      <c r="AH26" s="65"/>
      <c r="AI26" s="65"/>
      <c r="AJ26" s="65"/>
    </row>
    <row r="27" spans="2:38" x14ac:dyDescent="0.2">
      <c r="B27" s="87">
        <v>16</v>
      </c>
      <c r="C27" s="54">
        <f t="shared" si="11"/>
        <v>-0.01</v>
      </c>
      <c r="D27" s="54">
        <f t="shared" si="12"/>
        <v>0.05</v>
      </c>
      <c r="E27" s="54">
        <f>$E$3</f>
        <v>7.0000000000000007E-2</v>
      </c>
      <c r="F27" s="54">
        <f>$C$3</f>
        <v>-0.01</v>
      </c>
      <c r="G27" s="54">
        <f t="shared" si="13"/>
        <v>0.5</v>
      </c>
      <c r="H27" s="54">
        <f t="shared" si="14"/>
        <v>0.25</v>
      </c>
      <c r="I27" s="54">
        <f>$E$4</f>
        <v>0.25</v>
      </c>
      <c r="J27" s="54">
        <f>$C$4</f>
        <v>0.5</v>
      </c>
      <c r="K27" s="54">
        <f t="shared" si="0"/>
        <v>99</v>
      </c>
      <c r="L27" s="54">
        <f t="shared" si="1"/>
        <v>103.95</v>
      </c>
      <c r="M27" s="58">
        <f t="shared" si="2"/>
        <v>111.22650000000002</v>
      </c>
      <c r="N27" s="58">
        <f t="shared" si="3"/>
        <v>110.11423500000001</v>
      </c>
      <c r="O27" s="58">
        <f t="shared" si="4"/>
        <v>1.5625E-2</v>
      </c>
      <c r="P27" s="58">
        <f t="shared" si="5"/>
        <v>12125.144749635227</v>
      </c>
      <c r="R27" s="63">
        <v>2014</v>
      </c>
      <c r="S27" s="63">
        <v>0</v>
      </c>
      <c r="T27" s="68">
        <v>3313</v>
      </c>
      <c r="U27" s="68">
        <v>3740</v>
      </c>
      <c r="V27" s="68">
        <v>3872</v>
      </c>
      <c r="W27" s="68">
        <v>3960</v>
      </c>
      <c r="X27" s="68">
        <v>4021</v>
      </c>
      <c r="Y27" s="68">
        <v>4085</v>
      </c>
      <c r="Z27" s="68">
        <f>Y27</f>
        <v>4085</v>
      </c>
      <c r="AA27" s="97">
        <v>4750</v>
      </c>
      <c r="AB27" s="76">
        <f>Z33</f>
        <v>1</v>
      </c>
      <c r="AC27" s="76">
        <f>AA27*AA34</f>
        <v>4085</v>
      </c>
      <c r="AD27" s="76">
        <f t="shared" ref="AD27:AD32" si="15">1-(1/AB27)</f>
        <v>0</v>
      </c>
      <c r="AE27" s="76">
        <f t="shared" ref="AE27:AE32" si="16">AC27*AD27</f>
        <v>0</v>
      </c>
      <c r="AF27" s="95">
        <f>AE27+Y27</f>
        <v>4085</v>
      </c>
      <c r="AG27" s="65"/>
      <c r="AH27" s="65"/>
      <c r="AI27" s="65"/>
      <c r="AJ27" s="65"/>
    </row>
    <row r="28" spans="2:38" x14ac:dyDescent="0.2">
      <c r="B28" s="87">
        <v>17</v>
      </c>
      <c r="C28" s="54">
        <f t="shared" si="11"/>
        <v>-0.01</v>
      </c>
      <c r="D28" s="54">
        <f t="shared" si="12"/>
        <v>0.05</v>
      </c>
      <c r="E28" s="54">
        <f>$E$3</f>
        <v>7.0000000000000007E-2</v>
      </c>
      <c r="F28" s="54">
        <f>$D$3</f>
        <v>0.05</v>
      </c>
      <c r="G28" s="54">
        <f t="shared" si="13"/>
        <v>0.5</v>
      </c>
      <c r="H28" s="54">
        <f t="shared" si="14"/>
        <v>0.25</v>
      </c>
      <c r="I28" s="54">
        <f>$E$4</f>
        <v>0.25</v>
      </c>
      <c r="J28" s="54">
        <f>$D$4</f>
        <v>0.25</v>
      </c>
      <c r="K28" s="54">
        <f t="shared" si="0"/>
        <v>99</v>
      </c>
      <c r="L28" s="54">
        <f t="shared" si="1"/>
        <v>103.95</v>
      </c>
      <c r="M28" s="58">
        <f t="shared" si="2"/>
        <v>111.22650000000002</v>
      </c>
      <c r="N28" s="58">
        <f t="shared" si="3"/>
        <v>116.78782500000003</v>
      </c>
      <c r="O28" s="58">
        <f t="shared" si="4"/>
        <v>7.8125E-3</v>
      </c>
      <c r="P28" s="58">
        <f t="shared" si="5"/>
        <v>13639.396068230631</v>
      </c>
      <c r="R28" s="63">
        <v>2015</v>
      </c>
      <c r="S28" s="63">
        <v>1</v>
      </c>
      <c r="T28" s="68">
        <v>3324</v>
      </c>
      <c r="U28" s="68">
        <v>3671</v>
      </c>
      <c r="V28" s="68">
        <v>3809</v>
      </c>
      <c r="W28" s="68">
        <v>3925</v>
      </c>
      <c r="X28" s="68">
        <v>4033</v>
      </c>
      <c r="Y28" s="68"/>
      <c r="Z28" s="68"/>
      <c r="AA28" s="96">
        <v>4981.71</v>
      </c>
      <c r="AB28" s="58">
        <f>Z33*Y33</f>
        <v>1.0159164386968416</v>
      </c>
      <c r="AC28" s="58">
        <f>AA28*AA34</f>
        <v>4284.2705999999998</v>
      </c>
      <c r="AD28" s="58">
        <f t="shared" si="15"/>
        <v>1.5667074663402669E-2</v>
      </c>
      <c r="AE28" s="58">
        <f t="shared" si="16"/>
        <v>67.121987368420946</v>
      </c>
      <c r="AF28" s="95">
        <f>AE28+X28</f>
        <v>4100.1219873684213</v>
      </c>
      <c r="AG28" s="65"/>
      <c r="AH28" s="65"/>
      <c r="AI28" s="65"/>
      <c r="AJ28" s="65"/>
    </row>
    <row r="29" spans="2:38" x14ac:dyDescent="0.2">
      <c r="B29" s="87">
        <v>18</v>
      </c>
      <c r="C29" s="54">
        <f t="shared" si="11"/>
        <v>-0.01</v>
      </c>
      <c r="D29" s="54">
        <f t="shared" si="12"/>
        <v>0.05</v>
      </c>
      <c r="E29" s="54">
        <f>$E$3</f>
        <v>7.0000000000000007E-2</v>
      </c>
      <c r="F29" s="54">
        <f>$E$3</f>
        <v>7.0000000000000007E-2</v>
      </c>
      <c r="G29" s="54">
        <f t="shared" si="13"/>
        <v>0.5</v>
      </c>
      <c r="H29" s="54">
        <f t="shared" si="14"/>
        <v>0.25</v>
      </c>
      <c r="I29" s="54">
        <f>$E$4</f>
        <v>0.25</v>
      </c>
      <c r="J29" s="54">
        <f>$E$4</f>
        <v>0.25</v>
      </c>
      <c r="K29" s="54">
        <f t="shared" si="0"/>
        <v>99</v>
      </c>
      <c r="L29" s="54">
        <f t="shared" si="1"/>
        <v>103.95</v>
      </c>
      <c r="M29" s="58">
        <f t="shared" si="2"/>
        <v>111.22650000000002</v>
      </c>
      <c r="N29" s="58">
        <f t="shared" si="3"/>
        <v>119.01235500000003</v>
      </c>
      <c r="O29" s="58">
        <f t="shared" si="4"/>
        <v>7.8125E-3</v>
      </c>
      <c r="P29" s="58">
        <f t="shared" si="5"/>
        <v>14163.940642646032</v>
      </c>
      <c r="R29" s="63">
        <v>2016</v>
      </c>
      <c r="S29" s="63">
        <v>2</v>
      </c>
      <c r="T29" s="68">
        <v>3347</v>
      </c>
      <c r="U29" s="68">
        <v>3950</v>
      </c>
      <c r="V29" s="68">
        <v>4143</v>
      </c>
      <c r="W29" s="68">
        <v>4313</v>
      </c>
      <c r="X29" s="68"/>
      <c r="Y29" s="68"/>
      <c r="Z29" s="68"/>
      <c r="AA29" s="96">
        <v>5170.8900000000003</v>
      </c>
      <c r="AB29" s="58">
        <f>Z33*Y33*X33</f>
        <v>1.0376906781565456</v>
      </c>
      <c r="AC29" s="58">
        <f>AA29*AA34</f>
        <v>4446.9654</v>
      </c>
      <c r="AD29" s="58">
        <f t="shared" si="15"/>
        <v>3.6321689063934737E-2</v>
      </c>
      <c r="AE29" s="58">
        <f t="shared" si="16"/>
        <v>161.52129453687616</v>
      </c>
      <c r="AF29" s="95">
        <f>AE29+W29</f>
        <v>4474.5212945368758</v>
      </c>
      <c r="AG29" s="65"/>
      <c r="AH29" s="65"/>
      <c r="AI29" s="65"/>
      <c r="AJ29" s="65"/>
    </row>
    <row r="30" spans="2:38" x14ac:dyDescent="0.2">
      <c r="B30" s="87">
        <v>19</v>
      </c>
      <c r="C30" s="54">
        <f t="shared" si="11"/>
        <v>-0.01</v>
      </c>
      <c r="D30" s="54">
        <f t="shared" ref="D30:D38" si="17">$E$3</f>
        <v>7.0000000000000007E-2</v>
      </c>
      <c r="E30" s="54">
        <f>$C$3</f>
        <v>-0.01</v>
      </c>
      <c r="F30" s="54">
        <f>$C$3</f>
        <v>-0.01</v>
      </c>
      <c r="G30" s="54">
        <f t="shared" si="13"/>
        <v>0.5</v>
      </c>
      <c r="H30" s="54">
        <f t="shared" ref="H30:H38" si="18">$E$4</f>
        <v>0.25</v>
      </c>
      <c r="I30" s="54">
        <f>$C$4</f>
        <v>0.5</v>
      </c>
      <c r="J30" s="54">
        <f>$C$4</f>
        <v>0.5</v>
      </c>
      <c r="K30" s="54">
        <f t="shared" si="0"/>
        <v>99</v>
      </c>
      <c r="L30" s="54">
        <f t="shared" si="1"/>
        <v>105.93</v>
      </c>
      <c r="M30" s="58">
        <f t="shared" si="2"/>
        <v>104.8707</v>
      </c>
      <c r="N30" s="58">
        <f t="shared" si="3"/>
        <v>103.82199299999999</v>
      </c>
      <c r="O30" s="58">
        <f t="shared" si="4"/>
        <v>3.125E-2</v>
      </c>
      <c r="P30" s="58">
        <f t="shared" si="5"/>
        <v>10779.006230492047</v>
      </c>
      <c r="R30" s="63">
        <v>2017</v>
      </c>
      <c r="S30" s="63">
        <v>3</v>
      </c>
      <c r="T30" s="68">
        <v>3479</v>
      </c>
      <c r="U30" s="68">
        <v>3980</v>
      </c>
      <c r="V30" s="68">
        <v>4178</v>
      </c>
      <c r="W30" s="68"/>
      <c r="X30" s="68"/>
      <c r="Y30" s="68"/>
      <c r="Z30" s="68"/>
      <c r="AA30" s="96">
        <v>5375</v>
      </c>
      <c r="AB30" s="58">
        <f>Z33*Y33*X33*W33</f>
        <v>1.0705134381050019</v>
      </c>
      <c r="AC30" s="58">
        <f>AA30*AA34</f>
        <v>4622.5</v>
      </c>
      <c r="AD30" s="58">
        <f t="shared" si="15"/>
        <v>6.5868802384978165E-2</v>
      </c>
      <c r="AE30" s="58">
        <f t="shared" si="16"/>
        <v>304.47853902456154</v>
      </c>
      <c r="AF30" s="95">
        <f>AE30+V30</f>
        <v>4482.4785390245615</v>
      </c>
      <c r="AG30" s="65"/>
      <c r="AH30" s="65"/>
      <c r="AI30" s="65"/>
      <c r="AJ30" s="65"/>
    </row>
    <row r="31" spans="2:38" x14ac:dyDescent="0.2">
      <c r="B31" s="87">
        <v>20</v>
      </c>
      <c r="C31" s="54">
        <f t="shared" si="11"/>
        <v>-0.01</v>
      </c>
      <c r="D31" s="54">
        <f t="shared" si="17"/>
        <v>7.0000000000000007E-2</v>
      </c>
      <c r="E31" s="54">
        <f>$C$3</f>
        <v>-0.01</v>
      </c>
      <c r="F31" s="54">
        <f>$D$3</f>
        <v>0.05</v>
      </c>
      <c r="G31" s="54">
        <f t="shared" si="13"/>
        <v>0.5</v>
      </c>
      <c r="H31" s="54">
        <f t="shared" si="18"/>
        <v>0.25</v>
      </c>
      <c r="I31" s="54">
        <f>$C$4</f>
        <v>0.5</v>
      </c>
      <c r="J31" s="54">
        <f>$D$4</f>
        <v>0.25</v>
      </c>
      <c r="K31" s="54">
        <f t="shared" si="0"/>
        <v>99</v>
      </c>
      <c r="L31" s="54">
        <f t="shared" si="1"/>
        <v>105.93</v>
      </c>
      <c r="M31" s="58">
        <f t="shared" si="2"/>
        <v>104.8707</v>
      </c>
      <c r="N31" s="58">
        <f t="shared" si="3"/>
        <v>110.11423500000001</v>
      </c>
      <c r="O31" s="58">
        <f t="shared" si="4"/>
        <v>1.5625E-2</v>
      </c>
      <c r="P31" s="58">
        <f t="shared" si="5"/>
        <v>12125.144749635227</v>
      </c>
      <c r="R31" s="63">
        <v>2018</v>
      </c>
      <c r="S31" s="63">
        <v>4</v>
      </c>
      <c r="T31" s="68">
        <v>3500</v>
      </c>
      <c r="U31" s="68">
        <v>3903</v>
      </c>
      <c r="V31" s="68"/>
      <c r="W31" s="68"/>
      <c r="X31" s="68"/>
      <c r="Y31" s="68"/>
      <c r="Z31" s="68"/>
      <c r="AA31" s="96">
        <v>5673.61</v>
      </c>
      <c r="AB31" s="58">
        <f>Z33*Y33*X33*W33*V33</f>
        <v>1.116638813412179</v>
      </c>
      <c r="AC31" s="58">
        <f>AA31*AA34</f>
        <v>4879.3045999999995</v>
      </c>
      <c r="AD31" s="58">
        <f t="shared" si="15"/>
        <v>0.10445527417747447</v>
      </c>
      <c r="AE31" s="58">
        <f t="shared" si="16"/>
        <v>509.66909978841232</v>
      </c>
      <c r="AF31" s="95">
        <f>AE31+U31</f>
        <v>4412.6690997884125</v>
      </c>
      <c r="AG31" s="69"/>
      <c r="AH31" s="69"/>
      <c r="AI31" s="69"/>
      <c r="AJ31" s="69"/>
      <c r="AK31" s="60"/>
    </row>
    <row r="32" spans="2:38" x14ac:dyDescent="0.2">
      <c r="B32" s="87">
        <v>21</v>
      </c>
      <c r="C32" s="54">
        <f t="shared" si="11"/>
        <v>-0.01</v>
      </c>
      <c r="D32" s="54">
        <f t="shared" si="17"/>
        <v>7.0000000000000007E-2</v>
      </c>
      <c r="E32" s="54">
        <f>$C$3</f>
        <v>-0.01</v>
      </c>
      <c r="F32" s="54">
        <f>$E$3</f>
        <v>7.0000000000000007E-2</v>
      </c>
      <c r="G32" s="54">
        <f t="shared" si="13"/>
        <v>0.5</v>
      </c>
      <c r="H32" s="54">
        <f t="shared" si="18"/>
        <v>0.25</v>
      </c>
      <c r="I32" s="54">
        <f>$C$4</f>
        <v>0.5</v>
      </c>
      <c r="J32" s="54">
        <f>$E$4</f>
        <v>0.25</v>
      </c>
      <c r="K32" s="54">
        <f t="shared" si="0"/>
        <v>99</v>
      </c>
      <c r="L32" s="54">
        <f t="shared" si="1"/>
        <v>105.93</v>
      </c>
      <c r="M32" s="58">
        <f t="shared" si="2"/>
        <v>104.8707</v>
      </c>
      <c r="N32" s="58">
        <f t="shared" si="3"/>
        <v>112.21164900000001</v>
      </c>
      <c r="O32" s="58">
        <f t="shared" si="4"/>
        <v>1.5625E-2</v>
      </c>
      <c r="P32" s="58">
        <f t="shared" si="5"/>
        <v>12591.454171299203</v>
      </c>
      <c r="R32" s="63">
        <v>2019</v>
      </c>
      <c r="S32" s="63">
        <v>5</v>
      </c>
      <c r="T32" s="68">
        <v>3572</v>
      </c>
      <c r="U32" s="68"/>
      <c r="V32" s="68"/>
      <c r="W32" s="68"/>
      <c r="X32" s="68"/>
      <c r="Y32" s="68"/>
      <c r="Z32" s="68"/>
      <c r="AA32" s="94">
        <v>5920.29</v>
      </c>
      <c r="AB32" s="78">
        <f>Z33*Y33*X33*W33*V33*U33</f>
        <v>1.2667922729059702</v>
      </c>
      <c r="AC32" s="79">
        <f>AA32*AA34</f>
        <v>5091.4493999999995</v>
      </c>
      <c r="AD32" s="58">
        <f t="shared" si="15"/>
        <v>0.21060459446437851</v>
      </c>
      <c r="AE32" s="58">
        <f t="shared" si="16"/>
        <v>1072.2826361229031</v>
      </c>
      <c r="AF32" s="93">
        <f>AE32+T32</f>
        <v>4644.2826361229036</v>
      </c>
      <c r="AG32" s="77"/>
      <c r="AH32" s="77"/>
      <c r="AI32" s="77"/>
      <c r="AJ32" s="77"/>
      <c r="AK32" s="62"/>
      <c r="AL32" s="51"/>
    </row>
    <row r="33" spans="2:38" x14ac:dyDescent="0.2">
      <c r="B33" s="87">
        <v>22</v>
      </c>
      <c r="C33" s="54">
        <f t="shared" si="11"/>
        <v>-0.01</v>
      </c>
      <c r="D33" s="54">
        <f t="shared" si="17"/>
        <v>7.0000000000000007E-2</v>
      </c>
      <c r="E33" s="54">
        <f>$D$3</f>
        <v>0.05</v>
      </c>
      <c r="F33" s="54">
        <f>$C$3</f>
        <v>-0.01</v>
      </c>
      <c r="G33" s="54">
        <f t="shared" si="13"/>
        <v>0.5</v>
      </c>
      <c r="H33" s="54">
        <f t="shared" si="18"/>
        <v>0.25</v>
      </c>
      <c r="I33" s="54">
        <f>$D$4</f>
        <v>0.25</v>
      </c>
      <c r="J33" s="54">
        <f>$C$4</f>
        <v>0.5</v>
      </c>
      <c r="K33" s="54">
        <f t="shared" si="0"/>
        <v>99</v>
      </c>
      <c r="L33" s="54">
        <f t="shared" si="1"/>
        <v>105.93</v>
      </c>
      <c r="M33" s="58">
        <f t="shared" si="2"/>
        <v>111.22650000000002</v>
      </c>
      <c r="N33" s="58">
        <f t="shared" si="3"/>
        <v>110.11423500000001</v>
      </c>
      <c r="O33" s="58">
        <f t="shared" si="4"/>
        <v>1.5625E-2</v>
      </c>
      <c r="P33" s="58">
        <f t="shared" si="5"/>
        <v>12125.144749635227</v>
      </c>
      <c r="R33" s="119" t="s">
        <v>53</v>
      </c>
      <c r="S33" s="119"/>
      <c r="T33" s="72" t="s">
        <v>54</v>
      </c>
      <c r="U33" s="58">
        <f>SUM(U27:U31)/SUM(T27:T31)</f>
        <v>1.1344691387136709</v>
      </c>
      <c r="V33" s="58">
        <f>SUM(V27:V30)/SUM(U27:U30)</f>
        <v>1.0430871520761358</v>
      </c>
      <c r="W33" s="58">
        <f>SUM(W27:W29)/SUM(V27:V29)</f>
        <v>1.0316305818673883</v>
      </c>
      <c r="X33" s="58">
        <f>SUM(X27:X28)/SUM(W27:W28)</f>
        <v>1.02143310082435</v>
      </c>
      <c r="Y33" s="58">
        <f>Y27/X27</f>
        <v>1.0159164386968416</v>
      </c>
      <c r="Z33" s="76">
        <f>Z27/Y27</f>
        <v>1</v>
      </c>
      <c r="AA33" s="72" t="s">
        <v>54</v>
      </c>
      <c r="AD33" s="63" t="s">
        <v>59</v>
      </c>
      <c r="AE33" s="93">
        <f>SUM(AE27:AE32)</f>
        <v>2115.0735568411737</v>
      </c>
      <c r="AF33" s="69"/>
      <c r="AG33" s="65"/>
      <c r="AH33" s="65"/>
      <c r="AI33" s="65"/>
      <c r="AJ33" s="65"/>
      <c r="AK33" s="65"/>
      <c r="AL33" s="66"/>
    </row>
    <row r="34" spans="2:38" x14ac:dyDescent="0.2">
      <c r="B34" s="87">
        <v>23</v>
      </c>
      <c r="C34" s="54">
        <f t="shared" si="11"/>
        <v>-0.01</v>
      </c>
      <c r="D34" s="54">
        <f t="shared" si="17"/>
        <v>7.0000000000000007E-2</v>
      </c>
      <c r="E34" s="54">
        <f>$D$3</f>
        <v>0.05</v>
      </c>
      <c r="F34" s="54">
        <f>$D$3</f>
        <v>0.05</v>
      </c>
      <c r="G34" s="54">
        <f t="shared" si="13"/>
        <v>0.5</v>
      </c>
      <c r="H34" s="54">
        <f t="shared" si="18"/>
        <v>0.25</v>
      </c>
      <c r="I34" s="54">
        <f>$D$4</f>
        <v>0.25</v>
      </c>
      <c r="J34" s="54">
        <f>$D$4</f>
        <v>0.25</v>
      </c>
      <c r="K34" s="54">
        <f t="shared" si="0"/>
        <v>99</v>
      </c>
      <c r="L34" s="54">
        <f t="shared" si="1"/>
        <v>105.93</v>
      </c>
      <c r="M34" s="58">
        <f t="shared" si="2"/>
        <v>111.22650000000002</v>
      </c>
      <c r="N34" s="58">
        <f t="shared" si="3"/>
        <v>116.78782500000003</v>
      </c>
      <c r="O34" s="58">
        <f t="shared" si="4"/>
        <v>7.8125E-3</v>
      </c>
      <c r="P34" s="58">
        <f t="shared" si="5"/>
        <v>13639.396068230631</v>
      </c>
      <c r="R34" s="119" t="s">
        <v>63</v>
      </c>
      <c r="S34" s="119"/>
      <c r="T34" s="73" t="s">
        <v>54</v>
      </c>
      <c r="U34" s="73" t="s">
        <v>54</v>
      </c>
      <c r="V34" s="73" t="s">
        <v>54</v>
      </c>
      <c r="W34" s="73" t="s">
        <v>54</v>
      </c>
      <c r="X34" s="73" t="s">
        <v>54</v>
      </c>
      <c r="Y34" s="92" t="s">
        <v>54</v>
      </c>
      <c r="Z34" s="72" t="s">
        <v>54</v>
      </c>
      <c r="AA34" s="102">
        <f>Z27/AA27</f>
        <v>0.86</v>
      </c>
      <c r="AC34" s="62"/>
      <c r="AD34" s="62"/>
      <c r="AE34" s="62"/>
      <c r="AF34" s="62"/>
      <c r="AG34" s="65"/>
      <c r="AH34" s="65"/>
      <c r="AI34" s="65"/>
      <c r="AJ34" s="65"/>
      <c r="AK34" s="65"/>
      <c r="AL34" s="66"/>
    </row>
    <row r="35" spans="2:38" x14ac:dyDescent="0.2">
      <c r="B35" s="87">
        <v>24</v>
      </c>
      <c r="C35" s="54">
        <f t="shared" si="11"/>
        <v>-0.01</v>
      </c>
      <c r="D35" s="54">
        <f t="shared" si="17"/>
        <v>7.0000000000000007E-2</v>
      </c>
      <c r="E35" s="54">
        <f>$D$3</f>
        <v>0.05</v>
      </c>
      <c r="F35" s="54">
        <f>$E$3</f>
        <v>7.0000000000000007E-2</v>
      </c>
      <c r="G35" s="54">
        <f t="shared" si="13"/>
        <v>0.5</v>
      </c>
      <c r="H35" s="54">
        <f t="shared" si="18"/>
        <v>0.25</v>
      </c>
      <c r="I35" s="54">
        <f>$D$4</f>
        <v>0.25</v>
      </c>
      <c r="J35" s="54">
        <f>$E$4</f>
        <v>0.25</v>
      </c>
      <c r="K35" s="54">
        <f t="shared" si="0"/>
        <v>99</v>
      </c>
      <c r="L35" s="54">
        <f t="shared" si="1"/>
        <v>105.93</v>
      </c>
      <c r="M35" s="58">
        <f t="shared" si="2"/>
        <v>111.22650000000002</v>
      </c>
      <c r="N35" s="58">
        <f t="shared" si="3"/>
        <v>119.01235500000003</v>
      </c>
      <c r="O35" s="58">
        <f t="shared" si="4"/>
        <v>7.8125E-3</v>
      </c>
      <c r="P35" s="58">
        <f t="shared" si="5"/>
        <v>14163.940642646032</v>
      </c>
      <c r="AG35" s="51"/>
      <c r="AH35" s="51"/>
      <c r="AI35" s="65"/>
      <c r="AJ35" s="65"/>
      <c r="AK35" s="65"/>
      <c r="AL35" s="66"/>
    </row>
    <row r="36" spans="2:38" x14ac:dyDescent="0.2">
      <c r="B36" s="87">
        <v>25</v>
      </c>
      <c r="C36" s="54">
        <f t="shared" si="11"/>
        <v>-0.01</v>
      </c>
      <c r="D36" s="54">
        <f t="shared" si="17"/>
        <v>7.0000000000000007E-2</v>
      </c>
      <c r="E36" s="54">
        <f>$E$3</f>
        <v>7.0000000000000007E-2</v>
      </c>
      <c r="F36" s="54">
        <f>$C$3</f>
        <v>-0.01</v>
      </c>
      <c r="G36" s="54">
        <f t="shared" si="13"/>
        <v>0.5</v>
      </c>
      <c r="H36" s="54">
        <f t="shared" si="18"/>
        <v>0.25</v>
      </c>
      <c r="I36" s="54">
        <f>$E$4</f>
        <v>0.25</v>
      </c>
      <c r="J36" s="54">
        <f>$C$4</f>
        <v>0.5</v>
      </c>
      <c r="K36" s="54">
        <f t="shared" si="0"/>
        <v>99</v>
      </c>
      <c r="L36" s="54">
        <f t="shared" si="1"/>
        <v>105.93</v>
      </c>
      <c r="M36" s="58">
        <f t="shared" si="2"/>
        <v>113.34510000000002</v>
      </c>
      <c r="N36" s="58">
        <f t="shared" si="3"/>
        <v>112.21164900000001</v>
      </c>
      <c r="O36" s="58">
        <f t="shared" si="4"/>
        <v>1.5625E-2</v>
      </c>
      <c r="P36" s="58">
        <f t="shared" si="5"/>
        <v>12591.454171299203</v>
      </c>
      <c r="R36" s="52" t="s">
        <v>60</v>
      </c>
      <c r="S36" s="61"/>
      <c r="T36" s="118" t="s">
        <v>62</v>
      </c>
      <c r="U36" s="118"/>
      <c r="V36" s="118"/>
      <c r="W36" s="118"/>
      <c r="X36" s="118"/>
      <c r="Y36" s="118"/>
      <c r="Z36" s="69"/>
      <c r="AA36" s="69"/>
      <c r="AB36" s="69"/>
      <c r="AC36" s="60"/>
      <c r="AI36" s="69"/>
      <c r="AJ36" s="65"/>
      <c r="AK36" s="65"/>
      <c r="AL36" s="66"/>
    </row>
    <row r="37" spans="2:38" x14ac:dyDescent="0.2">
      <c r="B37" s="87">
        <v>26</v>
      </c>
      <c r="C37" s="54">
        <f t="shared" si="11"/>
        <v>-0.01</v>
      </c>
      <c r="D37" s="54">
        <f t="shared" si="17"/>
        <v>7.0000000000000007E-2</v>
      </c>
      <c r="E37" s="54">
        <f>$E$3</f>
        <v>7.0000000000000007E-2</v>
      </c>
      <c r="F37" s="54">
        <f>$D$3</f>
        <v>0.05</v>
      </c>
      <c r="G37" s="54">
        <f t="shared" si="13"/>
        <v>0.5</v>
      </c>
      <c r="H37" s="54">
        <f t="shared" si="18"/>
        <v>0.25</v>
      </c>
      <c r="I37" s="54">
        <f>$E$4</f>
        <v>0.25</v>
      </c>
      <c r="J37" s="54">
        <f>$D$4</f>
        <v>0.25</v>
      </c>
      <c r="K37" s="54">
        <f t="shared" si="0"/>
        <v>99</v>
      </c>
      <c r="L37" s="54">
        <f t="shared" si="1"/>
        <v>105.93</v>
      </c>
      <c r="M37" s="58">
        <f t="shared" si="2"/>
        <v>113.34510000000002</v>
      </c>
      <c r="N37" s="58">
        <f t="shared" si="3"/>
        <v>119.01235500000003</v>
      </c>
      <c r="O37" s="58">
        <f t="shared" si="4"/>
        <v>7.8125E-3</v>
      </c>
      <c r="P37" s="58">
        <f t="shared" si="5"/>
        <v>14163.940642646032</v>
      </c>
      <c r="R37" s="63" t="s">
        <v>52</v>
      </c>
      <c r="S37" s="63" t="s">
        <v>61</v>
      </c>
      <c r="T37" s="64">
        <v>0</v>
      </c>
      <c r="U37" s="64">
        <v>1</v>
      </c>
      <c r="V37" s="64">
        <v>2</v>
      </c>
      <c r="W37" s="64">
        <v>3</v>
      </c>
      <c r="X37" s="64">
        <v>4</v>
      </c>
      <c r="Y37" s="64">
        <v>5</v>
      </c>
      <c r="Z37" s="77"/>
      <c r="AA37" s="77"/>
      <c r="AB37" s="77"/>
      <c r="AC37" s="62"/>
      <c r="AD37" s="51"/>
      <c r="AE37" s="51"/>
      <c r="AF37" s="51"/>
      <c r="AI37" s="77"/>
      <c r="AJ37" s="65"/>
      <c r="AK37" s="65"/>
      <c r="AL37" s="66"/>
    </row>
    <row r="38" spans="2:38" x14ac:dyDescent="0.2">
      <c r="B38" s="87">
        <v>27</v>
      </c>
      <c r="C38" s="54">
        <f t="shared" si="11"/>
        <v>-0.01</v>
      </c>
      <c r="D38" s="54">
        <f t="shared" si="17"/>
        <v>7.0000000000000007E-2</v>
      </c>
      <c r="E38" s="54">
        <f>$E$3</f>
        <v>7.0000000000000007E-2</v>
      </c>
      <c r="F38" s="54">
        <f>$E$3</f>
        <v>7.0000000000000007E-2</v>
      </c>
      <c r="G38" s="54">
        <f t="shared" si="13"/>
        <v>0.5</v>
      </c>
      <c r="H38" s="54">
        <f t="shared" si="18"/>
        <v>0.25</v>
      </c>
      <c r="I38" s="54">
        <f>$E$4</f>
        <v>0.25</v>
      </c>
      <c r="J38" s="54">
        <f>$E$4</f>
        <v>0.25</v>
      </c>
      <c r="K38" s="54">
        <f t="shared" si="0"/>
        <v>99</v>
      </c>
      <c r="L38" s="54">
        <f t="shared" si="1"/>
        <v>105.93</v>
      </c>
      <c r="M38" s="58">
        <f t="shared" si="2"/>
        <v>113.34510000000002</v>
      </c>
      <c r="N38" s="58">
        <f t="shared" si="3"/>
        <v>121.27925700000003</v>
      </c>
      <c r="O38" s="58">
        <f t="shared" si="4"/>
        <v>7.8125E-3</v>
      </c>
      <c r="P38" s="58">
        <f t="shared" si="5"/>
        <v>14708.658178472057</v>
      </c>
      <c r="R38" s="63">
        <v>2014</v>
      </c>
      <c r="S38" s="63">
        <v>0</v>
      </c>
      <c r="T38" s="68">
        <v>3313</v>
      </c>
      <c r="U38" s="68">
        <v>3740</v>
      </c>
      <c r="V38" s="68">
        <v>3872</v>
      </c>
      <c r="W38" s="68">
        <v>3960</v>
      </c>
      <c r="X38" s="68">
        <v>4021</v>
      </c>
      <c r="Y38" s="68">
        <v>4085</v>
      </c>
      <c r="Z38" s="65"/>
      <c r="AA38" s="65"/>
      <c r="AB38" s="65"/>
      <c r="AC38" s="65"/>
      <c r="AD38" s="66"/>
      <c r="AE38" s="67"/>
      <c r="AF38" s="67"/>
      <c r="AI38" s="65"/>
      <c r="AJ38" s="65"/>
      <c r="AK38" s="65"/>
      <c r="AL38" s="66"/>
    </row>
    <row r="39" spans="2:38" x14ac:dyDescent="0.2">
      <c r="B39" s="87">
        <v>28</v>
      </c>
      <c r="C39" s="54">
        <f t="shared" ref="C39:C65" si="19">$D$3</f>
        <v>0.05</v>
      </c>
      <c r="D39" s="54">
        <f>$C$3</f>
        <v>-0.01</v>
      </c>
      <c r="E39" s="54">
        <f>$C$3</f>
        <v>-0.01</v>
      </c>
      <c r="F39" s="54">
        <f>$C$3</f>
        <v>-0.01</v>
      </c>
      <c r="G39" s="54">
        <f t="shared" ref="G39:G65" si="20">$D$4</f>
        <v>0.25</v>
      </c>
      <c r="H39" s="54">
        <f>$C$4</f>
        <v>0.5</v>
      </c>
      <c r="I39" s="54">
        <f>$C$4</f>
        <v>0.5</v>
      </c>
      <c r="J39" s="54">
        <f>$C$4</f>
        <v>0.5</v>
      </c>
      <c r="K39" s="54">
        <f t="shared" si="0"/>
        <v>105</v>
      </c>
      <c r="L39" s="54">
        <f t="shared" si="1"/>
        <v>103.95</v>
      </c>
      <c r="M39" s="58">
        <f t="shared" si="2"/>
        <v>102.9105</v>
      </c>
      <c r="N39" s="58">
        <f t="shared" si="3"/>
        <v>101.881395</v>
      </c>
      <c r="O39" s="58">
        <f t="shared" si="4"/>
        <v>3.125E-2</v>
      </c>
      <c r="P39" s="58">
        <f t="shared" si="5"/>
        <v>10379.818647146025</v>
      </c>
      <c r="R39" s="63">
        <v>2015</v>
      </c>
      <c r="S39" s="63">
        <v>1</v>
      </c>
      <c r="T39" s="68">
        <v>3324</v>
      </c>
      <c r="U39" s="68">
        <v>3671</v>
      </c>
      <c r="V39" s="68">
        <v>3809</v>
      </c>
      <c r="W39" s="68">
        <v>3925</v>
      </c>
      <c r="X39" s="68">
        <v>4033</v>
      </c>
      <c r="Y39" s="78">
        <f>X39*Y44</f>
        <v>4097.1909972643616</v>
      </c>
      <c r="Z39" s="65"/>
      <c r="AA39" s="65"/>
      <c r="AB39" s="65"/>
      <c r="AC39" s="65"/>
      <c r="AD39" s="66"/>
      <c r="AE39" s="67"/>
      <c r="AF39" s="67"/>
      <c r="AJ39" s="67"/>
      <c r="AK39" s="70"/>
      <c r="AL39" s="74"/>
    </row>
    <row r="40" spans="2:38" x14ac:dyDescent="0.2">
      <c r="B40" s="87">
        <v>29</v>
      </c>
      <c r="C40" s="54">
        <f t="shared" si="19"/>
        <v>0.05</v>
      </c>
      <c r="D40" s="54">
        <f>$C$3</f>
        <v>-0.01</v>
      </c>
      <c r="E40" s="54">
        <f>$C$3</f>
        <v>-0.01</v>
      </c>
      <c r="F40" s="54">
        <f>$D$3</f>
        <v>0.05</v>
      </c>
      <c r="G40" s="54">
        <f t="shared" si="20"/>
        <v>0.25</v>
      </c>
      <c r="H40" s="54">
        <f>$C$4</f>
        <v>0.5</v>
      </c>
      <c r="I40" s="54">
        <f>$C$4</f>
        <v>0.5</v>
      </c>
      <c r="J40" s="54">
        <f>$D$4</f>
        <v>0.25</v>
      </c>
      <c r="K40" s="54">
        <f t="shared" si="0"/>
        <v>105</v>
      </c>
      <c r="L40" s="54">
        <f t="shared" si="1"/>
        <v>103.95</v>
      </c>
      <c r="M40" s="58">
        <f t="shared" si="2"/>
        <v>102.9105</v>
      </c>
      <c r="N40" s="58">
        <f t="shared" si="3"/>
        <v>108.05602500000001</v>
      </c>
      <c r="O40" s="58">
        <f t="shared" si="4"/>
        <v>1.5625E-2</v>
      </c>
      <c r="P40" s="58">
        <f t="shared" si="5"/>
        <v>11676.104538800626</v>
      </c>
      <c r="R40" s="63">
        <v>2016</v>
      </c>
      <c r="S40" s="63">
        <v>2</v>
      </c>
      <c r="T40" s="68">
        <v>3347</v>
      </c>
      <c r="U40" s="68">
        <v>3950</v>
      </c>
      <c r="V40" s="68">
        <v>4143</v>
      </c>
      <c r="W40" s="68">
        <v>4313</v>
      </c>
      <c r="X40" s="78">
        <f>W40*X44</f>
        <v>4405.4409638554216</v>
      </c>
      <c r="Y40" s="78">
        <f>X40*Y44</f>
        <v>4475.5598948891811</v>
      </c>
      <c r="Z40" s="65"/>
      <c r="AA40" s="65"/>
      <c r="AB40" s="65"/>
      <c r="AC40" s="65"/>
      <c r="AD40" s="66"/>
      <c r="AE40" s="67"/>
      <c r="AF40" s="67"/>
      <c r="AG40" s="51"/>
      <c r="AH40" s="51"/>
      <c r="AI40" s="51"/>
      <c r="AJ40" s="80"/>
      <c r="AK40" s="67"/>
      <c r="AL40" s="74"/>
    </row>
    <row r="41" spans="2:38" x14ac:dyDescent="0.2">
      <c r="B41" s="87">
        <v>30</v>
      </c>
      <c r="C41" s="54">
        <f t="shared" si="19"/>
        <v>0.05</v>
      </c>
      <c r="D41" s="54">
        <f>$C$3</f>
        <v>-0.01</v>
      </c>
      <c r="E41" s="54">
        <f>$C$3</f>
        <v>-0.01</v>
      </c>
      <c r="F41" s="54">
        <f>$E$3</f>
        <v>7.0000000000000007E-2</v>
      </c>
      <c r="G41" s="54">
        <f t="shared" si="20"/>
        <v>0.25</v>
      </c>
      <c r="H41" s="54">
        <f>$C$4</f>
        <v>0.5</v>
      </c>
      <c r="I41" s="54">
        <f>$C$4</f>
        <v>0.5</v>
      </c>
      <c r="J41" s="54">
        <f>$E$4</f>
        <v>0.25</v>
      </c>
      <c r="K41" s="54">
        <f t="shared" si="0"/>
        <v>105</v>
      </c>
      <c r="L41" s="54">
        <f t="shared" si="1"/>
        <v>103.95</v>
      </c>
      <c r="M41" s="58">
        <f t="shared" si="2"/>
        <v>102.9105</v>
      </c>
      <c r="N41" s="58">
        <f t="shared" si="3"/>
        <v>110.11423500000001</v>
      </c>
      <c r="O41" s="58">
        <f t="shared" si="4"/>
        <v>1.5625E-2</v>
      </c>
      <c r="P41" s="58">
        <f t="shared" si="5"/>
        <v>12125.144749635227</v>
      </c>
      <c r="R41" s="63">
        <v>2017</v>
      </c>
      <c r="S41" s="63">
        <v>3</v>
      </c>
      <c r="T41" s="68">
        <v>3479</v>
      </c>
      <c r="U41" s="68">
        <v>3980</v>
      </c>
      <c r="V41" s="68">
        <v>4178</v>
      </c>
      <c r="W41" s="78">
        <f>V41*W44</f>
        <v>4310.1525710419482</v>
      </c>
      <c r="X41" s="78">
        <f>W41*X44</f>
        <v>4402.5325056654219</v>
      </c>
      <c r="Y41" s="78">
        <f>X41*Y44</f>
        <v>4472.605144402698</v>
      </c>
      <c r="Z41" s="65"/>
      <c r="AA41" s="65"/>
      <c r="AB41" s="65"/>
      <c r="AC41" s="65"/>
      <c r="AD41" s="66"/>
      <c r="AE41" s="67"/>
      <c r="AF41" s="67"/>
      <c r="AG41" s="67"/>
    </row>
    <row r="42" spans="2:38" x14ac:dyDescent="0.2">
      <c r="B42" s="87">
        <v>31</v>
      </c>
      <c r="C42" s="54">
        <f t="shared" si="19"/>
        <v>0.05</v>
      </c>
      <c r="D42" s="54">
        <f t="shared" ref="D42:D47" si="21">$C$3</f>
        <v>-0.01</v>
      </c>
      <c r="E42" s="54">
        <f>$D$3</f>
        <v>0.05</v>
      </c>
      <c r="F42" s="54">
        <f>$C$3</f>
        <v>-0.01</v>
      </c>
      <c r="G42" s="54">
        <f t="shared" si="20"/>
        <v>0.25</v>
      </c>
      <c r="H42" s="54">
        <f t="shared" ref="H42:H47" si="22">$C$4</f>
        <v>0.5</v>
      </c>
      <c r="I42" s="54">
        <f>$D$4</f>
        <v>0.25</v>
      </c>
      <c r="J42" s="54">
        <f>$C$4</f>
        <v>0.5</v>
      </c>
      <c r="K42" s="54">
        <f t="shared" si="0"/>
        <v>105</v>
      </c>
      <c r="L42" s="54">
        <f t="shared" si="1"/>
        <v>103.95</v>
      </c>
      <c r="M42" s="58">
        <f t="shared" si="2"/>
        <v>109.14750000000001</v>
      </c>
      <c r="N42" s="58">
        <f t="shared" si="3"/>
        <v>108.05602500000001</v>
      </c>
      <c r="O42" s="58">
        <f t="shared" si="4"/>
        <v>1.5625E-2</v>
      </c>
      <c r="P42" s="58">
        <f t="shared" si="5"/>
        <v>11676.104538800626</v>
      </c>
      <c r="R42" s="63">
        <v>2018</v>
      </c>
      <c r="S42" s="63">
        <v>4</v>
      </c>
      <c r="T42" s="68">
        <v>3500</v>
      </c>
      <c r="U42" s="68">
        <v>3903</v>
      </c>
      <c r="V42" s="78">
        <f>U42*V44</f>
        <v>4071.169154553158</v>
      </c>
      <c r="W42" s="78">
        <f>V42*W44</f>
        <v>4199.9426037922376</v>
      </c>
      <c r="X42" s="78">
        <f>W42*X44</f>
        <v>4289.9603970757998</v>
      </c>
      <c r="Y42" s="78">
        <f>X42*Y44</f>
        <v>4358.2412887477349</v>
      </c>
      <c r="Z42" s="65"/>
      <c r="AA42" s="65"/>
      <c r="AB42" s="65"/>
      <c r="AC42" s="65"/>
      <c r="AD42" s="66"/>
      <c r="AE42" s="67"/>
      <c r="AF42" s="67"/>
      <c r="AG42" s="67"/>
    </row>
    <row r="43" spans="2:38" x14ac:dyDescent="0.2">
      <c r="B43" s="87">
        <v>32</v>
      </c>
      <c r="C43" s="54">
        <f t="shared" si="19"/>
        <v>0.05</v>
      </c>
      <c r="D43" s="54">
        <f t="shared" si="21"/>
        <v>-0.01</v>
      </c>
      <c r="E43" s="54">
        <f>$D$3</f>
        <v>0.05</v>
      </c>
      <c r="F43" s="54">
        <f>$D$3</f>
        <v>0.05</v>
      </c>
      <c r="G43" s="54">
        <f t="shared" si="20"/>
        <v>0.25</v>
      </c>
      <c r="H43" s="54">
        <f t="shared" si="22"/>
        <v>0.5</v>
      </c>
      <c r="I43" s="54">
        <f>$D$4</f>
        <v>0.25</v>
      </c>
      <c r="J43" s="54">
        <f>$D$4</f>
        <v>0.25</v>
      </c>
      <c r="K43" s="54">
        <f t="shared" si="0"/>
        <v>105</v>
      </c>
      <c r="L43" s="54">
        <f t="shared" si="1"/>
        <v>103.95</v>
      </c>
      <c r="M43" s="58">
        <f t="shared" si="2"/>
        <v>109.14750000000001</v>
      </c>
      <c r="N43" s="58">
        <f t="shared" si="3"/>
        <v>114.60487500000001</v>
      </c>
      <c r="O43" s="58">
        <f t="shared" si="4"/>
        <v>7.8125E-3</v>
      </c>
      <c r="P43" s="58">
        <f t="shared" si="5"/>
        <v>13134.277373765626</v>
      </c>
      <c r="R43" s="63">
        <v>2019</v>
      </c>
      <c r="S43" s="63">
        <v>5</v>
      </c>
      <c r="T43" s="68">
        <v>3572</v>
      </c>
      <c r="U43" s="78">
        <f>T43*U44</f>
        <v>4052.3237634852326</v>
      </c>
      <c r="V43" s="78">
        <f>U43*V44</f>
        <v>4226.9268537442595</v>
      </c>
      <c r="W43" s="78">
        <f>V43*W44</f>
        <v>4360.627009639079</v>
      </c>
      <c r="X43" s="78">
        <f>W43*X44</f>
        <v>4454.088767994057</v>
      </c>
      <c r="Y43" s="78">
        <f>X43*Y44</f>
        <v>4524.9819988201252</v>
      </c>
      <c r="Z43" s="65"/>
      <c r="AA43" s="65"/>
      <c r="AB43" s="65"/>
      <c r="AC43" s="65"/>
      <c r="AD43" s="66"/>
      <c r="AE43" s="81"/>
      <c r="AF43" s="82"/>
      <c r="AG43" s="67"/>
    </row>
    <row r="44" spans="2:38" x14ac:dyDescent="0.2">
      <c r="B44" s="87">
        <v>33</v>
      </c>
      <c r="C44" s="54">
        <f t="shared" si="19"/>
        <v>0.05</v>
      </c>
      <c r="D44" s="54">
        <f t="shared" si="21"/>
        <v>-0.01</v>
      </c>
      <c r="E44" s="54">
        <f>$D$3</f>
        <v>0.05</v>
      </c>
      <c r="F44" s="54">
        <f>$E$3</f>
        <v>7.0000000000000007E-2</v>
      </c>
      <c r="G44" s="54">
        <f t="shared" si="20"/>
        <v>0.25</v>
      </c>
      <c r="H44" s="54">
        <f t="shared" si="22"/>
        <v>0.5</v>
      </c>
      <c r="I44" s="54">
        <f>$D$4</f>
        <v>0.25</v>
      </c>
      <c r="J44" s="54">
        <f>$E$4</f>
        <v>0.25</v>
      </c>
      <c r="K44" s="54">
        <f t="shared" ref="K44:K75" si="23">$C$2*(1+C44)</f>
        <v>105</v>
      </c>
      <c r="L44" s="54">
        <f t="shared" ref="L44:L75" si="24">K44*(1+D44)</f>
        <v>103.95</v>
      </c>
      <c r="M44" s="58">
        <f t="shared" ref="M44:M75" si="25">L44*(1+E44)</f>
        <v>109.14750000000001</v>
      </c>
      <c r="N44" s="58">
        <f t="shared" ref="N44:N75" si="26">M44*(1+F44)</f>
        <v>116.78782500000001</v>
      </c>
      <c r="O44" s="58">
        <f t="shared" ref="O44:O75" si="27">G44*H44*I44*J44</f>
        <v>7.8125E-3</v>
      </c>
      <c r="P44" s="58">
        <f t="shared" ref="P44:P75" si="28">N44^2</f>
        <v>13639.396068230628</v>
      </c>
      <c r="R44" s="119" t="s">
        <v>53</v>
      </c>
      <c r="S44" s="119"/>
      <c r="T44" s="83" t="s">
        <v>54</v>
      </c>
      <c r="U44" s="58">
        <f>SUM(U38:U42)/SUM(T38:T42)</f>
        <v>1.1344691387136709</v>
      </c>
      <c r="V44" s="58">
        <f>SUM(V38:V41)/SUM(U38:U41)</f>
        <v>1.0430871520761358</v>
      </c>
      <c r="W44" s="58">
        <f>SUM(W38:W40)/SUM(V38:V40)</f>
        <v>1.0316305818673883</v>
      </c>
      <c r="X44" s="58">
        <f>SUM(X38:X39)/SUM(W38:W39)</f>
        <v>1.02143310082435</v>
      </c>
      <c r="Y44" s="58">
        <f>Y38/X38</f>
        <v>1.0159164386968416</v>
      </c>
      <c r="Z44" s="67"/>
      <c r="AA44" s="67"/>
      <c r="AB44" s="67"/>
      <c r="AC44" s="70"/>
      <c r="AD44" s="74"/>
      <c r="AG44" s="67"/>
    </row>
    <row r="45" spans="2:38" x14ac:dyDescent="0.2">
      <c r="B45" s="87">
        <v>34</v>
      </c>
      <c r="C45" s="54">
        <f t="shared" si="19"/>
        <v>0.05</v>
      </c>
      <c r="D45" s="54">
        <f t="shared" si="21"/>
        <v>-0.01</v>
      </c>
      <c r="E45" s="54">
        <f>$E$3</f>
        <v>7.0000000000000007E-2</v>
      </c>
      <c r="F45" s="54">
        <f>$C$3</f>
        <v>-0.01</v>
      </c>
      <c r="G45" s="54">
        <f t="shared" si="20"/>
        <v>0.25</v>
      </c>
      <c r="H45" s="54">
        <f t="shared" si="22"/>
        <v>0.5</v>
      </c>
      <c r="I45" s="54">
        <f>$E$4</f>
        <v>0.25</v>
      </c>
      <c r="J45" s="54">
        <f>$C$4</f>
        <v>0.5</v>
      </c>
      <c r="K45" s="54">
        <f t="shared" si="23"/>
        <v>105</v>
      </c>
      <c r="L45" s="54">
        <f t="shared" si="24"/>
        <v>103.95</v>
      </c>
      <c r="M45" s="58">
        <f t="shared" si="25"/>
        <v>111.22650000000002</v>
      </c>
      <c r="N45" s="58">
        <f t="shared" si="26"/>
        <v>110.11423500000001</v>
      </c>
      <c r="O45" s="58">
        <f t="shared" si="27"/>
        <v>1.5625E-2</v>
      </c>
      <c r="P45" s="58">
        <f t="shared" si="28"/>
        <v>12125.144749635227</v>
      </c>
      <c r="X45" s="53" t="s">
        <v>59</v>
      </c>
      <c r="Y45" s="95">
        <f>(Y39-X39)+(Y40-W40)+(Y41-V41)+(Y42-U42)+(Y43-T43)</f>
        <v>1929.5793241241008</v>
      </c>
      <c r="Z45" s="80"/>
      <c r="AA45" s="80"/>
      <c r="AB45" s="80"/>
      <c r="AC45" s="67"/>
      <c r="AD45" s="74"/>
      <c r="AF45" s="62"/>
      <c r="AG45" s="67"/>
    </row>
    <row r="46" spans="2:38" x14ac:dyDescent="0.2">
      <c r="B46" s="87">
        <v>35</v>
      </c>
      <c r="C46" s="54">
        <f t="shared" si="19"/>
        <v>0.05</v>
      </c>
      <c r="D46" s="54">
        <f t="shared" si="21"/>
        <v>-0.01</v>
      </c>
      <c r="E46" s="54">
        <f>$E$3</f>
        <v>7.0000000000000007E-2</v>
      </c>
      <c r="F46" s="54">
        <f>$D$3</f>
        <v>0.05</v>
      </c>
      <c r="G46" s="54">
        <f t="shared" si="20"/>
        <v>0.25</v>
      </c>
      <c r="H46" s="54">
        <f t="shared" si="22"/>
        <v>0.5</v>
      </c>
      <c r="I46" s="54">
        <f>$E$4</f>
        <v>0.25</v>
      </c>
      <c r="J46" s="54">
        <f>$D$4</f>
        <v>0.25</v>
      </c>
      <c r="K46" s="54">
        <f t="shared" si="23"/>
        <v>105</v>
      </c>
      <c r="L46" s="54">
        <f t="shared" si="24"/>
        <v>103.95</v>
      </c>
      <c r="M46" s="58">
        <f t="shared" si="25"/>
        <v>111.22650000000002</v>
      </c>
      <c r="N46" s="58">
        <f t="shared" si="26"/>
        <v>116.78782500000003</v>
      </c>
      <c r="O46" s="58">
        <f t="shared" si="27"/>
        <v>7.8125E-3</v>
      </c>
      <c r="P46" s="58">
        <f t="shared" si="28"/>
        <v>13639.396068230631</v>
      </c>
      <c r="X46" s="51"/>
      <c r="Y46" s="74"/>
      <c r="Z46" s="80"/>
      <c r="AA46" s="80"/>
      <c r="AB46" s="80"/>
      <c r="AC46" s="67"/>
      <c r="AD46" s="74"/>
      <c r="AF46" s="62"/>
      <c r="AG46" s="67"/>
      <c r="AI46" s="69"/>
    </row>
    <row r="47" spans="2:38" x14ac:dyDescent="0.2">
      <c r="B47" s="87">
        <v>36</v>
      </c>
      <c r="C47" s="54">
        <f t="shared" si="19"/>
        <v>0.05</v>
      </c>
      <c r="D47" s="54">
        <f t="shared" si="21"/>
        <v>-0.01</v>
      </c>
      <c r="E47" s="54">
        <f>$E$3</f>
        <v>7.0000000000000007E-2</v>
      </c>
      <c r="F47" s="54">
        <f>$E$3</f>
        <v>7.0000000000000007E-2</v>
      </c>
      <c r="G47" s="54">
        <f t="shared" si="20"/>
        <v>0.25</v>
      </c>
      <c r="H47" s="54">
        <f t="shared" si="22"/>
        <v>0.5</v>
      </c>
      <c r="I47" s="54">
        <f>$E$4</f>
        <v>0.25</v>
      </c>
      <c r="J47" s="54">
        <f>$E$4</f>
        <v>0.25</v>
      </c>
      <c r="K47" s="54">
        <f t="shared" si="23"/>
        <v>105</v>
      </c>
      <c r="L47" s="54">
        <f t="shared" si="24"/>
        <v>103.95</v>
      </c>
      <c r="M47" s="58">
        <f t="shared" si="25"/>
        <v>111.22650000000002</v>
      </c>
      <c r="N47" s="58">
        <f t="shared" si="26"/>
        <v>119.01235500000003</v>
      </c>
      <c r="O47" s="58">
        <f t="shared" si="27"/>
        <v>7.8125E-3</v>
      </c>
      <c r="P47" s="58">
        <f t="shared" si="28"/>
        <v>14163.940642646032</v>
      </c>
      <c r="R47" s="51"/>
      <c r="S47" s="51"/>
      <c r="T47" s="85"/>
      <c r="U47" s="67"/>
      <c r="V47" s="67"/>
      <c r="W47" s="67"/>
      <c r="X47" s="67"/>
      <c r="Y47" s="67"/>
      <c r="Z47" s="67"/>
      <c r="AA47" s="67"/>
      <c r="AB47" s="67"/>
      <c r="AC47" s="70"/>
      <c r="AD47" s="74"/>
      <c r="AG47" s="59"/>
      <c r="AH47" s="69"/>
      <c r="AI47" s="69"/>
    </row>
    <row r="48" spans="2:38" x14ac:dyDescent="0.2">
      <c r="B48" s="87">
        <v>37</v>
      </c>
      <c r="C48" s="54">
        <f t="shared" si="19"/>
        <v>0.05</v>
      </c>
      <c r="D48" s="54">
        <f t="shared" ref="D48:D56" si="29">$D$3</f>
        <v>0.05</v>
      </c>
      <c r="E48" s="54">
        <f>$C$3</f>
        <v>-0.01</v>
      </c>
      <c r="F48" s="54">
        <f>$C$3</f>
        <v>-0.01</v>
      </c>
      <c r="G48" s="54">
        <f t="shared" si="20"/>
        <v>0.25</v>
      </c>
      <c r="H48" s="54">
        <f t="shared" ref="H48:H56" si="30">$D$4</f>
        <v>0.25</v>
      </c>
      <c r="I48" s="54">
        <f>$C$4</f>
        <v>0.5</v>
      </c>
      <c r="J48" s="54">
        <f>$C$4</f>
        <v>0.5</v>
      </c>
      <c r="K48" s="54">
        <f t="shared" si="23"/>
        <v>105</v>
      </c>
      <c r="L48" s="54">
        <f t="shared" si="24"/>
        <v>110.25</v>
      </c>
      <c r="M48" s="58">
        <f t="shared" si="25"/>
        <v>109.14749999999999</v>
      </c>
      <c r="N48" s="58">
        <f t="shared" si="26"/>
        <v>108.05602499999999</v>
      </c>
      <c r="O48" s="58">
        <f t="shared" si="27"/>
        <v>1.5625E-2</v>
      </c>
      <c r="P48" s="58">
        <f t="shared" si="28"/>
        <v>11676.104538800622</v>
      </c>
      <c r="X48" s="51"/>
      <c r="Y48" s="74"/>
      <c r="Z48" s="80"/>
      <c r="AA48" s="80"/>
      <c r="AB48" s="80"/>
      <c r="AC48" s="67"/>
      <c r="AD48" s="74"/>
      <c r="AF48" s="62"/>
      <c r="AG48" s="62"/>
      <c r="AH48" s="62"/>
      <c r="AI48" s="62"/>
    </row>
    <row r="49" spans="2:35" x14ac:dyDescent="0.2">
      <c r="B49" s="87">
        <v>38</v>
      </c>
      <c r="C49" s="54">
        <f t="shared" si="19"/>
        <v>0.05</v>
      </c>
      <c r="D49" s="54">
        <f t="shared" si="29"/>
        <v>0.05</v>
      </c>
      <c r="E49" s="54">
        <f>$C$3</f>
        <v>-0.01</v>
      </c>
      <c r="F49" s="54">
        <f>$D$3</f>
        <v>0.05</v>
      </c>
      <c r="G49" s="54">
        <f t="shared" si="20"/>
        <v>0.25</v>
      </c>
      <c r="H49" s="54">
        <f t="shared" si="30"/>
        <v>0.25</v>
      </c>
      <c r="I49" s="54">
        <f>$C$4</f>
        <v>0.5</v>
      </c>
      <c r="J49" s="54">
        <f>$D$4</f>
        <v>0.25</v>
      </c>
      <c r="K49" s="54">
        <f t="shared" si="23"/>
        <v>105</v>
      </c>
      <c r="L49" s="54">
        <f t="shared" si="24"/>
        <v>110.25</v>
      </c>
      <c r="M49" s="58">
        <f t="shared" si="25"/>
        <v>109.14749999999999</v>
      </c>
      <c r="N49" s="58">
        <f t="shared" si="26"/>
        <v>114.60487499999999</v>
      </c>
      <c r="O49" s="58">
        <f t="shared" si="27"/>
        <v>7.8125E-3</v>
      </c>
      <c r="P49" s="58">
        <f t="shared" si="28"/>
        <v>13134.277373765623</v>
      </c>
      <c r="R49" s="51"/>
      <c r="S49" s="59"/>
      <c r="T49" s="69"/>
      <c r="U49" s="69"/>
      <c r="V49" s="69"/>
      <c r="W49" s="69"/>
      <c r="X49" s="69"/>
      <c r="Y49" s="69"/>
      <c r="Z49" s="60"/>
      <c r="AG49" s="62"/>
      <c r="AH49" s="65"/>
      <c r="AI49" s="65"/>
    </row>
    <row r="50" spans="2:35" x14ac:dyDescent="0.2">
      <c r="B50" s="87">
        <v>39</v>
      </c>
      <c r="C50" s="54">
        <f t="shared" si="19"/>
        <v>0.05</v>
      </c>
      <c r="D50" s="54">
        <f t="shared" si="29"/>
        <v>0.05</v>
      </c>
      <c r="E50" s="54">
        <f>$C$3</f>
        <v>-0.01</v>
      </c>
      <c r="F50" s="54">
        <f>$E$3</f>
        <v>7.0000000000000007E-2</v>
      </c>
      <c r="G50" s="54">
        <f t="shared" si="20"/>
        <v>0.25</v>
      </c>
      <c r="H50" s="54">
        <f t="shared" si="30"/>
        <v>0.25</v>
      </c>
      <c r="I50" s="54">
        <f>$C$4</f>
        <v>0.5</v>
      </c>
      <c r="J50" s="54">
        <f>$E$4</f>
        <v>0.25</v>
      </c>
      <c r="K50" s="54">
        <f t="shared" si="23"/>
        <v>105</v>
      </c>
      <c r="L50" s="54">
        <f t="shared" si="24"/>
        <v>110.25</v>
      </c>
      <c r="M50" s="58">
        <f t="shared" si="25"/>
        <v>109.14749999999999</v>
      </c>
      <c r="N50" s="58">
        <f t="shared" si="26"/>
        <v>116.787825</v>
      </c>
      <c r="O50" s="58">
        <f t="shared" si="27"/>
        <v>7.8125E-3</v>
      </c>
      <c r="P50" s="58">
        <f t="shared" si="28"/>
        <v>13639.396068230624</v>
      </c>
      <c r="R50" s="62"/>
      <c r="S50" s="62"/>
      <c r="T50" s="77"/>
      <c r="U50" s="77"/>
      <c r="V50" s="77"/>
      <c r="W50" s="77"/>
      <c r="X50" s="77"/>
      <c r="Y50" s="77"/>
      <c r="Z50" s="62"/>
      <c r="AA50" s="51"/>
      <c r="AB50" s="51"/>
      <c r="AC50" s="51"/>
      <c r="AD50" s="51"/>
      <c r="AE50" s="51"/>
      <c r="AF50" s="51"/>
      <c r="AG50" s="62"/>
      <c r="AH50" s="65"/>
      <c r="AI50" s="65"/>
    </row>
    <row r="51" spans="2:35" x14ac:dyDescent="0.2">
      <c r="B51" s="87">
        <v>40</v>
      </c>
      <c r="C51" s="54">
        <f t="shared" si="19"/>
        <v>0.05</v>
      </c>
      <c r="D51" s="54">
        <f t="shared" si="29"/>
        <v>0.05</v>
      </c>
      <c r="E51" s="54">
        <f>$D$3</f>
        <v>0.05</v>
      </c>
      <c r="F51" s="54">
        <f>$C$3</f>
        <v>-0.01</v>
      </c>
      <c r="G51" s="54">
        <f t="shared" si="20"/>
        <v>0.25</v>
      </c>
      <c r="H51" s="54">
        <f t="shared" si="30"/>
        <v>0.25</v>
      </c>
      <c r="I51" s="54">
        <f>$D$4</f>
        <v>0.25</v>
      </c>
      <c r="J51" s="54">
        <f>$C$4</f>
        <v>0.5</v>
      </c>
      <c r="K51" s="54">
        <f t="shared" si="23"/>
        <v>105</v>
      </c>
      <c r="L51" s="54">
        <f t="shared" si="24"/>
        <v>110.25</v>
      </c>
      <c r="M51" s="58">
        <f t="shared" si="25"/>
        <v>115.7625</v>
      </c>
      <c r="N51" s="58">
        <f t="shared" si="26"/>
        <v>114.60487500000001</v>
      </c>
      <c r="O51" s="58">
        <f t="shared" si="27"/>
        <v>7.8125E-3</v>
      </c>
      <c r="P51" s="58">
        <f t="shared" si="28"/>
        <v>13134.277373765626</v>
      </c>
      <c r="R51" s="62"/>
      <c r="S51" s="62"/>
      <c r="T51" s="65"/>
      <c r="U51" s="65"/>
      <c r="V51" s="65"/>
      <c r="W51" s="65"/>
      <c r="X51" s="65"/>
      <c r="Y51" s="65"/>
      <c r="Z51" s="65"/>
      <c r="AA51" s="90"/>
      <c r="AB51" s="70"/>
      <c r="AC51" s="70"/>
      <c r="AD51" s="70"/>
      <c r="AE51" s="70"/>
      <c r="AF51" s="91"/>
      <c r="AG51" s="62"/>
      <c r="AH51" s="65"/>
      <c r="AI51" s="65"/>
    </row>
    <row r="52" spans="2:35" x14ac:dyDescent="0.2">
      <c r="B52" s="87">
        <v>41</v>
      </c>
      <c r="C52" s="54">
        <f t="shared" si="19"/>
        <v>0.05</v>
      </c>
      <c r="D52" s="54">
        <f t="shared" si="29"/>
        <v>0.05</v>
      </c>
      <c r="E52" s="54">
        <f>$D$3</f>
        <v>0.05</v>
      </c>
      <c r="F52" s="54">
        <f>$D$3</f>
        <v>0.05</v>
      </c>
      <c r="G52" s="54">
        <f t="shared" si="20"/>
        <v>0.25</v>
      </c>
      <c r="H52" s="54">
        <f t="shared" si="30"/>
        <v>0.25</v>
      </c>
      <c r="I52" s="54">
        <f>$D$4</f>
        <v>0.25</v>
      </c>
      <c r="J52" s="54">
        <f>$D$4</f>
        <v>0.25</v>
      </c>
      <c r="K52" s="54">
        <f t="shared" si="23"/>
        <v>105</v>
      </c>
      <c r="L52" s="54">
        <f t="shared" si="24"/>
        <v>110.25</v>
      </c>
      <c r="M52" s="58">
        <f t="shared" si="25"/>
        <v>115.7625</v>
      </c>
      <c r="N52" s="58">
        <f t="shared" si="26"/>
        <v>121.55062500000001</v>
      </c>
      <c r="O52" s="58">
        <f t="shared" si="27"/>
        <v>3.90625E-3</v>
      </c>
      <c r="P52" s="58">
        <f t="shared" si="28"/>
        <v>14774.554437890627</v>
      </c>
      <c r="Q52" s="51"/>
      <c r="R52" s="51"/>
      <c r="S52" s="59"/>
      <c r="T52" s="69"/>
      <c r="U52" s="69"/>
      <c r="V52" s="69"/>
      <c r="W52" s="69"/>
      <c r="X52" s="69"/>
      <c r="Y52" s="69"/>
      <c r="Z52" s="62"/>
      <c r="AA52" s="51"/>
      <c r="AB52" s="51"/>
      <c r="AC52" s="51"/>
      <c r="AD52" s="51"/>
      <c r="AE52" s="51"/>
      <c r="AF52" s="51"/>
      <c r="AG52" s="62"/>
      <c r="AH52" s="65"/>
      <c r="AI52" s="65"/>
    </row>
    <row r="53" spans="2:35" x14ac:dyDescent="0.2">
      <c r="B53" s="87">
        <v>42</v>
      </c>
      <c r="C53" s="54">
        <f t="shared" si="19"/>
        <v>0.05</v>
      </c>
      <c r="D53" s="54">
        <f t="shared" si="29"/>
        <v>0.05</v>
      </c>
      <c r="E53" s="54">
        <f>$D$3</f>
        <v>0.05</v>
      </c>
      <c r="F53" s="54">
        <f>$E$3</f>
        <v>7.0000000000000007E-2</v>
      </c>
      <c r="G53" s="54">
        <f t="shared" si="20"/>
        <v>0.25</v>
      </c>
      <c r="H53" s="54">
        <f t="shared" si="30"/>
        <v>0.25</v>
      </c>
      <c r="I53" s="54">
        <f>$D$4</f>
        <v>0.25</v>
      </c>
      <c r="J53" s="54">
        <f>$E$4</f>
        <v>0.25</v>
      </c>
      <c r="K53" s="54">
        <f t="shared" si="23"/>
        <v>105</v>
      </c>
      <c r="L53" s="54">
        <f t="shared" si="24"/>
        <v>110.25</v>
      </c>
      <c r="M53" s="58">
        <f t="shared" si="25"/>
        <v>115.7625</v>
      </c>
      <c r="N53" s="58">
        <f t="shared" si="26"/>
        <v>123.86587500000002</v>
      </c>
      <c r="O53" s="58">
        <f t="shared" si="27"/>
        <v>3.90625E-3</v>
      </c>
      <c r="P53" s="58">
        <f t="shared" si="28"/>
        <v>15342.75498951563</v>
      </c>
      <c r="R53" s="62"/>
      <c r="S53" s="62"/>
      <c r="T53" s="77"/>
      <c r="U53" s="77"/>
      <c r="V53" s="77"/>
      <c r="W53" s="77"/>
      <c r="X53" s="77"/>
      <c r="Y53" s="77"/>
      <c r="Z53" s="65"/>
      <c r="AA53" s="66"/>
      <c r="AB53" s="67"/>
      <c r="AC53" s="67"/>
      <c r="AD53" s="67"/>
      <c r="AG53" s="62"/>
      <c r="AH53" s="65"/>
      <c r="AI53" s="65"/>
    </row>
    <row r="54" spans="2:35" x14ac:dyDescent="0.2">
      <c r="B54" s="87">
        <v>43</v>
      </c>
      <c r="C54" s="54">
        <f t="shared" si="19"/>
        <v>0.05</v>
      </c>
      <c r="D54" s="54">
        <f t="shared" si="29"/>
        <v>0.05</v>
      </c>
      <c r="E54" s="54">
        <f>$E$3</f>
        <v>7.0000000000000007E-2</v>
      </c>
      <c r="F54" s="54">
        <f>$C$3</f>
        <v>-0.01</v>
      </c>
      <c r="G54" s="54">
        <f t="shared" si="20"/>
        <v>0.25</v>
      </c>
      <c r="H54" s="54">
        <f t="shared" si="30"/>
        <v>0.25</v>
      </c>
      <c r="I54" s="54">
        <f>$E$4</f>
        <v>0.25</v>
      </c>
      <c r="J54" s="54">
        <f>$C$4</f>
        <v>0.5</v>
      </c>
      <c r="K54" s="54">
        <f t="shared" si="23"/>
        <v>105</v>
      </c>
      <c r="L54" s="54">
        <f t="shared" si="24"/>
        <v>110.25</v>
      </c>
      <c r="M54" s="58">
        <f t="shared" si="25"/>
        <v>117.9675</v>
      </c>
      <c r="N54" s="58">
        <f t="shared" si="26"/>
        <v>116.787825</v>
      </c>
      <c r="O54" s="58">
        <f t="shared" si="27"/>
        <v>7.8125E-3</v>
      </c>
      <c r="P54" s="58">
        <f t="shared" si="28"/>
        <v>13639.396068230624</v>
      </c>
      <c r="R54" s="62"/>
      <c r="S54" s="62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G54" s="59"/>
      <c r="AH54" s="69"/>
      <c r="AI54" s="69"/>
    </row>
    <row r="55" spans="2:35" x14ac:dyDescent="0.2">
      <c r="B55" s="87">
        <v>44</v>
      </c>
      <c r="C55" s="54">
        <f t="shared" si="19"/>
        <v>0.05</v>
      </c>
      <c r="D55" s="54">
        <f t="shared" si="29"/>
        <v>0.05</v>
      </c>
      <c r="E55" s="54">
        <f>$E$3</f>
        <v>7.0000000000000007E-2</v>
      </c>
      <c r="F55" s="54">
        <f>$D$3</f>
        <v>0.05</v>
      </c>
      <c r="G55" s="54">
        <f t="shared" si="20"/>
        <v>0.25</v>
      </c>
      <c r="H55" s="54">
        <f t="shared" si="30"/>
        <v>0.25</v>
      </c>
      <c r="I55" s="54">
        <f>$E$4</f>
        <v>0.25</v>
      </c>
      <c r="J55" s="54">
        <f>$D$4</f>
        <v>0.25</v>
      </c>
      <c r="K55" s="54">
        <f t="shared" si="23"/>
        <v>105</v>
      </c>
      <c r="L55" s="54">
        <f t="shared" si="24"/>
        <v>110.25</v>
      </c>
      <c r="M55" s="58">
        <f t="shared" si="25"/>
        <v>117.9675</v>
      </c>
      <c r="N55" s="58">
        <f t="shared" si="26"/>
        <v>123.865875</v>
      </c>
      <c r="O55" s="58">
        <f t="shared" si="27"/>
        <v>3.90625E-3</v>
      </c>
      <c r="P55" s="58">
        <f t="shared" si="28"/>
        <v>15342.754989515626</v>
      </c>
      <c r="R55" s="62"/>
      <c r="S55" s="62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G55" s="62"/>
      <c r="AH55" s="77"/>
      <c r="AI55" s="77"/>
    </row>
    <row r="56" spans="2:35" x14ac:dyDescent="0.2">
      <c r="B56" s="87">
        <v>45</v>
      </c>
      <c r="C56" s="54">
        <f t="shared" si="19"/>
        <v>0.05</v>
      </c>
      <c r="D56" s="54">
        <f t="shared" si="29"/>
        <v>0.05</v>
      </c>
      <c r="E56" s="54">
        <f>$E$3</f>
        <v>7.0000000000000007E-2</v>
      </c>
      <c r="F56" s="54">
        <f>$E$3</f>
        <v>7.0000000000000007E-2</v>
      </c>
      <c r="G56" s="54">
        <f t="shared" si="20"/>
        <v>0.25</v>
      </c>
      <c r="H56" s="54">
        <f t="shared" si="30"/>
        <v>0.25</v>
      </c>
      <c r="I56" s="54">
        <f>$E$4</f>
        <v>0.25</v>
      </c>
      <c r="J56" s="54">
        <f>$E$4</f>
        <v>0.25</v>
      </c>
      <c r="K56" s="54">
        <f t="shared" si="23"/>
        <v>105</v>
      </c>
      <c r="L56" s="54">
        <f t="shared" si="24"/>
        <v>110.25</v>
      </c>
      <c r="M56" s="58">
        <f t="shared" si="25"/>
        <v>117.9675</v>
      </c>
      <c r="N56" s="58">
        <f t="shared" si="26"/>
        <v>126.22522500000001</v>
      </c>
      <c r="O56" s="58">
        <f t="shared" si="27"/>
        <v>3.90625E-3</v>
      </c>
      <c r="P56" s="58">
        <f t="shared" si="28"/>
        <v>15932.807426300627</v>
      </c>
      <c r="R56" s="62"/>
      <c r="S56" s="62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G56" s="62"/>
      <c r="AH56" s="65"/>
      <c r="AI56" s="65"/>
    </row>
    <row r="57" spans="2:35" x14ac:dyDescent="0.2">
      <c r="B57" s="87">
        <v>46</v>
      </c>
      <c r="C57" s="54">
        <f t="shared" si="19"/>
        <v>0.05</v>
      </c>
      <c r="D57" s="54">
        <f t="shared" ref="D57:D65" si="31">$E$3</f>
        <v>7.0000000000000007E-2</v>
      </c>
      <c r="E57" s="54">
        <f>$C$3</f>
        <v>-0.01</v>
      </c>
      <c r="F57" s="54">
        <f>$C$3</f>
        <v>-0.01</v>
      </c>
      <c r="G57" s="54">
        <f t="shared" si="20"/>
        <v>0.25</v>
      </c>
      <c r="H57" s="54">
        <f t="shared" ref="H57:H65" si="32">$E$4</f>
        <v>0.25</v>
      </c>
      <c r="I57" s="54">
        <f>$C$4</f>
        <v>0.5</v>
      </c>
      <c r="J57" s="54">
        <f>$C$4</f>
        <v>0.5</v>
      </c>
      <c r="K57" s="54">
        <f t="shared" si="23"/>
        <v>105</v>
      </c>
      <c r="L57" s="54">
        <f t="shared" si="24"/>
        <v>112.35000000000001</v>
      </c>
      <c r="M57" s="58">
        <f t="shared" si="25"/>
        <v>111.2265</v>
      </c>
      <c r="N57" s="58">
        <f t="shared" si="26"/>
        <v>110.11423499999999</v>
      </c>
      <c r="O57" s="58">
        <f t="shared" si="27"/>
        <v>1.5625E-2</v>
      </c>
      <c r="P57" s="58">
        <f t="shared" si="28"/>
        <v>12125.144749635223</v>
      </c>
      <c r="R57" s="62"/>
      <c r="S57" s="62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G57" s="62"/>
      <c r="AH57" s="65"/>
      <c r="AI57" s="65"/>
    </row>
    <row r="58" spans="2:35" x14ac:dyDescent="0.2">
      <c r="B58" s="87">
        <v>47</v>
      </c>
      <c r="C58" s="54">
        <f t="shared" si="19"/>
        <v>0.05</v>
      </c>
      <c r="D58" s="54">
        <f t="shared" si="31"/>
        <v>7.0000000000000007E-2</v>
      </c>
      <c r="E58" s="54">
        <f>$C$3</f>
        <v>-0.01</v>
      </c>
      <c r="F58" s="54">
        <f>$D$3</f>
        <v>0.05</v>
      </c>
      <c r="G58" s="54">
        <f t="shared" si="20"/>
        <v>0.25</v>
      </c>
      <c r="H58" s="54">
        <f t="shared" si="32"/>
        <v>0.25</v>
      </c>
      <c r="I58" s="54">
        <f>$C$4</f>
        <v>0.5</v>
      </c>
      <c r="J58" s="54">
        <f>$D$4</f>
        <v>0.25</v>
      </c>
      <c r="K58" s="54">
        <f t="shared" si="23"/>
        <v>105</v>
      </c>
      <c r="L58" s="54">
        <f t="shared" si="24"/>
        <v>112.35000000000001</v>
      </c>
      <c r="M58" s="58">
        <f t="shared" si="25"/>
        <v>111.2265</v>
      </c>
      <c r="N58" s="58">
        <f t="shared" si="26"/>
        <v>116.78782500000001</v>
      </c>
      <c r="O58" s="58">
        <f t="shared" si="27"/>
        <v>7.8125E-3</v>
      </c>
      <c r="P58" s="58">
        <f t="shared" si="28"/>
        <v>13639.396068230628</v>
      </c>
      <c r="R58" s="62"/>
      <c r="S58" s="62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9"/>
      <c r="AG58" s="51"/>
      <c r="AH58" s="51"/>
      <c r="AI58" s="51"/>
    </row>
    <row r="59" spans="2:35" x14ac:dyDescent="0.2">
      <c r="B59" s="87">
        <v>48</v>
      </c>
      <c r="C59" s="54">
        <f t="shared" si="19"/>
        <v>0.05</v>
      </c>
      <c r="D59" s="54">
        <f t="shared" si="31"/>
        <v>7.0000000000000007E-2</v>
      </c>
      <c r="E59" s="54">
        <f>$C$3</f>
        <v>-0.01</v>
      </c>
      <c r="F59" s="54">
        <f>$E$3</f>
        <v>7.0000000000000007E-2</v>
      </c>
      <c r="G59" s="54">
        <f t="shared" si="20"/>
        <v>0.25</v>
      </c>
      <c r="H59" s="54">
        <f t="shared" si="32"/>
        <v>0.25</v>
      </c>
      <c r="I59" s="54">
        <f>$C$4</f>
        <v>0.5</v>
      </c>
      <c r="J59" s="54">
        <f>$E$4</f>
        <v>0.25</v>
      </c>
      <c r="K59" s="54">
        <f t="shared" si="23"/>
        <v>105</v>
      </c>
      <c r="L59" s="54">
        <f t="shared" si="24"/>
        <v>112.35000000000001</v>
      </c>
      <c r="M59" s="58">
        <f t="shared" si="25"/>
        <v>111.2265</v>
      </c>
      <c r="N59" s="58">
        <f t="shared" si="26"/>
        <v>119.01235500000001</v>
      </c>
      <c r="O59" s="58">
        <f t="shared" si="27"/>
        <v>7.8125E-3</v>
      </c>
      <c r="P59" s="58">
        <f t="shared" si="28"/>
        <v>14163.940642646028</v>
      </c>
      <c r="R59" s="62"/>
      <c r="S59" s="62"/>
      <c r="T59" s="65"/>
      <c r="U59" s="65"/>
      <c r="V59" s="65"/>
      <c r="W59" s="65"/>
      <c r="X59" s="65"/>
      <c r="Y59" s="65"/>
      <c r="Z59" s="70"/>
      <c r="AA59" s="65"/>
      <c r="AB59" s="65"/>
      <c r="AC59" s="65"/>
      <c r="AD59" s="65"/>
      <c r="AE59" s="65"/>
      <c r="AF59" s="69"/>
    </row>
    <row r="60" spans="2:35" x14ac:dyDescent="0.2">
      <c r="B60" s="87">
        <v>49</v>
      </c>
      <c r="C60" s="54">
        <f t="shared" si="19"/>
        <v>0.05</v>
      </c>
      <c r="D60" s="54">
        <f t="shared" si="31"/>
        <v>7.0000000000000007E-2</v>
      </c>
      <c r="E60" s="54">
        <f>$D$3</f>
        <v>0.05</v>
      </c>
      <c r="F60" s="54">
        <f>$C$3</f>
        <v>-0.01</v>
      </c>
      <c r="G60" s="54">
        <f t="shared" si="20"/>
        <v>0.25</v>
      </c>
      <c r="H60" s="54">
        <f t="shared" si="32"/>
        <v>0.25</v>
      </c>
      <c r="I60" s="54">
        <f>$D$4</f>
        <v>0.25</v>
      </c>
      <c r="J60" s="54">
        <f>$C$4</f>
        <v>0.5</v>
      </c>
      <c r="K60" s="54">
        <f t="shared" si="23"/>
        <v>105</v>
      </c>
      <c r="L60" s="54">
        <f t="shared" si="24"/>
        <v>112.35000000000001</v>
      </c>
      <c r="M60" s="58">
        <f t="shared" si="25"/>
        <v>117.96750000000002</v>
      </c>
      <c r="N60" s="58">
        <f t="shared" si="26"/>
        <v>116.78782500000001</v>
      </c>
      <c r="O60" s="58">
        <f t="shared" si="27"/>
        <v>7.8125E-3</v>
      </c>
      <c r="P60" s="58">
        <f t="shared" si="28"/>
        <v>13639.396068230628</v>
      </c>
      <c r="R60" s="51"/>
      <c r="S60" s="51"/>
      <c r="T60" s="74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2"/>
    </row>
    <row r="61" spans="2:35" x14ac:dyDescent="0.2">
      <c r="B61" s="87">
        <v>50</v>
      </c>
      <c r="C61" s="54">
        <f t="shared" si="19"/>
        <v>0.05</v>
      </c>
      <c r="D61" s="54">
        <f t="shared" si="31"/>
        <v>7.0000000000000007E-2</v>
      </c>
      <c r="E61" s="54">
        <f>$D$3</f>
        <v>0.05</v>
      </c>
      <c r="F61" s="54">
        <f>$D$3</f>
        <v>0.05</v>
      </c>
      <c r="G61" s="54">
        <f t="shared" si="20"/>
        <v>0.25</v>
      </c>
      <c r="H61" s="54">
        <f t="shared" si="32"/>
        <v>0.25</v>
      </c>
      <c r="I61" s="54">
        <f>$D$4</f>
        <v>0.25</v>
      </c>
      <c r="J61" s="54">
        <f>$D$4</f>
        <v>0.25</v>
      </c>
      <c r="K61" s="54">
        <f t="shared" si="23"/>
        <v>105</v>
      </c>
      <c r="L61" s="54">
        <f t="shared" si="24"/>
        <v>112.35000000000001</v>
      </c>
      <c r="M61" s="58">
        <f t="shared" si="25"/>
        <v>117.96750000000002</v>
      </c>
      <c r="N61" s="58">
        <f t="shared" si="26"/>
        <v>123.86587500000002</v>
      </c>
      <c r="O61" s="58">
        <f t="shared" si="27"/>
        <v>3.90625E-3</v>
      </c>
      <c r="P61" s="58">
        <f t="shared" si="28"/>
        <v>15342.75498951563</v>
      </c>
      <c r="R61" s="51"/>
      <c r="S61" s="59"/>
      <c r="T61" s="69"/>
      <c r="U61" s="69"/>
      <c r="V61" s="69"/>
      <c r="W61" s="69"/>
      <c r="X61" s="69"/>
      <c r="Y61" s="69"/>
      <c r="Z61" s="60"/>
    </row>
    <row r="62" spans="2:35" x14ac:dyDescent="0.2">
      <c r="B62" s="87">
        <v>51</v>
      </c>
      <c r="C62" s="54">
        <f t="shared" si="19"/>
        <v>0.05</v>
      </c>
      <c r="D62" s="54">
        <f t="shared" si="31"/>
        <v>7.0000000000000007E-2</v>
      </c>
      <c r="E62" s="54">
        <f>$D$3</f>
        <v>0.05</v>
      </c>
      <c r="F62" s="54">
        <f>$E$3</f>
        <v>7.0000000000000007E-2</v>
      </c>
      <c r="G62" s="54">
        <f t="shared" si="20"/>
        <v>0.25</v>
      </c>
      <c r="H62" s="54">
        <f t="shared" si="32"/>
        <v>0.25</v>
      </c>
      <c r="I62" s="54">
        <f>$D$4</f>
        <v>0.25</v>
      </c>
      <c r="J62" s="54">
        <f>$E$4</f>
        <v>0.25</v>
      </c>
      <c r="K62" s="54">
        <f t="shared" si="23"/>
        <v>105</v>
      </c>
      <c r="L62" s="54">
        <f t="shared" si="24"/>
        <v>112.35000000000001</v>
      </c>
      <c r="M62" s="58">
        <f t="shared" si="25"/>
        <v>117.96750000000002</v>
      </c>
      <c r="N62" s="58">
        <f t="shared" si="26"/>
        <v>126.22522500000002</v>
      </c>
      <c r="O62" s="58">
        <f t="shared" si="27"/>
        <v>3.90625E-3</v>
      </c>
      <c r="P62" s="58">
        <f t="shared" si="28"/>
        <v>15932.807426300631</v>
      </c>
      <c r="R62" s="62"/>
      <c r="S62" s="62"/>
      <c r="T62" s="77"/>
      <c r="U62" s="77"/>
      <c r="V62" s="77"/>
      <c r="W62" s="77"/>
      <c r="X62" s="77"/>
      <c r="Y62" s="77"/>
      <c r="Z62" s="62"/>
      <c r="AA62" s="51"/>
      <c r="AB62" s="51"/>
      <c r="AC62" s="51"/>
      <c r="AD62" s="51"/>
      <c r="AE62" s="51"/>
      <c r="AF62" s="51"/>
    </row>
    <row r="63" spans="2:35" x14ac:dyDescent="0.2">
      <c r="B63" s="87">
        <v>52</v>
      </c>
      <c r="C63" s="54">
        <f t="shared" si="19"/>
        <v>0.05</v>
      </c>
      <c r="D63" s="54">
        <f t="shared" si="31"/>
        <v>7.0000000000000007E-2</v>
      </c>
      <c r="E63" s="54">
        <f>$E$3</f>
        <v>7.0000000000000007E-2</v>
      </c>
      <c r="F63" s="54">
        <f>$C$3</f>
        <v>-0.01</v>
      </c>
      <c r="G63" s="54">
        <f t="shared" si="20"/>
        <v>0.25</v>
      </c>
      <c r="H63" s="54">
        <f t="shared" si="32"/>
        <v>0.25</v>
      </c>
      <c r="I63" s="54">
        <f>$E$4</f>
        <v>0.25</v>
      </c>
      <c r="J63" s="54">
        <f>$C$4</f>
        <v>0.5</v>
      </c>
      <c r="K63" s="54">
        <f t="shared" si="23"/>
        <v>105</v>
      </c>
      <c r="L63" s="54">
        <f t="shared" si="24"/>
        <v>112.35000000000001</v>
      </c>
      <c r="M63" s="58">
        <f t="shared" si="25"/>
        <v>120.21450000000002</v>
      </c>
      <c r="N63" s="58">
        <f t="shared" si="26"/>
        <v>119.01235500000001</v>
      </c>
      <c r="O63" s="58">
        <f t="shared" si="27"/>
        <v>7.8125E-3</v>
      </c>
      <c r="P63" s="58">
        <f t="shared" si="28"/>
        <v>14163.940642646028</v>
      </c>
      <c r="R63" s="62"/>
      <c r="S63" s="62"/>
      <c r="T63" s="65"/>
      <c r="U63" s="65"/>
      <c r="V63" s="65"/>
      <c r="W63" s="65"/>
      <c r="X63" s="65"/>
      <c r="Y63" s="65"/>
      <c r="Z63" s="65"/>
      <c r="AA63" s="90"/>
      <c r="AB63" s="70"/>
      <c r="AC63" s="70"/>
      <c r="AD63" s="70"/>
      <c r="AE63" s="70"/>
      <c r="AF63" s="91"/>
    </row>
    <row r="64" spans="2:35" x14ac:dyDescent="0.2">
      <c r="B64" s="87">
        <v>53</v>
      </c>
      <c r="C64" s="54">
        <f t="shared" si="19"/>
        <v>0.05</v>
      </c>
      <c r="D64" s="54">
        <f t="shared" si="31"/>
        <v>7.0000000000000007E-2</v>
      </c>
      <c r="E64" s="54">
        <f>$E$3</f>
        <v>7.0000000000000007E-2</v>
      </c>
      <c r="F64" s="54">
        <f>$D$3</f>
        <v>0.05</v>
      </c>
      <c r="G64" s="54">
        <f t="shared" si="20"/>
        <v>0.25</v>
      </c>
      <c r="H64" s="54">
        <f t="shared" si="32"/>
        <v>0.25</v>
      </c>
      <c r="I64" s="54">
        <f>$E$4</f>
        <v>0.25</v>
      </c>
      <c r="J64" s="54">
        <f>$D$4</f>
        <v>0.25</v>
      </c>
      <c r="K64" s="54">
        <f t="shared" si="23"/>
        <v>105</v>
      </c>
      <c r="L64" s="54">
        <f t="shared" si="24"/>
        <v>112.35000000000001</v>
      </c>
      <c r="M64" s="58">
        <f t="shared" si="25"/>
        <v>120.21450000000002</v>
      </c>
      <c r="N64" s="58">
        <f t="shared" si="26"/>
        <v>126.22522500000002</v>
      </c>
      <c r="O64" s="58">
        <f t="shared" si="27"/>
        <v>3.90625E-3</v>
      </c>
      <c r="P64" s="58">
        <f t="shared" si="28"/>
        <v>15932.807426300631</v>
      </c>
      <c r="R64" s="62"/>
      <c r="S64" s="62"/>
      <c r="T64" s="65"/>
      <c r="U64" s="65"/>
      <c r="V64" s="65"/>
      <c r="W64" s="65"/>
      <c r="X64" s="65"/>
      <c r="Y64" s="65"/>
      <c r="Z64" s="65"/>
      <c r="AA64" s="90"/>
      <c r="AB64" s="67"/>
      <c r="AC64" s="67"/>
      <c r="AD64" s="67"/>
      <c r="AE64" s="67"/>
      <c r="AF64" s="91"/>
    </row>
    <row r="65" spans="2:32" x14ac:dyDescent="0.2">
      <c r="B65" s="87">
        <v>54</v>
      </c>
      <c r="C65" s="54">
        <f t="shared" si="19"/>
        <v>0.05</v>
      </c>
      <c r="D65" s="54">
        <f t="shared" si="31"/>
        <v>7.0000000000000007E-2</v>
      </c>
      <c r="E65" s="54">
        <f>$E$3</f>
        <v>7.0000000000000007E-2</v>
      </c>
      <c r="F65" s="54">
        <f>$E$3</f>
        <v>7.0000000000000007E-2</v>
      </c>
      <c r="G65" s="54">
        <f t="shared" si="20"/>
        <v>0.25</v>
      </c>
      <c r="H65" s="54">
        <f t="shared" si="32"/>
        <v>0.25</v>
      </c>
      <c r="I65" s="54">
        <f>$E$4</f>
        <v>0.25</v>
      </c>
      <c r="J65" s="54">
        <f>$E$4</f>
        <v>0.25</v>
      </c>
      <c r="K65" s="54">
        <f t="shared" si="23"/>
        <v>105</v>
      </c>
      <c r="L65" s="54">
        <f t="shared" si="24"/>
        <v>112.35000000000001</v>
      </c>
      <c r="M65" s="58">
        <f t="shared" si="25"/>
        <v>120.21450000000002</v>
      </c>
      <c r="N65" s="58">
        <f t="shared" si="26"/>
        <v>128.62951500000003</v>
      </c>
      <c r="O65" s="58">
        <f t="shared" si="27"/>
        <v>3.90625E-3</v>
      </c>
      <c r="P65" s="58">
        <f t="shared" si="28"/>
        <v>16545.552129135231</v>
      </c>
      <c r="R65" s="62"/>
      <c r="S65" s="62"/>
      <c r="T65" s="65"/>
      <c r="U65" s="65"/>
      <c r="V65" s="65"/>
      <c r="W65" s="65"/>
      <c r="X65" s="65"/>
      <c r="Y65" s="65"/>
      <c r="Z65" s="65"/>
      <c r="AA65" s="90"/>
      <c r="AB65" s="67"/>
      <c r="AC65" s="67"/>
      <c r="AD65" s="67"/>
      <c r="AE65" s="67"/>
      <c r="AF65" s="91"/>
    </row>
    <row r="66" spans="2:32" x14ac:dyDescent="0.2">
      <c r="B66" s="87">
        <v>55</v>
      </c>
      <c r="C66" s="54">
        <f t="shared" ref="C66:C92" si="33">$E$3</f>
        <v>7.0000000000000007E-2</v>
      </c>
      <c r="D66" s="54">
        <f>$C$3</f>
        <v>-0.01</v>
      </c>
      <c r="E66" s="54">
        <f>$C$3</f>
        <v>-0.01</v>
      </c>
      <c r="F66" s="54">
        <f>$C$3</f>
        <v>-0.01</v>
      </c>
      <c r="G66" s="54">
        <f t="shared" ref="G66:G92" si="34">$E$4</f>
        <v>0.25</v>
      </c>
      <c r="H66" s="54">
        <f>$C$4</f>
        <v>0.5</v>
      </c>
      <c r="I66" s="54">
        <f>$C$4</f>
        <v>0.5</v>
      </c>
      <c r="J66" s="54">
        <f>$C$4</f>
        <v>0.5</v>
      </c>
      <c r="K66" s="54">
        <f t="shared" si="23"/>
        <v>107</v>
      </c>
      <c r="L66" s="54">
        <f t="shared" si="24"/>
        <v>105.92999999999999</v>
      </c>
      <c r="M66" s="58">
        <f t="shared" si="25"/>
        <v>104.87069999999999</v>
      </c>
      <c r="N66" s="58">
        <f t="shared" si="26"/>
        <v>103.82199299999998</v>
      </c>
      <c r="O66" s="58">
        <f t="shared" si="27"/>
        <v>3.125E-2</v>
      </c>
      <c r="P66" s="58">
        <f t="shared" si="28"/>
        <v>10779.006230492045</v>
      </c>
      <c r="R66" s="62"/>
      <c r="S66" s="62"/>
      <c r="T66" s="65"/>
      <c r="U66" s="65"/>
      <c r="V66" s="65"/>
      <c r="W66" s="65"/>
      <c r="X66" s="65"/>
      <c r="Y66" s="65"/>
      <c r="Z66" s="65"/>
      <c r="AA66" s="90"/>
      <c r="AB66" s="67"/>
      <c r="AC66" s="67"/>
      <c r="AD66" s="67"/>
      <c r="AE66" s="67"/>
      <c r="AF66" s="91"/>
    </row>
    <row r="67" spans="2:32" x14ac:dyDescent="0.2">
      <c r="B67" s="87">
        <v>56</v>
      </c>
      <c r="C67" s="54">
        <f t="shared" si="33"/>
        <v>7.0000000000000007E-2</v>
      </c>
      <c r="D67" s="54">
        <f>$C$3</f>
        <v>-0.01</v>
      </c>
      <c r="E67" s="54">
        <f>$C$3</f>
        <v>-0.01</v>
      </c>
      <c r="F67" s="54">
        <f>$D$3</f>
        <v>0.05</v>
      </c>
      <c r="G67" s="54">
        <f t="shared" si="34"/>
        <v>0.25</v>
      </c>
      <c r="H67" s="54">
        <f>$C$4</f>
        <v>0.5</v>
      </c>
      <c r="I67" s="54">
        <f>$C$4</f>
        <v>0.5</v>
      </c>
      <c r="J67" s="54">
        <f>$D$4</f>
        <v>0.25</v>
      </c>
      <c r="K67" s="54">
        <f t="shared" si="23"/>
        <v>107</v>
      </c>
      <c r="L67" s="54">
        <f t="shared" si="24"/>
        <v>105.92999999999999</v>
      </c>
      <c r="M67" s="58">
        <f t="shared" si="25"/>
        <v>104.87069999999999</v>
      </c>
      <c r="N67" s="58">
        <f t="shared" si="26"/>
        <v>110.11423499999999</v>
      </c>
      <c r="O67" s="58">
        <f t="shared" si="27"/>
        <v>1.5625E-2</v>
      </c>
      <c r="P67" s="58">
        <f t="shared" si="28"/>
        <v>12125.144749635223</v>
      </c>
      <c r="R67" s="62"/>
      <c r="S67" s="62"/>
      <c r="T67" s="65"/>
      <c r="U67" s="65"/>
      <c r="V67" s="65"/>
      <c r="W67" s="65"/>
      <c r="X67" s="65"/>
      <c r="Y67" s="65"/>
      <c r="Z67" s="65"/>
      <c r="AA67" s="90"/>
      <c r="AB67" s="67"/>
      <c r="AC67" s="67"/>
      <c r="AD67" s="67"/>
      <c r="AE67" s="67"/>
      <c r="AF67" s="91"/>
    </row>
    <row r="68" spans="2:32" x14ac:dyDescent="0.2">
      <c r="B68" s="87">
        <v>57</v>
      </c>
      <c r="C68" s="54">
        <f t="shared" si="33"/>
        <v>7.0000000000000007E-2</v>
      </c>
      <c r="D68" s="54">
        <f>$C$3</f>
        <v>-0.01</v>
      </c>
      <c r="E68" s="54">
        <f>$C$3</f>
        <v>-0.01</v>
      </c>
      <c r="F68" s="54">
        <f>$E$3</f>
        <v>7.0000000000000007E-2</v>
      </c>
      <c r="G68" s="54">
        <f t="shared" si="34"/>
        <v>0.25</v>
      </c>
      <c r="H68" s="54">
        <f>$C$4</f>
        <v>0.5</v>
      </c>
      <c r="I68" s="54">
        <f>$C$4</f>
        <v>0.5</v>
      </c>
      <c r="J68" s="54">
        <f>$E$4</f>
        <v>0.25</v>
      </c>
      <c r="K68" s="54">
        <f t="shared" si="23"/>
        <v>107</v>
      </c>
      <c r="L68" s="54">
        <f t="shared" si="24"/>
        <v>105.92999999999999</v>
      </c>
      <c r="M68" s="58">
        <f t="shared" si="25"/>
        <v>104.87069999999999</v>
      </c>
      <c r="N68" s="58">
        <f t="shared" si="26"/>
        <v>112.21164899999999</v>
      </c>
      <c r="O68" s="58">
        <f t="shared" si="27"/>
        <v>1.5625E-2</v>
      </c>
      <c r="P68" s="58">
        <f t="shared" si="28"/>
        <v>12591.4541712992</v>
      </c>
      <c r="R68" s="62"/>
      <c r="S68" s="62"/>
      <c r="T68" s="65"/>
      <c r="U68" s="65"/>
      <c r="V68" s="65"/>
      <c r="W68" s="65"/>
      <c r="X68" s="65"/>
      <c r="Y68" s="65"/>
      <c r="Z68" s="65"/>
      <c r="AA68" s="90"/>
      <c r="AB68" s="81"/>
      <c r="AC68" s="82"/>
      <c r="AD68" s="67"/>
      <c r="AE68" s="67"/>
      <c r="AF68" s="89"/>
    </row>
    <row r="69" spans="2:32" x14ac:dyDescent="0.2">
      <c r="B69" s="87">
        <v>58</v>
      </c>
      <c r="C69" s="54">
        <f t="shared" si="33"/>
        <v>7.0000000000000007E-2</v>
      </c>
      <c r="D69" s="54">
        <f t="shared" ref="D69:D74" si="35">$C$3</f>
        <v>-0.01</v>
      </c>
      <c r="E69" s="54">
        <f>$D$3</f>
        <v>0.05</v>
      </c>
      <c r="F69" s="54">
        <f>$C$3</f>
        <v>-0.01</v>
      </c>
      <c r="G69" s="54">
        <f t="shared" si="34"/>
        <v>0.25</v>
      </c>
      <c r="H69" s="54">
        <f t="shared" ref="H69:H74" si="36">$C$4</f>
        <v>0.5</v>
      </c>
      <c r="I69" s="54">
        <f>$D$4</f>
        <v>0.25</v>
      </c>
      <c r="J69" s="54">
        <f>$C$4</f>
        <v>0.5</v>
      </c>
      <c r="K69" s="54">
        <f t="shared" si="23"/>
        <v>107</v>
      </c>
      <c r="L69" s="54">
        <f t="shared" si="24"/>
        <v>105.92999999999999</v>
      </c>
      <c r="M69" s="58">
        <f t="shared" si="25"/>
        <v>111.2265</v>
      </c>
      <c r="N69" s="58">
        <f t="shared" si="26"/>
        <v>110.11423499999999</v>
      </c>
      <c r="O69" s="58">
        <f t="shared" si="27"/>
        <v>1.5625E-2</v>
      </c>
      <c r="P69" s="58">
        <f t="shared" si="28"/>
        <v>12125.144749635223</v>
      </c>
      <c r="R69" s="51"/>
      <c r="S69" s="51"/>
      <c r="T69" s="74"/>
      <c r="U69" s="67"/>
      <c r="V69" s="67"/>
      <c r="W69" s="67"/>
      <c r="X69" s="67"/>
      <c r="Y69" s="67"/>
      <c r="Z69" s="70"/>
      <c r="AA69" s="74"/>
      <c r="AD69" s="62"/>
      <c r="AE69" s="88"/>
      <c r="AF69" s="69"/>
    </row>
    <row r="70" spans="2:32" x14ac:dyDescent="0.2">
      <c r="B70" s="87">
        <v>59</v>
      </c>
      <c r="C70" s="54">
        <f t="shared" si="33"/>
        <v>7.0000000000000007E-2</v>
      </c>
      <c r="D70" s="54">
        <f t="shared" si="35"/>
        <v>-0.01</v>
      </c>
      <c r="E70" s="54">
        <f>$D$3</f>
        <v>0.05</v>
      </c>
      <c r="F70" s="54">
        <f>$D$3</f>
        <v>0.05</v>
      </c>
      <c r="G70" s="54">
        <f t="shared" si="34"/>
        <v>0.25</v>
      </c>
      <c r="H70" s="54">
        <f t="shared" si="36"/>
        <v>0.5</v>
      </c>
      <c r="I70" s="54">
        <f>$D$4</f>
        <v>0.25</v>
      </c>
      <c r="J70" s="54">
        <f>$D$4</f>
        <v>0.25</v>
      </c>
      <c r="K70" s="54">
        <f t="shared" si="23"/>
        <v>107</v>
      </c>
      <c r="L70" s="54">
        <f t="shared" si="24"/>
        <v>105.92999999999999</v>
      </c>
      <c r="M70" s="58">
        <f t="shared" si="25"/>
        <v>111.2265</v>
      </c>
      <c r="N70" s="58">
        <f t="shared" si="26"/>
        <v>116.78782500000001</v>
      </c>
      <c r="O70" s="58">
        <f t="shared" si="27"/>
        <v>7.8125E-3</v>
      </c>
      <c r="P70" s="58">
        <f t="shared" si="28"/>
        <v>13639.396068230628</v>
      </c>
      <c r="R70" s="51"/>
      <c r="S70" s="51"/>
      <c r="T70" s="84"/>
      <c r="U70" s="84"/>
      <c r="V70" s="84"/>
      <c r="W70" s="84"/>
      <c r="X70" s="84"/>
      <c r="Y70" s="84"/>
      <c r="Z70" s="74"/>
      <c r="AA70" s="74"/>
      <c r="AC70" s="62"/>
      <c r="AD70" s="62"/>
      <c r="AE70" s="62"/>
      <c r="AF70" s="62"/>
    </row>
    <row r="71" spans="2:32" x14ac:dyDescent="0.2">
      <c r="B71" s="87">
        <v>60</v>
      </c>
      <c r="C71" s="54">
        <f t="shared" si="33"/>
        <v>7.0000000000000007E-2</v>
      </c>
      <c r="D71" s="54">
        <f t="shared" si="35"/>
        <v>-0.01</v>
      </c>
      <c r="E71" s="54">
        <f>$D$3</f>
        <v>0.05</v>
      </c>
      <c r="F71" s="54">
        <f>$E$3</f>
        <v>7.0000000000000007E-2</v>
      </c>
      <c r="G71" s="54">
        <f t="shared" si="34"/>
        <v>0.25</v>
      </c>
      <c r="H71" s="54">
        <f t="shared" si="36"/>
        <v>0.5</v>
      </c>
      <c r="I71" s="54">
        <f>$D$4</f>
        <v>0.25</v>
      </c>
      <c r="J71" s="54">
        <f>$E$4</f>
        <v>0.25</v>
      </c>
      <c r="K71" s="54">
        <f t="shared" si="23"/>
        <v>107</v>
      </c>
      <c r="L71" s="54">
        <f t="shared" si="24"/>
        <v>105.92999999999999</v>
      </c>
      <c r="M71" s="58">
        <f t="shared" si="25"/>
        <v>111.2265</v>
      </c>
      <c r="N71" s="58">
        <f t="shared" si="26"/>
        <v>119.01235500000001</v>
      </c>
      <c r="O71" s="58">
        <f t="shared" si="27"/>
        <v>7.8125E-3</v>
      </c>
      <c r="P71" s="58">
        <f t="shared" si="28"/>
        <v>14163.940642646028</v>
      </c>
    </row>
    <row r="72" spans="2:32" x14ac:dyDescent="0.2">
      <c r="B72" s="87">
        <v>61</v>
      </c>
      <c r="C72" s="54">
        <f t="shared" si="33"/>
        <v>7.0000000000000007E-2</v>
      </c>
      <c r="D72" s="54">
        <f t="shared" si="35"/>
        <v>-0.01</v>
      </c>
      <c r="E72" s="54">
        <f>$E$3</f>
        <v>7.0000000000000007E-2</v>
      </c>
      <c r="F72" s="54">
        <f>$C$3</f>
        <v>-0.01</v>
      </c>
      <c r="G72" s="54">
        <f t="shared" si="34"/>
        <v>0.25</v>
      </c>
      <c r="H72" s="54">
        <f t="shared" si="36"/>
        <v>0.5</v>
      </c>
      <c r="I72" s="54">
        <f>$E$4</f>
        <v>0.25</v>
      </c>
      <c r="J72" s="54">
        <f>$C$4</f>
        <v>0.5</v>
      </c>
      <c r="K72" s="54">
        <f t="shared" si="23"/>
        <v>107</v>
      </c>
      <c r="L72" s="54">
        <f t="shared" si="24"/>
        <v>105.92999999999999</v>
      </c>
      <c r="M72" s="58">
        <f t="shared" si="25"/>
        <v>113.3451</v>
      </c>
      <c r="N72" s="58">
        <f t="shared" si="26"/>
        <v>112.21164899999999</v>
      </c>
      <c r="O72" s="58">
        <f t="shared" si="27"/>
        <v>1.5625E-2</v>
      </c>
      <c r="P72" s="58">
        <f t="shared" si="28"/>
        <v>12591.4541712992</v>
      </c>
      <c r="R72" s="51"/>
      <c r="S72" s="59"/>
      <c r="T72" s="69"/>
      <c r="U72" s="69"/>
      <c r="V72" s="69"/>
      <c r="W72" s="69"/>
      <c r="X72" s="69"/>
      <c r="Y72" s="69"/>
      <c r="Z72" s="69"/>
      <c r="AA72" s="69"/>
      <c r="AB72" s="69"/>
      <c r="AC72" s="60"/>
    </row>
    <row r="73" spans="2:32" x14ac:dyDescent="0.2">
      <c r="B73" s="87">
        <v>62</v>
      </c>
      <c r="C73" s="54">
        <f t="shared" si="33"/>
        <v>7.0000000000000007E-2</v>
      </c>
      <c r="D73" s="54">
        <f t="shared" si="35"/>
        <v>-0.01</v>
      </c>
      <c r="E73" s="54">
        <f>$E$3</f>
        <v>7.0000000000000007E-2</v>
      </c>
      <c r="F73" s="54">
        <f>$D$3</f>
        <v>0.05</v>
      </c>
      <c r="G73" s="54">
        <f t="shared" si="34"/>
        <v>0.25</v>
      </c>
      <c r="H73" s="54">
        <f t="shared" si="36"/>
        <v>0.5</v>
      </c>
      <c r="I73" s="54">
        <f>$E$4</f>
        <v>0.25</v>
      </c>
      <c r="J73" s="54">
        <f>$D$4</f>
        <v>0.25</v>
      </c>
      <c r="K73" s="54">
        <f t="shared" si="23"/>
        <v>107</v>
      </c>
      <c r="L73" s="54">
        <f t="shared" si="24"/>
        <v>105.92999999999999</v>
      </c>
      <c r="M73" s="58">
        <f t="shared" si="25"/>
        <v>113.3451</v>
      </c>
      <c r="N73" s="58">
        <f t="shared" si="26"/>
        <v>119.01235500000001</v>
      </c>
      <c r="O73" s="58">
        <f t="shared" si="27"/>
        <v>7.8125E-3</v>
      </c>
      <c r="P73" s="58">
        <f t="shared" si="28"/>
        <v>14163.940642646028</v>
      </c>
      <c r="R73" s="62"/>
      <c r="S73" s="62"/>
      <c r="T73" s="77"/>
      <c r="U73" s="77"/>
      <c r="V73" s="77"/>
      <c r="W73" s="77"/>
      <c r="X73" s="77"/>
      <c r="Y73" s="77"/>
      <c r="Z73" s="77"/>
      <c r="AA73" s="77"/>
      <c r="AB73" s="77"/>
      <c r="AC73" s="62"/>
      <c r="AD73" s="51"/>
      <c r="AE73" s="51"/>
      <c r="AF73" s="51"/>
    </row>
    <row r="74" spans="2:32" x14ac:dyDescent="0.2">
      <c r="B74" s="87">
        <v>63</v>
      </c>
      <c r="C74" s="54">
        <f t="shared" si="33"/>
        <v>7.0000000000000007E-2</v>
      </c>
      <c r="D74" s="54">
        <f t="shared" si="35"/>
        <v>-0.01</v>
      </c>
      <c r="E74" s="54">
        <f>$E$3</f>
        <v>7.0000000000000007E-2</v>
      </c>
      <c r="F74" s="54">
        <f>$E$3</f>
        <v>7.0000000000000007E-2</v>
      </c>
      <c r="G74" s="54">
        <f t="shared" si="34"/>
        <v>0.25</v>
      </c>
      <c r="H74" s="54">
        <f t="shared" si="36"/>
        <v>0.5</v>
      </c>
      <c r="I74" s="54">
        <f>$E$4</f>
        <v>0.25</v>
      </c>
      <c r="J74" s="54">
        <f>$E$4</f>
        <v>0.25</v>
      </c>
      <c r="K74" s="54">
        <f t="shared" si="23"/>
        <v>107</v>
      </c>
      <c r="L74" s="54">
        <f t="shared" si="24"/>
        <v>105.92999999999999</v>
      </c>
      <c r="M74" s="58">
        <f t="shared" si="25"/>
        <v>113.3451</v>
      </c>
      <c r="N74" s="58">
        <f t="shared" si="26"/>
        <v>121.27925700000002</v>
      </c>
      <c r="O74" s="58">
        <f t="shared" si="27"/>
        <v>7.8125E-3</v>
      </c>
      <c r="P74" s="58">
        <f t="shared" si="28"/>
        <v>14708.658178472053</v>
      </c>
      <c r="R74" s="62"/>
      <c r="S74" s="62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6"/>
      <c r="AE74" s="67"/>
      <c r="AF74" s="67"/>
    </row>
    <row r="75" spans="2:32" x14ac:dyDescent="0.2">
      <c r="B75" s="87">
        <v>64</v>
      </c>
      <c r="C75" s="54">
        <f t="shared" si="33"/>
        <v>7.0000000000000007E-2</v>
      </c>
      <c r="D75" s="54">
        <f t="shared" ref="D75:D83" si="37">$D$3</f>
        <v>0.05</v>
      </c>
      <c r="E75" s="54">
        <f>$C$3</f>
        <v>-0.01</v>
      </c>
      <c r="F75" s="54">
        <f>$C$3</f>
        <v>-0.01</v>
      </c>
      <c r="G75" s="54">
        <f t="shared" si="34"/>
        <v>0.25</v>
      </c>
      <c r="H75" s="54">
        <f t="shared" ref="H75:H83" si="38">$D$4</f>
        <v>0.25</v>
      </c>
      <c r="I75" s="54">
        <f>$C$4</f>
        <v>0.5</v>
      </c>
      <c r="J75" s="54">
        <f>$C$4</f>
        <v>0.5</v>
      </c>
      <c r="K75" s="54">
        <f t="shared" si="23"/>
        <v>107</v>
      </c>
      <c r="L75" s="54">
        <f t="shared" si="24"/>
        <v>112.35000000000001</v>
      </c>
      <c r="M75" s="58">
        <f t="shared" si="25"/>
        <v>111.2265</v>
      </c>
      <c r="N75" s="58">
        <f t="shared" si="26"/>
        <v>110.11423499999999</v>
      </c>
      <c r="O75" s="58">
        <f t="shared" si="27"/>
        <v>1.5625E-2</v>
      </c>
      <c r="P75" s="58">
        <f t="shared" si="28"/>
        <v>12125.144749635223</v>
      </c>
      <c r="R75" s="62"/>
      <c r="S75" s="62"/>
      <c r="T75" s="65"/>
      <c r="U75" s="65"/>
      <c r="V75" s="65"/>
      <c r="W75" s="65"/>
      <c r="X75" s="65"/>
      <c r="Y75" s="81"/>
      <c r="Z75" s="65"/>
      <c r="AA75" s="65"/>
      <c r="AB75" s="65"/>
      <c r="AC75" s="65"/>
      <c r="AD75" s="66"/>
      <c r="AE75" s="67"/>
      <c r="AF75" s="67"/>
    </row>
    <row r="76" spans="2:32" x14ac:dyDescent="0.2">
      <c r="B76" s="87">
        <v>65</v>
      </c>
      <c r="C76" s="54">
        <f t="shared" si="33"/>
        <v>7.0000000000000007E-2</v>
      </c>
      <c r="D76" s="54">
        <f t="shared" si="37"/>
        <v>0.05</v>
      </c>
      <c r="E76" s="54">
        <f>$C$3</f>
        <v>-0.01</v>
      </c>
      <c r="F76" s="54">
        <f>$D$3</f>
        <v>0.05</v>
      </c>
      <c r="G76" s="54">
        <f t="shared" si="34"/>
        <v>0.25</v>
      </c>
      <c r="H76" s="54">
        <f t="shared" si="38"/>
        <v>0.25</v>
      </c>
      <c r="I76" s="54">
        <f>$C$4</f>
        <v>0.5</v>
      </c>
      <c r="J76" s="54">
        <f>$D$4</f>
        <v>0.25</v>
      </c>
      <c r="K76" s="54">
        <f t="shared" ref="K76:K92" si="39">$C$2*(1+C76)</f>
        <v>107</v>
      </c>
      <c r="L76" s="54">
        <f t="shared" ref="L76:L92" si="40">K76*(1+D76)</f>
        <v>112.35000000000001</v>
      </c>
      <c r="M76" s="58">
        <f t="shared" ref="M76:M92" si="41">L76*(1+E76)</f>
        <v>111.2265</v>
      </c>
      <c r="N76" s="58">
        <f t="shared" ref="N76:N92" si="42">M76*(1+F76)</f>
        <v>116.78782500000001</v>
      </c>
      <c r="O76" s="58">
        <f t="shared" ref="O76:O92" si="43">G76*H76*I76*J76</f>
        <v>7.8125E-3</v>
      </c>
      <c r="P76" s="58">
        <f t="shared" ref="P76:P92" si="44">N76^2</f>
        <v>13639.396068230628</v>
      </c>
      <c r="R76" s="62"/>
      <c r="S76" s="62"/>
      <c r="T76" s="65"/>
      <c r="U76" s="65"/>
      <c r="V76" s="65"/>
      <c r="W76" s="65"/>
      <c r="X76" s="81"/>
      <c r="Y76" s="81"/>
      <c r="Z76" s="65"/>
      <c r="AA76" s="65"/>
      <c r="AB76" s="65"/>
      <c r="AC76" s="65"/>
      <c r="AD76" s="66"/>
      <c r="AE76" s="67"/>
      <c r="AF76" s="67"/>
    </row>
    <row r="77" spans="2:32" x14ac:dyDescent="0.2">
      <c r="B77" s="87">
        <v>66</v>
      </c>
      <c r="C77" s="54">
        <f t="shared" si="33"/>
        <v>7.0000000000000007E-2</v>
      </c>
      <c r="D77" s="54">
        <f t="shared" si="37"/>
        <v>0.05</v>
      </c>
      <c r="E77" s="54">
        <f>$C$3</f>
        <v>-0.01</v>
      </c>
      <c r="F77" s="54">
        <f>$E$3</f>
        <v>7.0000000000000007E-2</v>
      </c>
      <c r="G77" s="54">
        <f t="shared" si="34"/>
        <v>0.25</v>
      </c>
      <c r="H77" s="54">
        <f t="shared" si="38"/>
        <v>0.25</v>
      </c>
      <c r="I77" s="54">
        <f>$C$4</f>
        <v>0.5</v>
      </c>
      <c r="J77" s="54">
        <f>$E$4</f>
        <v>0.25</v>
      </c>
      <c r="K77" s="54">
        <f t="shared" si="39"/>
        <v>107</v>
      </c>
      <c r="L77" s="54">
        <f t="shared" si="40"/>
        <v>112.35000000000001</v>
      </c>
      <c r="M77" s="58">
        <f t="shared" si="41"/>
        <v>111.2265</v>
      </c>
      <c r="N77" s="58">
        <f t="shared" si="42"/>
        <v>119.01235500000001</v>
      </c>
      <c r="O77" s="58">
        <f t="shared" si="43"/>
        <v>7.8125E-3</v>
      </c>
      <c r="P77" s="58">
        <f t="shared" si="44"/>
        <v>14163.940642646028</v>
      </c>
      <c r="R77" s="62"/>
      <c r="S77" s="62"/>
      <c r="T77" s="65"/>
      <c r="U77" s="65"/>
      <c r="V77" s="65"/>
      <c r="W77" s="81"/>
      <c r="X77" s="81"/>
      <c r="Y77" s="81"/>
      <c r="Z77" s="65"/>
      <c r="AA77" s="65"/>
      <c r="AB77" s="65"/>
      <c r="AC77" s="65"/>
      <c r="AD77" s="66"/>
      <c r="AE77" s="67"/>
      <c r="AF77" s="67"/>
    </row>
    <row r="78" spans="2:32" x14ac:dyDescent="0.2">
      <c r="B78" s="87">
        <v>67</v>
      </c>
      <c r="C78" s="54">
        <f t="shared" si="33"/>
        <v>7.0000000000000007E-2</v>
      </c>
      <c r="D78" s="54">
        <f t="shared" si="37"/>
        <v>0.05</v>
      </c>
      <c r="E78" s="54">
        <f>$D$3</f>
        <v>0.05</v>
      </c>
      <c r="F78" s="54">
        <f>$C$3</f>
        <v>-0.01</v>
      </c>
      <c r="G78" s="54">
        <f t="shared" si="34"/>
        <v>0.25</v>
      </c>
      <c r="H78" s="54">
        <f t="shared" si="38"/>
        <v>0.25</v>
      </c>
      <c r="I78" s="54">
        <f>$D$4</f>
        <v>0.25</v>
      </c>
      <c r="J78" s="54">
        <f>$C$4</f>
        <v>0.5</v>
      </c>
      <c r="K78" s="54">
        <f t="shared" si="39"/>
        <v>107</v>
      </c>
      <c r="L78" s="54">
        <f t="shared" si="40"/>
        <v>112.35000000000001</v>
      </c>
      <c r="M78" s="58">
        <f t="shared" si="41"/>
        <v>117.96750000000002</v>
      </c>
      <c r="N78" s="58">
        <f t="shared" si="42"/>
        <v>116.78782500000001</v>
      </c>
      <c r="O78" s="58">
        <f t="shared" si="43"/>
        <v>7.8125E-3</v>
      </c>
      <c r="P78" s="58">
        <f t="shared" si="44"/>
        <v>13639.396068230628</v>
      </c>
      <c r="R78" s="62"/>
      <c r="S78" s="62"/>
      <c r="T78" s="65"/>
      <c r="U78" s="65"/>
      <c r="V78" s="81"/>
      <c r="W78" s="81"/>
      <c r="X78" s="81"/>
      <c r="Y78" s="81"/>
      <c r="Z78" s="65"/>
      <c r="AA78" s="65"/>
      <c r="AB78" s="65"/>
      <c r="AC78" s="65"/>
      <c r="AD78" s="66"/>
      <c r="AE78" s="67"/>
      <c r="AF78" s="67"/>
    </row>
    <row r="79" spans="2:32" x14ac:dyDescent="0.2">
      <c r="B79" s="87">
        <v>68</v>
      </c>
      <c r="C79" s="54">
        <f t="shared" si="33"/>
        <v>7.0000000000000007E-2</v>
      </c>
      <c r="D79" s="54">
        <f t="shared" si="37"/>
        <v>0.05</v>
      </c>
      <c r="E79" s="54">
        <f>$D$3</f>
        <v>0.05</v>
      </c>
      <c r="F79" s="54">
        <f>$D$3</f>
        <v>0.05</v>
      </c>
      <c r="G79" s="54">
        <f t="shared" si="34"/>
        <v>0.25</v>
      </c>
      <c r="H79" s="54">
        <f t="shared" si="38"/>
        <v>0.25</v>
      </c>
      <c r="I79" s="54">
        <f>$D$4</f>
        <v>0.25</v>
      </c>
      <c r="J79" s="54">
        <f>$D$4</f>
        <v>0.25</v>
      </c>
      <c r="K79" s="54">
        <f t="shared" si="39"/>
        <v>107</v>
      </c>
      <c r="L79" s="54">
        <f t="shared" si="40"/>
        <v>112.35000000000001</v>
      </c>
      <c r="M79" s="58">
        <f t="shared" si="41"/>
        <v>117.96750000000002</v>
      </c>
      <c r="N79" s="58">
        <f t="shared" si="42"/>
        <v>123.86587500000002</v>
      </c>
      <c r="O79" s="58">
        <f t="shared" si="43"/>
        <v>3.90625E-3</v>
      </c>
      <c r="P79" s="58">
        <f t="shared" si="44"/>
        <v>15342.75498951563</v>
      </c>
      <c r="R79" s="62"/>
      <c r="S79" s="62"/>
      <c r="T79" s="65"/>
      <c r="U79" s="81"/>
      <c r="V79" s="81"/>
      <c r="W79" s="81"/>
      <c r="X79" s="81"/>
      <c r="Y79" s="81"/>
      <c r="Z79" s="65"/>
      <c r="AA79" s="65"/>
      <c r="AB79" s="65"/>
      <c r="AC79" s="65"/>
      <c r="AD79" s="66"/>
      <c r="AE79" s="81"/>
      <c r="AF79" s="82"/>
    </row>
    <row r="80" spans="2:32" x14ac:dyDescent="0.2">
      <c r="B80" s="87">
        <v>69</v>
      </c>
      <c r="C80" s="54">
        <f t="shared" si="33"/>
        <v>7.0000000000000007E-2</v>
      </c>
      <c r="D80" s="54">
        <f t="shared" si="37"/>
        <v>0.05</v>
      </c>
      <c r="E80" s="54">
        <f>$D$3</f>
        <v>0.05</v>
      </c>
      <c r="F80" s="54">
        <f>$E$3</f>
        <v>7.0000000000000007E-2</v>
      </c>
      <c r="G80" s="54">
        <f t="shared" si="34"/>
        <v>0.25</v>
      </c>
      <c r="H80" s="54">
        <f t="shared" si="38"/>
        <v>0.25</v>
      </c>
      <c r="I80" s="54">
        <f>$D$4</f>
        <v>0.25</v>
      </c>
      <c r="J80" s="54">
        <f>$E$4</f>
        <v>0.25</v>
      </c>
      <c r="K80" s="54">
        <f t="shared" si="39"/>
        <v>107</v>
      </c>
      <c r="L80" s="54">
        <f t="shared" si="40"/>
        <v>112.35000000000001</v>
      </c>
      <c r="M80" s="58">
        <f t="shared" si="41"/>
        <v>117.96750000000002</v>
      </c>
      <c r="N80" s="58">
        <f t="shared" si="42"/>
        <v>126.22522500000002</v>
      </c>
      <c r="O80" s="58">
        <f t="shared" si="43"/>
        <v>3.90625E-3</v>
      </c>
      <c r="P80" s="58">
        <f t="shared" si="44"/>
        <v>15932.807426300631</v>
      </c>
      <c r="R80" s="51"/>
      <c r="S80" s="51"/>
      <c r="T80" s="85"/>
      <c r="U80" s="67"/>
      <c r="V80" s="67"/>
      <c r="W80" s="67"/>
      <c r="X80" s="67"/>
      <c r="Y80" s="67"/>
      <c r="Z80" s="67"/>
      <c r="AA80" s="67"/>
      <c r="AB80" s="67"/>
      <c r="AC80" s="70"/>
      <c r="AD80" s="74"/>
    </row>
    <row r="81" spans="2:32" x14ac:dyDescent="0.2">
      <c r="B81" s="87">
        <v>70</v>
      </c>
      <c r="C81" s="54">
        <f t="shared" si="33"/>
        <v>7.0000000000000007E-2</v>
      </c>
      <c r="D81" s="54">
        <f t="shared" si="37"/>
        <v>0.05</v>
      </c>
      <c r="E81" s="54">
        <f>$E$3</f>
        <v>7.0000000000000007E-2</v>
      </c>
      <c r="F81" s="54">
        <f>$C$3</f>
        <v>-0.01</v>
      </c>
      <c r="G81" s="54">
        <f t="shared" si="34"/>
        <v>0.25</v>
      </c>
      <c r="H81" s="54">
        <f t="shared" si="38"/>
        <v>0.25</v>
      </c>
      <c r="I81" s="54">
        <f>$E$4</f>
        <v>0.25</v>
      </c>
      <c r="J81" s="54">
        <f>$C$4</f>
        <v>0.5</v>
      </c>
      <c r="K81" s="54">
        <f t="shared" si="39"/>
        <v>107</v>
      </c>
      <c r="L81" s="54">
        <f t="shared" si="40"/>
        <v>112.35000000000001</v>
      </c>
      <c r="M81" s="58">
        <f t="shared" si="41"/>
        <v>120.21450000000002</v>
      </c>
      <c r="N81" s="58">
        <f t="shared" si="42"/>
        <v>119.01235500000001</v>
      </c>
      <c r="O81" s="58">
        <f t="shared" si="43"/>
        <v>7.8125E-3</v>
      </c>
      <c r="P81" s="58">
        <f t="shared" si="44"/>
        <v>14163.940642646028</v>
      </c>
      <c r="X81" s="51"/>
      <c r="Y81" s="74"/>
      <c r="Z81" s="80"/>
      <c r="AA81" s="80"/>
      <c r="AB81" s="80"/>
      <c r="AC81" s="67"/>
      <c r="AD81" s="74"/>
      <c r="AF81" s="62"/>
    </row>
    <row r="82" spans="2:32" x14ac:dyDescent="0.2">
      <c r="B82" s="87">
        <v>71</v>
      </c>
      <c r="C82" s="54">
        <f t="shared" si="33"/>
        <v>7.0000000000000007E-2</v>
      </c>
      <c r="D82" s="54">
        <f t="shared" si="37"/>
        <v>0.05</v>
      </c>
      <c r="E82" s="54">
        <f>$E$3</f>
        <v>7.0000000000000007E-2</v>
      </c>
      <c r="F82" s="54">
        <f>$D$3</f>
        <v>0.05</v>
      </c>
      <c r="G82" s="54">
        <f t="shared" si="34"/>
        <v>0.25</v>
      </c>
      <c r="H82" s="54">
        <f t="shared" si="38"/>
        <v>0.25</v>
      </c>
      <c r="I82" s="54">
        <f>$E$4</f>
        <v>0.25</v>
      </c>
      <c r="J82" s="54">
        <f>$D$4</f>
        <v>0.25</v>
      </c>
      <c r="K82" s="54">
        <f t="shared" si="39"/>
        <v>107</v>
      </c>
      <c r="L82" s="54">
        <f t="shared" si="40"/>
        <v>112.35000000000001</v>
      </c>
      <c r="M82" s="58">
        <f t="shared" si="41"/>
        <v>120.21450000000002</v>
      </c>
      <c r="N82" s="58">
        <f t="shared" si="42"/>
        <v>126.22522500000002</v>
      </c>
      <c r="O82" s="58">
        <f t="shared" si="43"/>
        <v>3.90625E-3</v>
      </c>
      <c r="P82" s="58">
        <f t="shared" si="44"/>
        <v>15932.807426300631</v>
      </c>
    </row>
    <row r="83" spans="2:32" x14ac:dyDescent="0.2">
      <c r="B83" s="87">
        <v>72</v>
      </c>
      <c r="C83" s="54">
        <f t="shared" si="33"/>
        <v>7.0000000000000007E-2</v>
      </c>
      <c r="D83" s="54">
        <f t="shared" si="37"/>
        <v>0.05</v>
      </c>
      <c r="E83" s="54">
        <f>$E$3</f>
        <v>7.0000000000000007E-2</v>
      </c>
      <c r="F83" s="54">
        <f>$E$3</f>
        <v>7.0000000000000007E-2</v>
      </c>
      <c r="G83" s="54">
        <f t="shared" si="34"/>
        <v>0.25</v>
      </c>
      <c r="H83" s="54">
        <f t="shared" si="38"/>
        <v>0.25</v>
      </c>
      <c r="I83" s="54">
        <f>$E$4</f>
        <v>0.25</v>
      </c>
      <c r="J83" s="54">
        <f>$E$4</f>
        <v>0.25</v>
      </c>
      <c r="K83" s="54">
        <f t="shared" si="39"/>
        <v>107</v>
      </c>
      <c r="L83" s="54">
        <f t="shared" si="40"/>
        <v>112.35000000000001</v>
      </c>
      <c r="M83" s="58">
        <f t="shared" si="41"/>
        <v>120.21450000000002</v>
      </c>
      <c r="N83" s="58">
        <f t="shared" si="42"/>
        <v>128.62951500000003</v>
      </c>
      <c r="O83" s="58">
        <f t="shared" si="43"/>
        <v>3.90625E-3</v>
      </c>
      <c r="P83" s="58">
        <f t="shared" si="44"/>
        <v>16545.552129135231</v>
      </c>
    </row>
    <row r="84" spans="2:32" x14ac:dyDescent="0.2">
      <c r="B84" s="87">
        <v>73</v>
      </c>
      <c r="C84" s="54">
        <f t="shared" si="33"/>
        <v>7.0000000000000007E-2</v>
      </c>
      <c r="D84" s="54">
        <f t="shared" ref="D84:D92" si="45">$E$3</f>
        <v>7.0000000000000007E-2</v>
      </c>
      <c r="E84" s="54">
        <f>$C$3</f>
        <v>-0.01</v>
      </c>
      <c r="F84" s="54">
        <f>$C$3</f>
        <v>-0.01</v>
      </c>
      <c r="G84" s="54">
        <f t="shared" si="34"/>
        <v>0.25</v>
      </c>
      <c r="H84" s="54">
        <f t="shared" ref="H84:H92" si="46">$E$4</f>
        <v>0.25</v>
      </c>
      <c r="I84" s="54">
        <f>$C$4</f>
        <v>0.5</v>
      </c>
      <c r="J84" s="54">
        <f>$C$4</f>
        <v>0.5</v>
      </c>
      <c r="K84" s="54">
        <f t="shared" si="39"/>
        <v>107</v>
      </c>
      <c r="L84" s="54">
        <f t="shared" si="40"/>
        <v>114.49000000000001</v>
      </c>
      <c r="M84" s="58">
        <f t="shared" si="41"/>
        <v>113.3451</v>
      </c>
      <c r="N84" s="58">
        <f t="shared" si="42"/>
        <v>112.21164899999999</v>
      </c>
      <c r="O84" s="58">
        <f t="shared" si="43"/>
        <v>1.5625E-2</v>
      </c>
      <c r="P84" s="58">
        <f t="shared" si="44"/>
        <v>12591.4541712992</v>
      </c>
    </row>
    <row r="85" spans="2:32" x14ac:dyDescent="0.2">
      <c r="B85" s="87">
        <v>74</v>
      </c>
      <c r="C85" s="54">
        <f t="shared" si="33"/>
        <v>7.0000000000000007E-2</v>
      </c>
      <c r="D85" s="54">
        <f t="shared" si="45"/>
        <v>7.0000000000000007E-2</v>
      </c>
      <c r="E85" s="54">
        <f>$C$3</f>
        <v>-0.01</v>
      </c>
      <c r="F85" s="54">
        <f>$D$3</f>
        <v>0.05</v>
      </c>
      <c r="G85" s="54">
        <f t="shared" si="34"/>
        <v>0.25</v>
      </c>
      <c r="H85" s="54">
        <f t="shared" si="46"/>
        <v>0.25</v>
      </c>
      <c r="I85" s="54">
        <f>$C$4</f>
        <v>0.5</v>
      </c>
      <c r="J85" s="54">
        <f>$D$4</f>
        <v>0.25</v>
      </c>
      <c r="K85" s="54">
        <f t="shared" si="39"/>
        <v>107</v>
      </c>
      <c r="L85" s="54">
        <f t="shared" si="40"/>
        <v>114.49000000000001</v>
      </c>
      <c r="M85" s="58">
        <f t="shared" si="41"/>
        <v>113.3451</v>
      </c>
      <c r="N85" s="58">
        <f t="shared" si="42"/>
        <v>119.01235500000001</v>
      </c>
      <c r="O85" s="58">
        <f t="shared" si="43"/>
        <v>7.8125E-3</v>
      </c>
      <c r="P85" s="58">
        <f t="shared" si="44"/>
        <v>14163.940642646028</v>
      </c>
    </row>
    <row r="86" spans="2:32" x14ac:dyDescent="0.2">
      <c r="B86" s="87">
        <v>75</v>
      </c>
      <c r="C86" s="54">
        <f t="shared" si="33"/>
        <v>7.0000000000000007E-2</v>
      </c>
      <c r="D86" s="54">
        <f t="shared" si="45"/>
        <v>7.0000000000000007E-2</v>
      </c>
      <c r="E86" s="54">
        <f>$C$3</f>
        <v>-0.01</v>
      </c>
      <c r="F86" s="54">
        <f>$E$3</f>
        <v>7.0000000000000007E-2</v>
      </c>
      <c r="G86" s="54">
        <f t="shared" si="34"/>
        <v>0.25</v>
      </c>
      <c r="H86" s="54">
        <f t="shared" si="46"/>
        <v>0.25</v>
      </c>
      <c r="I86" s="54">
        <f>$C$4</f>
        <v>0.5</v>
      </c>
      <c r="J86" s="54">
        <f>$E$4</f>
        <v>0.25</v>
      </c>
      <c r="K86" s="54">
        <f t="shared" si="39"/>
        <v>107</v>
      </c>
      <c r="L86" s="54">
        <f t="shared" si="40"/>
        <v>114.49000000000001</v>
      </c>
      <c r="M86" s="58">
        <f t="shared" si="41"/>
        <v>113.3451</v>
      </c>
      <c r="N86" s="58">
        <f t="shared" si="42"/>
        <v>121.27925700000002</v>
      </c>
      <c r="O86" s="58">
        <f t="shared" si="43"/>
        <v>7.8125E-3</v>
      </c>
      <c r="P86" s="58">
        <f t="shared" si="44"/>
        <v>14708.658178472053</v>
      </c>
    </row>
    <row r="87" spans="2:32" x14ac:dyDescent="0.2">
      <c r="B87" s="87">
        <v>76</v>
      </c>
      <c r="C87" s="54">
        <f t="shared" si="33"/>
        <v>7.0000000000000007E-2</v>
      </c>
      <c r="D87" s="54">
        <f t="shared" si="45"/>
        <v>7.0000000000000007E-2</v>
      </c>
      <c r="E87" s="54">
        <f>$D$3</f>
        <v>0.05</v>
      </c>
      <c r="F87" s="54">
        <f>$C$3</f>
        <v>-0.01</v>
      </c>
      <c r="G87" s="54">
        <f t="shared" si="34"/>
        <v>0.25</v>
      </c>
      <c r="H87" s="54">
        <f t="shared" si="46"/>
        <v>0.25</v>
      </c>
      <c r="I87" s="54">
        <f>$D$4</f>
        <v>0.25</v>
      </c>
      <c r="J87" s="54">
        <f>$C$4</f>
        <v>0.5</v>
      </c>
      <c r="K87" s="54">
        <f t="shared" si="39"/>
        <v>107</v>
      </c>
      <c r="L87" s="54">
        <f t="shared" si="40"/>
        <v>114.49000000000001</v>
      </c>
      <c r="M87" s="58">
        <f t="shared" si="41"/>
        <v>120.21450000000002</v>
      </c>
      <c r="N87" s="58">
        <f t="shared" si="42"/>
        <v>119.01235500000001</v>
      </c>
      <c r="O87" s="58">
        <f t="shared" si="43"/>
        <v>7.8125E-3</v>
      </c>
      <c r="P87" s="58">
        <f t="shared" si="44"/>
        <v>14163.940642646028</v>
      </c>
    </row>
    <row r="88" spans="2:32" x14ac:dyDescent="0.2">
      <c r="B88" s="87">
        <v>77</v>
      </c>
      <c r="C88" s="54">
        <f t="shared" si="33"/>
        <v>7.0000000000000007E-2</v>
      </c>
      <c r="D88" s="54">
        <f t="shared" si="45"/>
        <v>7.0000000000000007E-2</v>
      </c>
      <c r="E88" s="54">
        <f>$D$3</f>
        <v>0.05</v>
      </c>
      <c r="F88" s="54">
        <f>$D$3</f>
        <v>0.05</v>
      </c>
      <c r="G88" s="54">
        <f t="shared" si="34"/>
        <v>0.25</v>
      </c>
      <c r="H88" s="54">
        <f t="shared" si="46"/>
        <v>0.25</v>
      </c>
      <c r="I88" s="54">
        <f>$D$4</f>
        <v>0.25</v>
      </c>
      <c r="J88" s="54">
        <f>$D$4</f>
        <v>0.25</v>
      </c>
      <c r="K88" s="54">
        <f t="shared" si="39"/>
        <v>107</v>
      </c>
      <c r="L88" s="54">
        <f t="shared" si="40"/>
        <v>114.49000000000001</v>
      </c>
      <c r="M88" s="58">
        <f t="shared" si="41"/>
        <v>120.21450000000002</v>
      </c>
      <c r="N88" s="58">
        <f t="shared" si="42"/>
        <v>126.22522500000002</v>
      </c>
      <c r="O88" s="58">
        <f t="shared" si="43"/>
        <v>3.90625E-3</v>
      </c>
      <c r="P88" s="58">
        <f t="shared" si="44"/>
        <v>15932.807426300631</v>
      </c>
    </row>
    <row r="89" spans="2:32" x14ac:dyDescent="0.2">
      <c r="B89" s="87">
        <v>78</v>
      </c>
      <c r="C89" s="54">
        <f t="shared" si="33"/>
        <v>7.0000000000000007E-2</v>
      </c>
      <c r="D89" s="54">
        <f t="shared" si="45"/>
        <v>7.0000000000000007E-2</v>
      </c>
      <c r="E89" s="54">
        <f>$D$3</f>
        <v>0.05</v>
      </c>
      <c r="F89" s="54">
        <f>$E$3</f>
        <v>7.0000000000000007E-2</v>
      </c>
      <c r="G89" s="54">
        <f t="shared" si="34"/>
        <v>0.25</v>
      </c>
      <c r="H89" s="54">
        <f t="shared" si="46"/>
        <v>0.25</v>
      </c>
      <c r="I89" s="54">
        <f>$D$4</f>
        <v>0.25</v>
      </c>
      <c r="J89" s="54">
        <f>$E$4</f>
        <v>0.25</v>
      </c>
      <c r="K89" s="54">
        <f t="shared" si="39"/>
        <v>107</v>
      </c>
      <c r="L89" s="54">
        <f t="shared" si="40"/>
        <v>114.49000000000001</v>
      </c>
      <c r="M89" s="58">
        <f t="shared" si="41"/>
        <v>120.21450000000002</v>
      </c>
      <c r="N89" s="58">
        <f t="shared" si="42"/>
        <v>128.62951500000003</v>
      </c>
      <c r="O89" s="58">
        <f t="shared" si="43"/>
        <v>3.90625E-3</v>
      </c>
      <c r="P89" s="58">
        <f t="shared" si="44"/>
        <v>16545.552129135231</v>
      </c>
    </row>
    <row r="90" spans="2:32" x14ac:dyDescent="0.2">
      <c r="B90" s="87">
        <v>79</v>
      </c>
      <c r="C90" s="54">
        <f t="shared" si="33"/>
        <v>7.0000000000000007E-2</v>
      </c>
      <c r="D90" s="54">
        <f t="shared" si="45"/>
        <v>7.0000000000000007E-2</v>
      </c>
      <c r="E90" s="54">
        <f>$E$3</f>
        <v>7.0000000000000007E-2</v>
      </c>
      <c r="F90" s="54">
        <f>$C$3</f>
        <v>-0.01</v>
      </c>
      <c r="G90" s="54">
        <f t="shared" si="34"/>
        <v>0.25</v>
      </c>
      <c r="H90" s="54">
        <f t="shared" si="46"/>
        <v>0.25</v>
      </c>
      <c r="I90" s="54">
        <f>$E$4</f>
        <v>0.25</v>
      </c>
      <c r="J90" s="54">
        <f>$C$4</f>
        <v>0.5</v>
      </c>
      <c r="K90" s="54">
        <f t="shared" si="39"/>
        <v>107</v>
      </c>
      <c r="L90" s="54">
        <f t="shared" si="40"/>
        <v>114.49000000000001</v>
      </c>
      <c r="M90" s="58">
        <f t="shared" si="41"/>
        <v>122.50430000000001</v>
      </c>
      <c r="N90" s="58">
        <f t="shared" si="42"/>
        <v>121.27925700000002</v>
      </c>
      <c r="O90" s="58">
        <f t="shared" si="43"/>
        <v>7.8125E-3</v>
      </c>
      <c r="P90" s="58">
        <f t="shared" si="44"/>
        <v>14708.658178472053</v>
      </c>
    </row>
    <row r="91" spans="2:32" x14ac:dyDescent="0.2">
      <c r="B91" s="87">
        <v>80</v>
      </c>
      <c r="C91" s="54">
        <f t="shared" si="33"/>
        <v>7.0000000000000007E-2</v>
      </c>
      <c r="D91" s="54">
        <f t="shared" si="45"/>
        <v>7.0000000000000007E-2</v>
      </c>
      <c r="E91" s="54">
        <f>$E$3</f>
        <v>7.0000000000000007E-2</v>
      </c>
      <c r="F91" s="54">
        <f>$D$3</f>
        <v>0.05</v>
      </c>
      <c r="G91" s="54">
        <f t="shared" si="34"/>
        <v>0.25</v>
      </c>
      <c r="H91" s="54">
        <f t="shared" si="46"/>
        <v>0.25</v>
      </c>
      <c r="I91" s="54">
        <f>$E$4</f>
        <v>0.25</v>
      </c>
      <c r="J91" s="54">
        <f>$D$4</f>
        <v>0.25</v>
      </c>
      <c r="K91" s="54">
        <f t="shared" si="39"/>
        <v>107</v>
      </c>
      <c r="L91" s="54">
        <f t="shared" si="40"/>
        <v>114.49000000000001</v>
      </c>
      <c r="M91" s="58">
        <f t="shared" si="41"/>
        <v>122.50430000000001</v>
      </c>
      <c r="N91" s="58">
        <f t="shared" si="42"/>
        <v>128.62951500000003</v>
      </c>
      <c r="O91" s="58">
        <f t="shared" si="43"/>
        <v>3.90625E-3</v>
      </c>
      <c r="P91" s="58">
        <f t="shared" si="44"/>
        <v>16545.552129135231</v>
      </c>
    </row>
    <row r="92" spans="2:32" x14ac:dyDescent="0.2">
      <c r="B92" s="87">
        <v>81</v>
      </c>
      <c r="C92" s="54">
        <f t="shared" si="33"/>
        <v>7.0000000000000007E-2</v>
      </c>
      <c r="D92" s="54">
        <f t="shared" si="45"/>
        <v>7.0000000000000007E-2</v>
      </c>
      <c r="E92" s="54">
        <f>$E$3</f>
        <v>7.0000000000000007E-2</v>
      </c>
      <c r="F92" s="54">
        <f>$E$3</f>
        <v>7.0000000000000007E-2</v>
      </c>
      <c r="G92" s="54">
        <f t="shared" si="34"/>
        <v>0.25</v>
      </c>
      <c r="H92" s="54">
        <f t="shared" si="46"/>
        <v>0.25</v>
      </c>
      <c r="I92" s="54">
        <f>$E$4</f>
        <v>0.25</v>
      </c>
      <c r="J92" s="54">
        <f>$E$4</f>
        <v>0.25</v>
      </c>
      <c r="K92" s="54">
        <f t="shared" si="39"/>
        <v>107</v>
      </c>
      <c r="L92" s="54">
        <f t="shared" si="40"/>
        <v>114.49000000000001</v>
      </c>
      <c r="M92" s="58">
        <f t="shared" si="41"/>
        <v>122.50430000000001</v>
      </c>
      <c r="N92" s="58">
        <f t="shared" si="42"/>
        <v>131.07960100000003</v>
      </c>
      <c r="O92" s="58">
        <f t="shared" si="43"/>
        <v>3.90625E-3</v>
      </c>
      <c r="P92" s="58">
        <f t="shared" si="44"/>
        <v>17181.861798319209</v>
      </c>
    </row>
    <row r="93" spans="2:32" x14ac:dyDescent="0.2">
      <c r="N93" s="57" t="s">
        <v>49</v>
      </c>
      <c r="O93" s="86">
        <f>SUM(O12:O92)</f>
        <v>1</v>
      </c>
      <c r="AD93" s="51"/>
    </row>
  </sheetData>
  <mergeCells count="12">
    <mergeCell ref="T25:Y25"/>
    <mergeCell ref="R33:S33"/>
    <mergeCell ref="T36:Y36"/>
    <mergeCell ref="R44:S44"/>
    <mergeCell ref="AA9:AD9"/>
    <mergeCell ref="R34:S34"/>
    <mergeCell ref="C9:F9"/>
    <mergeCell ref="G9:J9"/>
    <mergeCell ref="K9:N9"/>
    <mergeCell ref="T16:Y16"/>
    <mergeCell ref="S9:V9"/>
    <mergeCell ref="W9:Z9"/>
  </mergeCells>
  <pageMargins left="0.7" right="0.7" top="0.75" bottom="0.75" header="0.3" footer="0.3"/>
  <pageSetup paperSize="9" scale="41" fitToWidth="2" fitToHeight="2" orientation="portrait" horizontalDpi="0" verticalDpi="0"/>
  <ignoredErrors>
    <ignoredError sqref="U33:X33 U44:X44" formulaRange="1"/>
    <ignoredError sqref="AF32 AC32 AE33" unlockedFormula="1"/>
    <ignoredError sqref="D81:D83 E86 E89 H72:H74 D72:D74 I76 H81:H83 I86 I89 E76 E69 I69 D60:D62 H60:H62 I59 E59 E55 I55 E49 I49 I45 E45 D42:D44 H42:H44 H30:H32 H21:H23 D30:D32 D21:D23 E18 E15 I18 E28 E35 I35 I28 I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CW2.1 results</vt:lpstr>
      <vt:lpstr>CW2.2 results</vt:lpstr>
      <vt:lpstr>Spreadsheet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Konstantinos Dareiotis</dc:creator>
  <cp:lastModifiedBy>Daniel Stollenwerk [pr19ds]</cp:lastModifiedBy>
  <dcterms:created xsi:type="dcterms:W3CDTF">2020-11-11T19:04:57Z</dcterms:created>
  <dcterms:modified xsi:type="dcterms:W3CDTF">2024-01-10T05:55:00Z</dcterms:modified>
</cp:coreProperties>
</file>