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2450e89b9b08ba/Documentos/bit-a-bit/Excel para a vida/"/>
    </mc:Choice>
  </mc:AlternateContent>
  <xr:revisionPtr revIDLastSave="1" documentId="8_{7A782079-F754-42AF-B603-95E2C00147EF}" xr6:coauthVersionLast="45" xr6:coauthVersionMax="45" xr10:uidLastSave="{6B3C0CB1-B1D7-46F1-99E1-F20CDC17451D}"/>
  <bookViews>
    <workbookView xWindow="-120" yWindow="-120" windowWidth="20730" windowHeight="11160" tabRatio="396" xr2:uid="{00000000-000D-0000-FFFF-FFFF00000000}"/>
  </bookViews>
  <sheets>
    <sheet name="Conjugador" sheetId="1" r:id="rId1"/>
    <sheet name="Verbos irregulares" sheetId="2" state="hidden" r:id="rId2"/>
    <sheet name="Padrões" sheetId="3" state="hidden" r:id="rId3"/>
    <sheet name="Planilha1" sheetId="4" state="hidden" r:id="rId4"/>
  </sheets>
  <definedNames>
    <definedName name="_xlnm._FilterDatabase" localSheetId="3" hidden="1">Planilha1!$A$1:$C$226</definedName>
    <definedName name="_xlnm._FilterDatabase" localSheetId="1" hidden="1">'Verbos irregulares'!$D$1:$D$3499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528" i="2" l="1"/>
  <c r="C3527" i="2" l="1"/>
  <c r="C3526" i="2"/>
  <c r="C3525" i="2"/>
  <c r="C3524" i="2"/>
  <c r="C3523" i="2"/>
  <c r="C3522" i="2"/>
  <c r="C3521" i="2"/>
  <c r="C3520" i="2"/>
  <c r="C3519" i="2"/>
  <c r="C3518" i="2" l="1"/>
  <c r="C3517" i="2"/>
  <c r="C3516" i="2"/>
  <c r="C3515" i="2"/>
  <c r="C3514" i="2"/>
  <c r="C3513" i="2"/>
  <c r="C3512" i="2"/>
  <c r="C3511" i="2"/>
  <c r="C3510" i="2"/>
  <c r="C3509" i="2"/>
  <c r="C2213" i="2" l="1"/>
  <c r="C1753" i="2"/>
  <c r="C1750" i="2" l="1"/>
  <c r="C1824" i="2"/>
  <c r="C91" i="2"/>
  <c r="C1136" i="2"/>
  <c r="C1511" i="2"/>
  <c r="C2113" i="2"/>
  <c r="C1507" i="2"/>
  <c r="C1307" i="2" l="1"/>
  <c r="C1700" i="2"/>
  <c r="C1699" i="2"/>
  <c r="C1698" i="2"/>
  <c r="C1696" i="2"/>
  <c r="C1695" i="2"/>
  <c r="C1694" i="2"/>
  <c r="C1693" i="2"/>
  <c r="C1692" i="2"/>
  <c r="C1691" i="2"/>
  <c r="C1690" i="2"/>
  <c r="C1689" i="2"/>
  <c r="C1688" i="2"/>
  <c r="C1687" i="2"/>
  <c r="C1686" i="2"/>
  <c r="C1682" i="2"/>
  <c r="C1681" i="2"/>
  <c r="C1680" i="2"/>
  <c r="C1679" i="2"/>
  <c r="C1678" i="2"/>
  <c r="C1677" i="2"/>
  <c r="C1672" i="2"/>
  <c r="C1670" i="2"/>
  <c r="C1668" i="2"/>
  <c r="C1667" i="2"/>
  <c r="C1663" i="2"/>
  <c r="C1661" i="2"/>
  <c r="C1657" i="2"/>
  <c r="C1644" i="2"/>
  <c r="C1628" i="2"/>
  <c r="C1625" i="2"/>
  <c r="C1617" i="2"/>
  <c r="C1615" i="2"/>
  <c r="C1614" i="2"/>
  <c r="C1612" i="2"/>
  <c r="C1610" i="2"/>
  <c r="C1599" i="2"/>
  <c r="C1598" i="2"/>
  <c r="C1596" i="2"/>
  <c r="C1589" i="2"/>
  <c r="C1588" i="2"/>
  <c r="C1585" i="2"/>
  <c r="C1577" i="2"/>
  <c r="C1553" i="2"/>
  <c r="C1548" i="2"/>
  <c r="C1545" i="2"/>
  <c r="C1514" i="2"/>
  <c r="C1509" i="2"/>
  <c r="C1506" i="2"/>
  <c r="C1502" i="2"/>
  <c r="C1500" i="2"/>
  <c r="C1499" i="2"/>
  <c r="C1497" i="2"/>
  <c r="C1493" i="2"/>
  <c r="C1483" i="2"/>
  <c r="C1481" i="2"/>
  <c r="C1478" i="2"/>
  <c r="C1477" i="2"/>
  <c r="C1476" i="2"/>
  <c r="C1474" i="2"/>
  <c r="C1472" i="2"/>
  <c r="C1471" i="2"/>
  <c r="C1469" i="2"/>
  <c r="C1468" i="2"/>
  <c r="C1459" i="2"/>
  <c r="C1455" i="2"/>
  <c r="C1454" i="2"/>
  <c r="C1434" i="2"/>
  <c r="C1432" i="2"/>
  <c r="C1412" i="2"/>
  <c r="C1411" i="2"/>
  <c r="C1410" i="2"/>
  <c r="C1405" i="2"/>
  <c r="C1403" i="2"/>
  <c r="C1402" i="2"/>
  <c r="C1380" i="2"/>
  <c r="C1378" i="2"/>
  <c r="C1373" i="2"/>
  <c r="C1301" i="2"/>
  <c r="C1372" i="2"/>
  <c r="C1367" i="2"/>
  <c r="C1366" i="2"/>
  <c r="C1346" i="2"/>
  <c r="C1345" i="2"/>
  <c r="C1342" i="2"/>
  <c r="C1336" i="2"/>
  <c r="C1335" i="2"/>
  <c r="C1331" i="2"/>
  <c r="C1329" i="2"/>
  <c r="C1328" i="2"/>
  <c r="C1327" i="2"/>
  <c r="C1324" i="2"/>
  <c r="C1320" i="2"/>
  <c r="C1318" i="2"/>
  <c r="C1317" i="2"/>
  <c r="C1315" i="2"/>
  <c r="C1313" i="2"/>
  <c r="C1311" i="2"/>
  <c r="C1310" i="2"/>
  <c r="C1305" i="2"/>
  <c r="C1303" i="2"/>
  <c r="C1302" i="2"/>
  <c r="C1299" i="2"/>
  <c r="C1298" i="2"/>
  <c r="C1290" i="2"/>
  <c r="C1284" i="2"/>
  <c r="C1283" i="2"/>
  <c r="C1280" i="2"/>
  <c r="C1279" i="2"/>
  <c r="C1278" i="2"/>
  <c r="C1277" i="2"/>
  <c r="C1276" i="2"/>
  <c r="C1275" i="2"/>
  <c r="C1274" i="2"/>
  <c r="C1273" i="2"/>
  <c r="C1271" i="2"/>
  <c r="C1269" i="2"/>
  <c r="C1267" i="2"/>
  <c r="C1266" i="2"/>
  <c r="C1265" i="2"/>
  <c r="C1264" i="2"/>
  <c r="C1263" i="2"/>
  <c r="C1262" i="2"/>
  <c r="C1259" i="2"/>
  <c r="C1258" i="2"/>
  <c r="C1256" i="2"/>
  <c r="C1255" i="2"/>
  <c r="C1250" i="2"/>
  <c r="C1246" i="2"/>
  <c r="C1245" i="2"/>
  <c r="C1243" i="2"/>
  <c r="C1241" i="2"/>
  <c r="C1239" i="2"/>
  <c r="C1235" i="2"/>
  <c r="C1234" i="2"/>
  <c r="C1232" i="2"/>
  <c r="C1228" i="2"/>
  <c r="C1223" i="2"/>
  <c r="C1222" i="2"/>
  <c r="C1221" i="2"/>
  <c r="C1220" i="2"/>
  <c r="C1219" i="2"/>
  <c r="C1215" i="2"/>
  <c r="C1213" i="2"/>
  <c r="C1212" i="2"/>
  <c r="C1210" i="2"/>
  <c r="C1209" i="2"/>
  <c r="C1208" i="2"/>
  <c r="C1206" i="2"/>
  <c r="C1205" i="2"/>
  <c r="C1201" i="2"/>
  <c r="C1199" i="2"/>
  <c r="C1198" i="2"/>
  <c r="C1197" i="2"/>
  <c r="C1196" i="2"/>
  <c r="C1191" i="2"/>
  <c r="C1189" i="2"/>
  <c r="C1188" i="2"/>
  <c r="C1185" i="2"/>
  <c r="C1184" i="2"/>
  <c r="C1177" i="2"/>
  <c r="C1176" i="2"/>
  <c r="C1174" i="2"/>
  <c r="C1173" i="2"/>
  <c r="C1169" i="2"/>
  <c r="C1164" i="2"/>
  <c r="C1163" i="2"/>
  <c r="C1162" i="2"/>
  <c r="C1160" i="2"/>
  <c r="C1159" i="2"/>
  <c r="C1158" i="2"/>
  <c r="C1153" i="2"/>
  <c r="C1152" i="2"/>
  <c r="C1151" i="2"/>
  <c r="C1150" i="2"/>
  <c r="C1148" i="2"/>
  <c r="C1146" i="2"/>
  <c r="C1144" i="2"/>
  <c r="C1142" i="2"/>
  <c r="C1134" i="2"/>
  <c r="C1122" i="2"/>
  <c r="C1114" i="2"/>
  <c r="C1109" i="2"/>
  <c r="C1091" i="2"/>
  <c r="C1095" i="2"/>
  <c r="C1093" i="2"/>
  <c r="C1092" i="2"/>
  <c r="C1086" i="2"/>
  <c r="C1080" i="2"/>
  <c r="C1079" i="2"/>
  <c r="C1078" i="2"/>
  <c r="C1077" i="2"/>
  <c r="C1071" i="2"/>
  <c r="C1070" i="2"/>
  <c r="C1069" i="2"/>
  <c r="C1067" i="2"/>
  <c r="C1066" i="2"/>
  <c r="C1064" i="2"/>
  <c r="C1063" i="2"/>
  <c r="C1062" i="2"/>
  <c r="C1061" i="2"/>
  <c r="C1059" i="2"/>
  <c r="C1058" i="2"/>
  <c r="C1052" i="2"/>
  <c r="C1051" i="2"/>
  <c r="C1046" i="2"/>
  <c r="C1045" i="2"/>
  <c r="C1039" i="2"/>
  <c r="C1029" i="2"/>
  <c r="C1028" i="2"/>
  <c r="C1027" i="2"/>
  <c r="C1024" i="2"/>
  <c r="C1016" i="2"/>
  <c r="C1015" i="2"/>
  <c r="C1006" i="2"/>
  <c r="C1000" i="2"/>
  <c r="C999" i="2"/>
  <c r="C996" i="2"/>
  <c r="C993" i="2"/>
  <c r="C988" i="2"/>
  <c r="C984" i="2"/>
  <c r="C981" i="2"/>
  <c r="C980" i="2"/>
  <c r="C978" i="2"/>
  <c r="C976" i="2"/>
  <c r="C972" i="2"/>
  <c r="C970" i="2"/>
  <c r="C969" i="2"/>
  <c r="C968" i="2"/>
  <c r="C967" i="2"/>
  <c r="C966" i="2"/>
  <c r="C965" i="2"/>
  <c r="C963" i="2"/>
  <c r="C961" i="2"/>
  <c r="C960" i="2"/>
  <c r="C1685" i="2"/>
  <c r="C1684" i="2"/>
  <c r="C1673" i="2"/>
  <c r="C1671" i="2"/>
  <c r="C1659" i="2"/>
  <c r="C1651" i="2"/>
  <c r="C1643" i="2"/>
  <c r="C1637" i="2"/>
  <c r="C1626" i="2"/>
  <c r="C1613" i="2"/>
  <c r="C1605" i="2"/>
  <c r="C1600" i="2"/>
  <c r="C1595" i="2"/>
  <c r="C1593" i="2"/>
  <c r="C1575" i="2"/>
  <c r="C1572" i="2"/>
  <c r="C1558" i="2"/>
  <c r="C1552" i="2"/>
  <c r="C1542" i="2"/>
  <c r="C1537" i="2"/>
  <c r="C1528" i="2"/>
  <c r="C1513" i="2"/>
  <c r="C1512" i="2"/>
  <c r="C1498" i="2"/>
  <c r="C1494" i="2"/>
  <c r="C1490" i="2"/>
  <c r="C1489" i="2"/>
  <c r="C1488" i="2"/>
  <c r="C1487" i="2"/>
  <c r="C1485" i="2"/>
  <c r="C1484" i="2"/>
  <c r="C1482" i="2"/>
  <c r="C1480" i="2"/>
  <c r="C1470" i="2"/>
  <c r="C1466" i="2"/>
  <c r="C1465" i="2"/>
  <c r="C1463" i="2"/>
  <c r="C1461" i="2"/>
  <c r="C1460" i="2"/>
  <c r="C1457" i="2"/>
  <c r="C1453" i="2"/>
  <c r="C1451" i="2"/>
  <c r="C1450" i="2"/>
  <c r="C1449" i="2"/>
  <c r="C1446" i="2"/>
  <c r="C1443" i="2"/>
  <c r="C1442" i="2"/>
  <c r="C1439" i="2"/>
  <c r="C1438" i="2"/>
  <c r="C1437" i="2"/>
  <c r="C1436" i="2"/>
  <c r="C1435" i="2"/>
  <c r="C1430" i="2"/>
  <c r="C1428" i="2"/>
  <c r="C1427" i="2"/>
  <c r="C1426" i="2"/>
  <c r="C1424" i="2"/>
  <c r="C1423" i="2"/>
  <c r="C1422" i="2"/>
  <c r="C1421" i="2"/>
  <c r="C1419" i="2"/>
  <c r="C1414" i="2"/>
  <c r="C1413" i="2"/>
  <c r="C1384" i="2"/>
  <c r="C1406" i="2"/>
  <c r="C1404" i="2"/>
  <c r="C1401" i="2"/>
  <c r="C1400" i="2"/>
  <c r="C1398" i="2"/>
  <c r="C1394" i="2"/>
  <c r="C1391" i="2"/>
  <c r="C1390" i="2"/>
  <c r="C1386" i="2"/>
  <c r="C1385" i="2"/>
  <c r="C1383" i="2"/>
  <c r="C1381" i="2"/>
  <c r="C1379" i="2"/>
  <c r="C1376" i="2"/>
  <c r="C1375" i="2"/>
  <c r="C1374" i="2"/>
  <c r="C1363" i="2"/>
  <c r="C1356" i="2"/>
  <c r="C1349" i="2"/>
  <c r="C1347" i="2"/>
  <c r="C1249" i="2"/>
  <c r="C1247" i="2"/>
  <c r="C1244" i="2"/>
  <c r="C1242" i="2"/>
  <c r="C1237" i="2"/>
  <c r="C1231" i="2"/>
  <c r="C1195" i="2"/>
  <c r="C1187" i="2"/>
  <c r="C1183" i="2"/>
  <c r="C1182" i="2"/>
  <c r="C1180" i="2"/>
  <c r="C1175" i="2"/>
  <c r="C1161" i="2"/>
  <c r="C1157" i="2"/>
  <c r="C1149" i="2"/>
  <c r="C1147" i="2"/>
  <c r="C1141" i="2"/>
  <c r="C1140" i="2"/>
  <c r="C1133" i="2"/>
  <c r="C1132" i="2"/>
  <c r="C1131" i="2"/>
  <c r="C1128" i="2"/>
  <c r="C1127" i="2"/>
  <c r="C1124" i="2"/>
  <c r="C1123" i="2"/>
  <c r="C1121" i="2"/>
  <c r="C1119" i="2"/>
  <c r="C1118" i="2"/>
  <c r="C1116" i="2"/>
  <c r="C1115" i="2"/>
  <c r="C1112" i="2"/>
  <c r="C1081" i="2"/>
  <c r="C1106" i="2"/>
  <c r="C1103" i="2"/>
  <c r="C1099" i="2"/>
  <c r="C1094" i="2"/>
  <c r="C1090" i="2"/>
  <c r="C1087" i="2"/>
  <c r="C1068" i="2"/>
  <c r="C1057" i="2"/>
  <c r="C1030" i="2"/>
  <c r="C1023" i="2"/>
  <c r="C1012" i="2"/>
  <c r="C1005" i="2"/>
  <c r="C995" i="2"/>
  <c r="C987" i="2"/>
  <c r="C983" i="2"/>
  <c r="C977" i="2"/>
  <c r="C964" i="2"/>
  <c r="C1653" i="2"/>
  <c r="C1652" i="2"/>
  <c r="C1627" i="2"/>
  <c r="C1590" i="2"/>
  <c r="C1565" i="2"/>
  <c r="C1559" i="2"/>
  <c r="C1555" i="2"/>
  <c r="C1544" i="2"/>
  <c r="C1538" i="2"/>
  <c r="C1535" i="2"/>
  <c r="C1531" i="2"/>
  <c r="C1524" i="2"/>
  <c r="C1523" i="2"/>
  <c r="C1519" i="2"/>
  <c r="C1517" i="2"/>
  <c r="C1515" i="2"/>
  <c r="C1467" i="2"/>
  <c r="C1464" i="2"/>
  <c r="C1462" i="2"/>
  <c r="C1445" i="2"/>
  <c r="C1441" i="2"/>
  <c r="C1425" i="2"/>
  <c r="C1416" i="2"/>
  <c r="C1392" i="2"/>
  <c r="C1388" i="2"/>
  <c r="C1370" i="2"/>
  <c r="C1369" i="2"/>
  <c r="C1361" i="2"/>
  <c r="C1359" i="2"/>
  <c r="C1353" i="2"/>
  <c r="C1352" i="2"/>
  <c r="C1351" i="2"/>
  <c r="C1348" i="2"/>
  <c r="C1341" i="2"/>
  <c r="C1337" i="2"/>
  <c r="C1325" i="2"/>
  <c r="C1300" i="2"/>
  <c r="C1286" i="2"/>
  <c r="C1240" i="2"/>
  <c r="C1236" i="2"/>
  <c r="C1233" i="2"/>
  <c r="C1224" i="2"/>
  <c r="C1218" i="2"/>
  <c r="C1203" i="2"/>
  <c r="C1181" i="2"/>
  <c r="C1156" i="2"/>
  <c r="C1130" i="2"/>
  <c r="C1129" i="2"/>
  <c r="C1126" i="2"/>
  <c r="C1120" i="2"/>
  <c r="C1117" i="2"/>
  <c r="C1082" i="2"/>
  <c r="C1110" i="2"/>
  <c r="C1108" i="2"/>
  <c r="C1107" i="2"/>
  <c r="C1105" i="2"/>
  <c r="C1102" i="2"/>
  <c r="C1098" i="2"/>
  <c r="C1075" i="2"/>
  <c r="C1073" i="2"/>
  <c r="C1072" i="2"/>
  <c r="C1053" i="2"/>
  <c r="C1048" i="2"/>
  <c r="C1047" i="2"/>
  <c r="C1043" i="2"/>
  <c r="C1035" i="2"/>
  <c r="C1031" i="2"/>
  <c r="C1021" i="2"/>
  <c r="C1014" i="2"/>
  <c r="C1011" i="2"/>
  <c r="C1008" i="2"/>
  <c r="C1004" i="2"/>
  <c r="C1003" i="2"/>
  <c r="C1001" i="2"/>
  <c r="C997" i="2"/>
  <c r="C994" i="2"/>
  <c r="C962" i="2"/>
  <c r="C1676" i="2"/>
  <c r="C1666" i="2"/>
  <c r="C1656" i="2"/>
  <c r="C1639" i="2"/>
  <c r="C1636" i="2"/>
  <c r="C1635" i="2"/>
  <c r="C1633" i="2"/>
  <c r="C1631" i="2"/>
  <c r="C1619" i="2"/>
  <c r="C1609" i="2"/>
  <c r="C1604" i="2"/>
  <c r="C1573" i="2"/>
  <c r="C1530" i="2"/>
  <c r="C1527" i="2"/>
  <c r="C1526" i="2"/>
  <c r="C1491" i="2"/>
  <c r="C1458" i="2"/>
  <c r="C1444" i="2"/>
  <c r="C1364" i="2"/>
  <c r="C1360" i="2"/>
  <c r="C1355" i="2"/>
  <c r="C1658" i="2"/>
  <c r="C1295" i="2"/>
  <c r="C1292" i="2"/>
  <c r="C1288" i="2"/>
  <c r="C1248" i="2"/>
  <c r="C1193" i="2"/>
  <c r="C1083" i="2"/>
  <c r="C1076" i="2"/>
  <c r="C1074" i="2"/>
  <c r="C1050" i="2"/>
  <c r="C959" i="2"/>
  <c r="C957" i="2"/>
  <c r="C1701" i="2"/>
  <c r="C1634" i="2"/>
  <c r="C1683" i="2"/>
  <c r="C1675" i="2"/>
  <c r="C1669" i="2"/>
  <c r="C1660" i="2"/>
  <c r="C1655" i="2"/>
  <c r="C1647" i="2"/>
  <c r="C1662" i="2"/>
  <c r="C1632" i="2"/>
  <c r="C1622" i="2"/>
  <c r="C1608" i="2"/>
  <c r="C1607" i="2"/>
  <c r="C1602" i="2"/>
  <c r="C1594" i="2"/>
  <c r="C1592" i="2"/>
  <c r="C1591" i="2"/>
  <c r="C1586" i="2"/>
  <c r="C1540" i="2"/>
  <c r="C1532" i="2"/>
  <c r="C1518" i="2"/>
  <c r="C1508" i="2"/>
  <c r="C1495" i="2"/>
  <c r="C1492" i="2"/>
  <c r="C1452" i="2"/>
  <c r="C1440" i="2"/>
  <c r="C1417" i="2"/>
  <c r="C1415" i="2"/>
  <c r="C1409" i="2"/>
  <c r="C1408" i="2"/>
  <c r="C1407" i="2"/>
  <c r="C1396" i="2"/>
  <c r="C1395" i="2"/>
  <c r="C1387" i="2"/>
  <c r="C1382" i="2"/>
  <c r="C1362" i="2"/>
  <c r="C1357" i="2"/>
  <c r="C1354" i="2"/>
  <c r="C1350" i="2"/>
  <c r="C1339" i="2"/>
  <c r="C1338" i="2"/>
  <c r="C1333" i="2"/>
  <c r="C1332" i="2"/>
  <c r="C1326" i="2"/>
  <c r="C1319" i="2"/>
  <c r="C1323" i="2"/>
  <c r="C1308" i="2"/>
  <c r="C1505" i="2"/>
  <c r="C1496" i="2"/>
  <c r="C1296" i="2"/>
  <c r="C1293" i="2"/>
  <c r="C1282" i="2"/>
  <c r="C1281" i="2"/>
  <c r="C1261" i="2"/>
  <c r="C1260" i="2"/>
  <c r="C1253" i="2"/>
  <c r="C1252" i="2"/>
  <c r="C1251" i="2"/>
  <c r="C1229" i="2"/>
  <c r="C1227" i="2"/>
  <c r="C1217" i="2"/>
  <c r="C1214" i="2"/>
  <c r="C1211" i="2"/>
  <c r="C1202" i="2"/>
  <c r="C1200" i="2"/>
  <c r="C1178" i="2"/>
  <c r="C1168" i="2"/>
  <c r="C1154" i="2"/>
  <c r="C1139" i="2"/>
  <c r="C1138" i="2"/>
  <c r="C1135" i="2"/>
  <c r="C1125" i="2"/>
  <c r="C1113" i="2"/>
  <c r="C1100" i="2"/>
  <c r="C1097" i="2"/>
  <c r="C1089" i="2"/>
  <c r="C1085" i="2"/>
  <c r="C1084" i="2"/>
  <c r="C1065" i="2"/>
  <c r="C1056" i="2"/>
  <c r="C1049" i="2"/>
  <c r="C1044" i="2"/>
  <c r="C1038" i="2"/>
  <c r="C1037" i="2"/>
  <c r="C1034" i="2"/>
  <c r="C1022" i="2"/>
  <c r="C1020" i="2"/>
  <c r="C1019" i="2"/>
  <c r="C1017" i="2"/>
  <c r="C1009" i="2"/>
  <c r="C998" i="2"/>
  <c r="C992" i="2"/>
  <c r="C991" i="2"/>
  <c r="C979" i="2"/>
  <c r="C1654" i="2"/>
  <c r="C1650" i="2"/>
  <c r="C1621" i="2"/>
  <c r="C1611" i="2"/>
  <c r="C1601" i="2"/>
  <c r="C1583" i="2"/>
  <c r="C1566" i="2"/>
  <c r="C1525" i="2"/>
  <c r="C1520" i="2"/>
  <c r="C1473" i="2"/>
  <c r="C1447" i="2"/>
  <c r="C1358" i="2"/>
  <c r="C1340" i="2"/>
  <c r="C1312" i="2"/>
  <c r="C1616" i="2"/>
  <c r="C1580" i="2"/>
  <c r="C1330" i="2"/>
  <c r="C1155" i="2"/>
  <c r="C1226" i="2"/>
  <c r="C1207" i="2"/>
  <c r="C1192" i="2"/>
  <c r="C1297" i="2"/>
  <c r="C1101" i="2"/>
  <c r="C1096" i="2"/>
  <c r="C1055" i="2"/>
  <c r="C1042" i="2"/>
  <c r="C1026" i="2"/>
  <c r="C1013" i="2"/>
  <c r="C990" i="2"/>
  <c r="C982" i="2"/>
  <c r="C973" i="2"/>
  <c r="C1002" i="2"/>
  <c r="C1674" i="2"/>
  <c r="C1665" i="2"/>
  <c r="C1664" i="2"/>
  <c r="C1649" i="2"/>
  <c r="C1648" i="2"/>
  <c r="C1646" i="2"/>
  <c r="C1641" i="2"/>
  <c r="C1640" i="2"/>
  <c r="C1638" i="2"/>
  <c r="C1630" i="2"/>
  <c r="C1629" i="2"/>
  <c r="C1624" i="2"/>
  <c r="C1623" i="2"/>
  <c r="C1620" i="2"/>
  <c r="C1618" i="2"/>
  <c r="C1606" i="2"/>
  <c r="C1603" i="2"/>
  <c r="C1597" i="2"/>
  <c r="C1587" i="2"/>
  <c r="C1584" i="2"/>
  <c r="C1582" i="2"/>
  <c r="C1581" i="2"/>
  <c r="C1579" i="2"/>
  <c r="C1578" i="2"/>
  <c r="C1576" i="2"/>
  <c r="C1574" i="2"/>
  <c r="C1571" i="2"/>
  <c r="C1570" i="2"/>
  <c r="C1568" i="2"/>
  <c r="C1567" i="2"/>
  <c r="C1564" i="2"/>
  <c r="C1563" i="2"/>
  <c r="C1562" i="2"/>
  <c r="C1561" i="2"/>
  <c r="C1560" i="2"/>
  <c r="C1557" i="2"/>
  <c r="C1556" i="2"/>
  <c r="C1554" i="2"/>
  <c r="C1551" i="2"/>
  <c r="C1550" i="2"/>
  <c r="C1549" i="2"/>
  <c r="C1547" i="2"/>
  <c r="C1546" i="2"/>
  <c r="C1543" i="2"/>
  <c r="C1541" i="2"/>
  <c r="C1539" i="2"/>
  <c r="C1536" i="2"/>
  <c r="C1534" i="2"/>
  <c r="C1533" i="2"/>
  <c r="C1529" i="2"/>
  <c r="C1522" i="2"/>
  <c r="C1521" i="2"/>
  <c r="C1516" i="2"/>
  <c r="C1504" i="2"/>
  <c r="C1503" i="2"/>
  <c r="C1501" i="2"/>
  <c r="C1486" i="2"/>
  <c r="C1479" i="2"/>
  <c r="C1475" i="2"/>
  <c r="C1456" i="2"/>
  <c r="C1448" i="2"/>
  <c r="C1433" i="2"/>
  <c r="C1431" i="2"/>
  <c r="C1420" i="2"/>
  <c r="C1418" i="2"/>
  <c r="C1399" i="2"/>
  <c r="C1397" i="2"/>
  <c r="C1393" i="2"/>
  <c r="C1389" i="2"/>
  <c r="C1377" i="2"/>
  <c r="C1371" i="2"/>
  <c r="C1368" i="2"/>
  <c r="C1344" i="2"/>
  <c r="C1343" i="2"/>
  <c r="C1334" i="2"/>
  <c r="C1321" i="2"/>
  <c r="C1316" i="2"/>
  <c r="C1314" i="2"/>
  <c r="C1309" i="2"/>
  <c r="C1306" i="2"/>
  <c r="C1645" i="2"/>
  <c r="C1294" i="2"/>
  <c r="C1291" i="2"/>
  <c r="C1289" i="2"/>
  <c r="C1270" i="2"/>
  <c r="C1272" i="2"/>
  <c r="C1257" i="2"/>
  <c r="C1238" i="2"/>
  <c r="C1230" i="2"/>
  <c r="C1225" i="2"/>
  <c r="C1216" i="2"/>
  <c r="C1204" i="2"/>
  <c r="C1194" i="2"/>
  <c r="C1190" i="2"/>
  <c r="C1186" i="2"/>
  <c r="C985" i="2"/>
  <c r="C1172" i="2"/>
  <c r="C1171" i="2"/>
  <c r="C1170" i="2"/>
  <c r="C1167" i="2"/>
  <c r="C1166" i="2"/>
  <c r="C1165" i="2"/>
  <c r="C1145" i="2"/>
  <c r="C1143" i="2"/>
  <c r="C1137" i="2"/>
  <c r="C1179" i="2"/>
  <c r="C1111" i="2"/>
  <c r="C1104" i="2"/>
  <c r="C1088" i="2"/>
  <c r="C1060" i="2"/>
  <c r="C1054" i="2"/>
  <c r="C1041" i="2"/>
  <c r="C1040" i="2"/>
  <c r="C1036" i="2"/>
  <c r="C1033" i="2"/>
  <c r="C1032" i="2"/>
  <c r="C1025" i="2"/>
  <c r="C1018" i="2"/>
  <c r="C1010" i="2"/>
  <c r="C1007" i="2"/>
  <c r="C989" i="2"/>
  <c r="C986" i="2"/>
  <c r="C975" i="2"/>
  <c r="C974" i="2"/>
  <c r="C971" i="2"/>
  <c r="C1697" i="2"/>
  <c r="C1365" i="2"/>
  <c r="C1304" i="2"/>
  <c r="C3026" i="2"/>
  <c r="C3025" i="2"/>
  <c r="C3002" i="2"/>
  <c r="C2993" i="2"/>
  <c r="C2992" i="2"/>
  <c r="C2976" i="2"/>
  <c r="C2973" i="2"/>
  <c r="C2969" i="2"/>
  <c r="C2968" i="2"/>
  <c r="C2967" i="2"/>
  <c r="C2964" i="2"/>
  <c r="C2963" i="2"/>
  <c r="C2961" i="2"/>
  <c r="C2959" i="2"/>
  <c r="C2957" i="2"/>
  <c r="C2956" i="2"/>
  <c r="C2952" i="2"/>
  <c r="C2947" i="2"/>
  <c r="C2945" i="2"/>
  <c r="C2944" i="2"/>
  <c r="C2942" i="2"/>
  <c r="C2941" i="2"/>
  <c r="C2940" i="2"/>
  <c r="C2939" i="2"/>
  <c r="C2937" i="2"/>
  <c r="C2935" i="2"/>
  <c r="C2932" i="2"/>
  <c r="C2931" i="2"/>
  <c r="C2930" i="2"/>
  <c r="C2927" i="2"/>
  <c r="C2926" i="2"/>
  <c r="C2923" i="2"/>
  <c r="C2921" i="2"/>
  <c r="C2913" i="2"/>
  <c r="C2908" i="2"/>
  <c r="C2906" i="2"/>
  <c r="C2905" i="2"/>
  <c r="C2901" i="2"/>
  <c r="C2900" i="2"/>
  <c r="C2899" i="2"/>
  <c r="C2895" i="2"/>
  <c r="C2894" i="2"/>
  <c r="C2893" i="2"/>
  <c r="C2886" i="2"/>
  <c r="C2884" i="2"/>
  <c r="C2883" i="2"/>
  <c r="C2882" i="2"/>
  <c r="C2878" i="2"/>
  <c r="C2877" i="2"/>
  <c r="C2875" i="2"/>
  <c r="C2869" i="2"/>
  <c r="C2866" i="2"/>
  <c r="C2862" i="2"/>
  <c r="C2861" i="2"/>
  <c r="C2850" i="2"/>
  <c r="C2846" i="2"/>
  <c r="C2844" i="2"/>
  <c r="C2832" i="2"/>
  <c r="C2831" i="2"/>
  <c r="C2830" i="2"/>
  <c r="C2829" i="2"/>
  <c r="C2828" i="2"/>
  <c r="C2826" i="2"/>
  <c r="C2817" i="2"/>
  <c r="C2816" i="2"/>
  <c r="C2810" i="2"/>
  <c r="C2805" i="2"/>
  <c r="C2803" i="2"/>
  <c r="C2801" i="2"/>
  <c r="C2798" i="2"/>
  <c r="C2796" i="2"/>
  <c r="C2795" i="2"/>
  <c r="C2794" i="2"/>
  <c r="C2789" i="2"/>
  <c r="C2786" i="2"/>
  <c r="C2782" i="2"/>
  <c r="C2781" i="2"/>
  <c r="C2780" i="2"/>
  <c r="C2779" i="2"/>
  <c r="C2778" i="2"/>
  <c r="C2772" i="2"/>
  <c r="C2769" i="2"/>
  <c r="C2767" i="2"/>
  <c r="C2766" i="2"/>
  <c r="C2763" i="2"/>
  <c r="C2762" i="2"/>
  <c r="C2759" i="2"/>
  <c r="C2758" i="2"/>
  <c r="C2755" i="2"/>
  <c r="C2754" i="2"/>
  <c r="C2744" i="2"/>
  <c r="C2742" i="2"/>
  <c r="C2740" i="2"/>
  <c r="C2734" i="2"/>
  <c r="C2726" i="2"/>
  <c r="C2724" i="2"/>
  <c r="C2723" i="2"/>
  <c r="C2710" i="2"/>
  <c r="C2707" i="2"/>
  <c r="C3021" i="2"/>
  <c r="C3020" i="2"/>
  <c r="C2996" i="2"/>
  <c r="C2970" i="2"/>
  <c r="C2950" i="2"/>
  <c r="C2938" i="2"/>
  <c r="C2920" i="2"/>
  <c r="C2919" i="2"/>
  <c r="C2881" i="2"/>
  <c r="C2880" i="2"/>
  <c r="C2871" i="2"/>
  <c r="C2865" i="2"/>
  <c r="C2854" i="2"/>
  <c r="C2804" i="2"/>
  <c r="C2799" i="2"/>
  <c r="C2776" i="2"/>
  <c r="C2774" i="2"/>
  <c r="C2768" i="2"/>
  <c r="C2765" i="2"/>
  <c r="C2733" i="2"/>
  <c r="C2731" i="2"/>
  <c r="C2730" i="2"/>
  <c r="C2725" i="2"/>
  <c r="C2721" i="2"/>
  <c r="C2703" i="2"/>
  <c r="C2697" i="2"/>
  <c r="C2834" i="2"/>
  <c r="C2979" i="2"/>
  <c r="C2962" i="2"/>
  <c r="C2934" i="2"/>
  <c r="C2896" i="2"/>
  <c r="C2823" i="2"/>
  <c r="C2819" i="2"/>
  <c r="C2771" i="2"/>
  <c r="C2737" i="2"/>
  <c r="C2722" i="2"/>
  <c r="C2720" i="2"/>
  <c r="C3028" i="2"/>
  <c r="C3017" i="2"/>
  <c r="C3010" i="2"/>
  <c r="C2981" i="2"/>
  <c r="C2889" i="2"/>
  <c r="C2853" i="2"/>
  <c r="C2728" i="2"/>
  <c r="C2715" i="2"/>
  <c r="C2696" i="2"/>
  <c r="C2693" i="2"/>
  <c r="C2690" i="2"/>
  <c r="C2971" i="2"/>
  <c r="C2851" i="2"/>
  <c r="C2839" i="2"/>
  <c r="C2836" i="2"/>
  <c r="C3029" i="2"/>
  <c r="C3024" i="2"/>
  <c r="C3003" i="2"/>
  <c r="C3000" i="2"/>
  <c r="C2997" i="2"/>
  <c r="C2986" i="2"/>
  <c r="C2982" i="2"/>
  <c r="C2975" i="2"/>
  <c r="C2928" i="2"/>
  <c r="C2924" i="2"/>
  <c r="C2918" i="2"/>
  <c r="C2917" i="2"/>
  <c r="C2915" i="2"/>
  <c r="C2912" i="2"/>
  <c r="C2910" i="2"/>
  <c r="C2903" i="2"/>
  <c r="C2897" i="2"/>
  <c r="C2892" i="2"/>
  <c r="C2891" i="2"/>
  <c r="C2879" i="2"/>
  <c r="C2873" i="2"/>
  <c r="C2872" i="2"/>
  <c r="C2860" i="2"/>
  <c r="C2855" i="2"/>
  <c r="C2845" i="2"/>
  <c r="C2843" i="2"/>
  <c r="C2842" i="2"/>
  <c r="C2827" i="2"/>
  <c r="C2825" i="2"/>
  <c r="C2815" i="2"/>
  <c r="C2813" i="2"/>
  <c r="C2807" i="2"/>
  <c r="C2806" i="2"/>
  <c r="C2800" i="2"/>
  <c r="C2791" i="2"/>
  <c r="C2749" i="2"/>
  <c r="C2748" i="2"/>
  <c r="C2747" i="2"/>
  <c r="C2712" i="2"/>
  <c r="C2705" i="2"/>
  <c r="C3031" i="2"/>
  <c r="C3030" i="2"/>
  <c r="C3023" i="2"/>
  <c r="C3022" i="2"/>
  <c r="C3011" i="2"/>
  <c r="C3006" i="2"/>
  <c r="C2999" i="2"/>
  <c r="C2998" i="2"/>
  <c r="C2995" i="2"/>
  <c r="C2991" i="2"/>
  <c r="C2990" i="2"/>
  <c r="C2988" i="2"/>
  <c r="C2983" i="2"/>
  <c r="C2980" i="2"/>
  <c r="C2978" i="2"/>
  <c r="C2974" i="2"/>
  <c r="C2972" i="2"/>
  <c r="C2966" i="2"/>
  <c r="C2965" i="2"/>
  <c r="C2960" i="2"/>
  <c r="C2958" i="2"/>
  <c r="C2955" i="2"/>
  <c r="C2954" i="2"/>
  <c r="C2953" i="2"/>
  <c r="C2951" i="2"/>
  <c r="C2949" i="2"/>
  <c r="C2948" i="2"/>
  <c r="C2943" i="2"/>
  <c r="C2936" i="2"/>
  <c r="C2933" i="2"/>
  <c r="C2922" i="2"/>
  <c r="C2916" i="2"/>
  <c r="C2911" i="2"/>
  <c r="C2907" i="2"/>
  <c r="C2904" i="2"/>
  <c r="C2902" i="2"/>
  <c r="C2890" i="2"/>
  <c r="C2888" i="2"/>
  <c r="C2887" i="2"/>
  <c r="C2885" i="2"/>
  <c r="C2868" i="2"/>
  <c r="C2867" i="2"/>
  <c r="C2864" i="2"/>
  <c r="C2859" i="2"/>
  <c r="C2856" i="2"/>
  <c r="C2847" i="2"/>
  <c r="C2840" i="2"/>
  <c r="C2833" i="2"/>
  <c r="C2946" i="2"/>
  <c r="C2818" i="2"/>
  <c r="C2814" i="2"/>
  <c r="C2809" i="2"/>
  <c r="C2808" i="2"/>
  <c r="C2802" i="2"/>
  <c r="C2793" i="2"/>
  <c r="C2792" i="2"/>
  <c r="C2790" i="2"/>
  <c r="C2788" i="2"/>
  <c r="C2787" i="2"/>
  <c r="C2785" i="2"/>
  <c r="C2777" i="2"/>
  <c r="C2775" i="2"/>
  <c r="C2770" i="2"/>
  <c r="C2764" i="2"/>
  <c r="C2761" i="2"/>
  <c r="C2760" i="2"/>
  <c r="C2757" i="2"/>
  <c r="C2756" i="2"/>
  <c r="C2752" i="2"/>
  <c r="C2745" i="2"/>
  <c r="C2743" i="2"/>
  <c r="C2741" i="2"/>
  <c r="C2738" i="2"/>
  <c r="C2739" i="2"/>
  <c r="C2736" i="2"/>
  <c r="C2732" i="2"/>
  <c r="C2729" i="2"/>
  <c r="C2727" i="2"/>
  <c r="C2718" i="2"/>
  <c r="C2711" i="2"/>
  <c r="C2702" i="2"/>
  <c r="C2700" i="2"/>
  <c r="C2695" i="2"/>
  <c r="C2694" i="2"/>
  <c r="C2691" i="2"/>
  <c r="C2704" i="2"/>
  <c r="C3027" i="2"/>
  <c r="C3019" i="2"/>
  <c r="C3018" i="2"/>
  <c r="C3016" i="2"/>
  <c r="C3015" i="2"/>
  <c r="C3014" i="2"/>
  <c r="C3013" i="2"/>
  <c r="C3012" i="2"/>
  <c r="C3009" i="2"/>
  <c r="C3008" i="2"/>
  <c r="C3007" i="2"/>
  <c r="C3005" i="2"/>
  <c r="C3004" i="2"/>
  <c r="C3001" i="2"/>
  <c r="C2989" i="2"/>
  <c r="C2987" i="2"/>
  <c r="C2985" i="2"/>
  <c r="C2984" i="2"/>
  <c r="C2977" i="2"/>
  <c r="C2929" i="2"/>
  <c r="C2925" i="2"/>
  <c r="C2914" i="2"/>
  <c r="C2898" i="2"/>
  <c r="C2876" i="2"/>
  <c r="C2874" i="2"/>
  <c r="C2870" i="2"/>
  <c r="C2863" i="2"/>
  <c r="C2858" i="2"/>
  <c r="C2857" i="2"/>
  <c r="C2852" i="2"/>
  <c r="C2849" i="2"/>
  <c r="C2848" i="2"/>
  <c r="C2841" i="2"/>
  <c r="C2824" i="2"/>
  <c r="C2821" i="2"/>
  <c r="C2812" i="2"/>
  <c r="C2811" i="2"/>
  <c r="C2797" i="2"/>
  <c r="C2784" i="2"/>
  <c r="C2783" i="2"/>
  <c r="C2773" i="2"/>
  <c r="C2753" i="2"/>
  <c r="C2751" i="2"/>
  <c r="C2746" i="2"/>
  <c r="C2735" i="2"/>
  <c r="C2719" i="2"/>
  <c r="C2717" i="2"/>
  <c r="C2716" i="2"/>
  <c r="C2714" i="2"/>
  <c r="C2713" i="2"/>
  <c r="C2709" i="2"/>
  <c r="C2708" i="2"/>
  <c r="C2701" i="2"/>
  <c r="C2699" i="2"/>
  <c r="C2698" i="2"/>
  <c r="C2750" i="2"/>
  <c r="C2692" i="2"/>
  <c r="C2689" i="2"/>
  <c r="C2838" i="2"/>
  <c r="C2837" i="2"/>
  <c r="C2835" i="2"/>
  <c r="C1287" i="2"/>
  <c r="C2289" i="2"/>
  <c r="C2270" i="2"/>
  <c r="C2257" i="2"/>
  <c r="C2250" i="2"/>
  <c r="C2247" i="2"/>
  <c r="C2234" i="2"/>
  <c r="C2228" i="2"/>
  <c r="C2226" i="2"/>
  <c r="C2216" i="2"/>
  <c r="C2191" i="2"/>
  <c r="C2189" i="2"/>
  <c r="C2188" i="2"/>
  <c r="C2166" i="2"/>
  <c r="C2164" i="2"/>
  <c r="C2163" i="2"/>
  <c r="C2162" i="2"/>
  <c r="C2160" i="2"/>
  <c r="C2156" i="2"/>
  <c r="C2296" i="2"/>
  <c r="C2238" i="2"/>
  <c r="C2184" i="2"/>
  <c r="C2152" i="2"/>
  <c r="C2159" i="2"/>
  <c r="C2155" i="2"/>
  <c r="C2297" i="2"/>
  <c r="C2288" i="2"/>
  <c r="C2287" i="2"/>
  <c r="C2263" i="2"/>
  <c r="C2239" i="2"/>
  <c r="C2236" i="2"/>
  <c r="C2218" i="2"/>
  <c r="C2215" i="2"/>
  <c r="C2205" i="2"/>
  <c r="C2197" i="2"/>
  <c r="C2185" i="2"/>
  <c r="C2176" i="2"/>
  <c r="C2279" i="2"/>
  <c r="C2286" i="2"/>
  <c r="C2281" i="2"/>
  <c r="C2280" i="2"/>
  <c r="C2274" i="2"/>
  <c r="C2271" i="2"/>
  <c r="C2267" i="2"/>
  <c r="C2262" i="2"/>
  <c r="C2255" i="2"/>
  <c r="C2245" i="2"/>
  <c r="C2232" i="2"/>
  <c r="C2230" i="2"/>
  <c r="C2222" i="2"/>
  <c r="C2210" i="2"/>
  <c r="C2198" i="2"/>
  <c r="C2178" i="2"/>
  <c r="C2173" i="2"/>
  <c r="C2151" i="2"/>
  <c r="C2300" i="2"/>
  <c r="C2298" i="2"/>
  <c r="C2295" i="2"/>
  <c r="C2294" i="2"/>
  <c r="C2293" i="2"/>
  <c r="C2292" i="2"/>
  <c r="C2291" i="2"/>
  <c r="C2290" i="2"/>
  <c r="C2282" i="2"/>
  <c r="C2277" i="2"/>
  <c r="C2276" i="2"/>
  <c r="C2275" i="2"/>
  <c r="C2269" i="2"/>
  <c r="C2266" i="2"/>
  <c r="C2264" i="2"/>
  <c r="C2260" i="2"/>
  <c r="C2258" i="2"/>
  <c r="C2254" i="2"/>
  <c r="C2253" i="2"/>
  <c r="C2252" i="2"/>
  <c r="C2249" i="2"/>
  <c r="C2248" i="2"/>
  <c r="C2246" i="2"/>
  <c r="C2244" i="2"/>
  <c r="C2243" i="2"/>
  <c r="C2242" i="2"/>
  <c r="C2241" i="2"/>
  <c r="C2283" i="2"/>
  <c r="C2212" i="2"/>
  <c r="C2237" i="2"/>
  <c r="C2233" i="2"/>
  <c r="C2229" i="2"/>
  <c r="C2227" i="2"/>
  <c r="C2221" i="2"/>
  <c r="C2217" i="2"/>
  <c r="C2209" i="2"/>
  <c r="C2206" i="2"/>
  <c r="C2201" i="2"/>
  <c r="C2195" i="2"/>
  <c r="C2182" i="2"/>
  <c r="C2174" i="2"/>
  <c r="C2171" i="2"/>
  <c r="C2167" i="2"/>
  <c r="C2165" i="2"/>
  <c r="C2154" i="2"/>
  <c r="C2153" i="2"/>
  <c r="C2149" i="2"/>
  <c r="C2148" i="2"/>
  <c r="C2146" i="2"/>
  <c r="C2143" i="2"/>
  <c r="C2142" i="2"/>
  <c r="C2140" i="2"/>
  <c r="C2301" i="2"/>
  <c r="C2299" i="2"/>
  <c r="C2285" i="2"/>
  <c r="C2284" i="2"/>
  <c r="C2278" i="2"/>
  <c r="C2273" i="2"/>
  <c r="C2272" i="2"/>
  <c r="C2268" i="2"/>
  <c r="C2265" i="2"/>
  <c r="C2259" i="2"/>
  <c r="C2256" i="2"/>
  <c r="C2251" i="2"/>
  <c r="C2240" i="2"/>
  <c r="C2235" i="2"/>
  <c r="C2231" i="2"/>
  <c r="C2225" i="2"/>
  <c r="C2223" i="2"/>
  <c r="C2224" i="2"/>
  <c r="C2220" i="2"/>
  <c r="C2219" i="2"/>
  <c r="C2214" i="2"/>
  <c r="C2211" i="2"/>
  <c r="C2208" i="2"/>
  <c r="C2207" i="2"/>
  <c r="C2204" i="2"/>
  <c r="C2203" i="2"/>
  <c r="C2202" i="2"/>
  <c r="C2200" i="2"/>
  <c r="C2199" i="2"/>
  <c r="C2196" i="2"/>
  <c r="C2194" i="2"/>
  <c r="C2193" i="2"/>
  <c r="C2192" i="2"/>
  <c r="C2190" i="2"/>
  <c r="C2187" i="2"/>
  <c r="C2186" i="2"/>
  <c r="C2183" i="2"/>
  <c r="C2181" i="2"/>
  <c r="C2180" i="2"/>
  <c r="C2179" i="2"/>
  <c r="C2177" i="2"/>
  <c r="C2175" i="2"/>
  <c r="C2172" i="2"/>
  <c r="C2170" i="2"/>
  <c r="C2169" i="2"/>
  <c r="C2168" i="2"/>
  <c r="C2161" i="2"/>
  <c r="C2158" i="2"/>
  <c r="C2157" i="2"/>
  <c r="C2150" i="2"/>
  <c r="C2147" i="2"/>
  <c r="C2145" i="2"/>
  <c r="C2144" i="2"/>
  <c r="C2141" i="2"/>
  <c r="C2139" i="2"/>
  <c r="C2261" i="2"/>
  <c r="C1767" i="2"/>
  <c r="C2706" i="2"/>
  <c r="C954" i="2"/>
  <c r="C951" i="2"/>
  <c r="C949" i="2"/>
  <c r="C943" i="2"/>
  <c r="C939" i="2"/>
  <c r="C926" i="2"/>
  <c r="C925" i="2"/>
  <c r="C923" i="2"/>
  <c r="C914" i="2"/>
  <c r="C912" i="2"/>
  <c r="C910" i="2"/>
  <c r="C909" i="2"/>
  <c r="C908" i="2"/>
  <c r="C907" i="2"/>
  <c r="C906" i="2"/>
  <c r="C905" i="2"/>
  <c r="C904" i="2"/>
  <c r="C902" i="2"/>
  <c r="C901" i="2"/>
  <c r="C900" i="2"/>
  <c r="C897" i="2"/>
  <c r="C895" i="2"/>
  <c r="C894" i="2"/>
  <c r="C893" i="2"/>
  <c r="C886" i="2"/>
  <c r="C885" i="2"/>
  <c r="C884" i="2"/>
  <c r="C883" i="2"/>
  <c r="C882" i="2"/>
  <c r="C881" i="2"/>
  <c r="C880" i="2"/>
  <c r="C879" i="2"/>
  <c r="C876" i="2"/>
  <c r="C875" i="2"/>
  <c r="C874" i="2"/>
  <c r="C872" i="2"/>
  <c r="C870" i="2"/>
  <c r="C867" i="2"/>
  <c r="C866" i="2"/>
  <c r="C865" i="2"/>
  <c r="C863" i="2"/>
  <c r="C861" i="2"/>
  <c r="C860" i="2"/>
  <c r="C859" i="2"/>
  <c r="C857" i="2"/>
  <c r="C856" i="2"/>
  <c r="C853" i="2"/>
  <c r="C850" i="2"/>
  <c r="C849" i="2"/>
  <c r="C848" i="2"/>
  <c r="C847" i="2"/>
  <c r="C845" i="2"/>
  <c r="C844" i="2"/>
  <c r="C843" i="2"/>
  <c r="C841" i="2"/>
  <c r="C840" i="2"/>
  <c r="C838" i="2"/>
  <c r="C836" i="2"/>
  <c r="C835" i="2"/>
  <c r="C834" i="2"/>
  <c r="C832" i="2"/>
  <c r="C828" i="2"/>
  <c r="C820" i="2"/>
  <c r="C814" i="2"/>
  <c r="C813" i="2"/>
  <c r="C809" i="2"/>
  <c r="C808" i="2"/>
  <c r="C803" i="2"/>
  <c r="C801" i="2"/>
  <c r="C799" i="2"/>
  <c r="C796" i="2"/>
  <c r="C795" i="2"/>
  <c r="C794" i="2"/>
  <c r="C793" i="2"/>
  <c r="C790" i="2"/>
  <c r="C743" i="2"/>
  <c r="C735" i="2"/>
  <c r="C734" i="2"/>
  <c r="C732" i="2"/>
  <c r="C731" i="2"/>
  <c r="C725" i="2"/>
  <c r="C707" i="2"/>
  <c r="C702" i="2"/>
  <c r="C691" i="2"/>
  <c r="C684" i="2"/>
  <c r="C649" i="2"/>
  <c r="C629" i="2"/>
  <c r="C888" i="2"/>
  <c r="C877" i="2"/>
  <c r="C862" i="2"/>
  <c r="C797" i="2"/>
  <c r="C791" i="2"/>
  <c r="C716" i="2"/>
  <c r="C643" i="2"/>
  <c r="C648" i="2"/>
  <c r="C869" i="2"/>
  <c r="C855" i="2"/>
  <c r="C816" i="2"/>
  <c r="C724" i="2"/>
  <c r="C695" i="2"/>
  <c r="C927" i="2"/>
  <c r="C871" i="2"/>
  <c r="C851" i="2"/>
  <c r="C827" i="2"/>
  <c r="C826" i="2"/>
  <c r="C792" i="2"/>
  <c r="C775" i="2"/>
  <c r="C746" i="2"/>
  <c r="C710" i="2"/>
  <c r="C708" i="2"/>
  <c r="C706" i="2"/>
  <c r="C674" i="2"/>
  <c r="C670" i="2"/>
  <c r="C665" i="2"/>
  <c r="C666" i="2"/>
  <c r="C647" i="2"/>
  <c r="C646" i="2"/>
  <c r="C645" i="2"/>
  <c r="C738" i="2"/>
  <c r="C726" i="2"/>
  <c r="C721" i="2"/>
  <c r="C715" i="2"/>
  <c r="C940" i="2"/>
  <c r="C679" i="2"/>
  <c r="C639" i="2"/>
  <c r="C956" i="2"/>
  <c r="C947" i="2"/>
  <c r="C946" i="2"/>
  <c r="C945" i="2"/>
  <c r="C934" i="2"/>
  <c r="C924" i="2"/>
  <c r="C922" i="2"/>
  <c r="C918" i="2"/>
  <c r="C915" i="2"/>
  <c r="C913" i="2"/>
  <c r="C950" i="2"/>
  <c r="C948" i="2"/>
  <c r="C929" i="2"/>
  <c r="C911" i="2"/>
  <c r="C898" i="2"/>
  <c r="C896" i="2"/>
  <c r="C892" i="2"/>
  <c r="C890" i="2"/>
  <c r="C889" i="2"/>
  <c r="C878" i="2"/>
  <c r="C868" i="2"/>
  <c r="C864" i="2"/>
  <c r="C858" i="2"/>
  <c r="C852" i="2"/>
  <c r="C846" i="2"/>
  <c r="C830" i="2"/>
  <c r="C824" i="2"/>
  <c r="C822" i="2"/>
  <c r="C819" i="2"/>
  <c r="C818" i="2"/>
  <c r="C815" i="2"/>
  <c r="C811" i="2"/>
  <c r="C807" i="2"/>
  <c r="C806" i="2"/>
  <c r="C805" i="2"/>
  <c r="C804" i="2"/>
  <c r="C798" i="2"/>
  <c r="C789" i="2"/>
  <c r="C781" i="2"/>
  <c r="C777" i="2"/>
  <c r="C776" i="2"/>
  <c r="C817" i="2"/>
  <c r="C787" i="2"/>
  <c r="C785" i="2"/>
  <c r="C773" i="2"/>
  <c r="C769" i="2"/>
  <c r="C759" i="2"/>
  <c r="C757" i="2"/>
  <c r="C753" i="2"/>
  <c r="C750" i="2"/>
  <c r="C744" i="2"/>
  <c r="C742" i="2"/>
  <c r="C739" i="2"/>
  <c r="C736" i="2"/>
  <c r="C733" i="2"/>
  <c r="C728" i="2"/>
  <c r="C727" i="2"/>
  <c r="C720" i="2"/>
  <c r="C719" i="2"/>
  <c r="C713" i="2"/>
  <c r="C712" i="2"/>
  <c r="C711" i="2"/>
  <c r="C705" i="2"/>
  <c r="C704" i="2"/>
  <c r="C701" i="2"/>
  <c r="C698" i="2"/>
  <c r="C682" i="2"/>
  <c r="C677" i="2"/>
  <c r="C675" i="2"/>
  <c r="C656" i="2"/>
  <c r="C655" i="2"/>
  <c r="C653" i="2"/>
  <c r="C644" i="2"/>
  <c r="C642" i="2"/>
  <c r="C637" i="2"/>
  <c r="C636" i="2"/>
  <c r="C635" i="2"/>
  <c r="C632" i="2"/>
  <c r="C630" i="2"/>
  <c r="C955" i="2"/>
  <c r="C953" i="2"/>
  <c r="C952" i="2"/>
  <c r="C944" i="2"/>
  <c r="C938" i="2"/>
  <c r="C937" i="2"/>
  <c r="C936" i="2"/>
  <c r="C935" i="2"/>
  <c r="C933" i="2"/>
  <c r="C932" i="2"/>
  <c r="C931" i="2"/>
  <c r="C928" i="2"/>
  <c r="C920" i="2"/>
  <c r="C919" i="2"/>
  <c r="C917" i="2"/>
  <c r="C916" i="2"/>
  <c r="C903" i="2"/>
  <c r="C899" i="2"/>
  <c r="C891" i="2"/>
  <c r="C873" i="2"/>
  <c r="C887" i="2"/>
  <c r="C854" i="2"/>
  <c r="C842" i="2"/>
  <c r="C839" i="2"/>
  <c r="C833" i="2"/>
  <c r="C831" i="2"/>
  <c r="C829" i="2"/>
  <c r="C825" i="2"/>
  <c r="C823" i="2"/>
  <c r="C821" i="2"/>
  <c r="C812" i="2"/>
  <c r="C930" i="2"/>
  <c r="C802" i="2"/>
  <c r="C800" i="2"/>
  <c r="C788" i="2"/>
  <c r="C786" i="2"/>
  <c r="C784" i="2"/>
  <c r="C783" i="2"/>
  <c r="C782" i="2"/>
  <c r="C780" i="2"/>
  <c r="C779" i="2"/>
  <c r="C778" i="2"/>
  <c r="C774" i="2"/>
  <c r="C772" i="2"/>
  <c r="C771" i="2"/>
  <c r="C770" i="2"/>
  <c r="C768" i="2"/>
  <c r="C767" i="2"/>
  <c r="C766" i="2"/>
  <c r="C765" i="2"/>
  <c r="C764" i="2"/>
  <c r="C763" i="2"/>
  <c r="C762" i="2"/>
  <c r="C761" i="2"/>
  <c r="C758" i="2"/>
  <c r="C756" i="2"/>
  <c r="C755" i="2"/>
  <c r="C754" i="2"/>
  <c r="C752" i="2"/>
  <c r="C751" i="2"/>
  <c r="C749" i="2"/>
  <c r="C748" i="2"/>
  <c r="C747" i="2"/>
  <c r="C745" i="2"/>
  <c r="C663" i="2"/>
  <c r="C741" i="2"/>
  <c r="C740" i="2"/>
  <c r="C737" i="2"/>
  <c r="C730" i="2"/>
  <c r="C729" i="2"/>
  <c r="C723" i="2"/>
  <c r="C722" i="2"/>
  <c r="C718" i="2"/>
  <c r="C717" i="2"/>
  <c r="C714" i="2"/>
  <c r="C709" i="2"/>
  <c r="C703" i="2"/>
  <c r="C700" i="2"/>
  <c r="C699" i="2"/>
  <c r="C697" i="2"/>
  <c r="C696" i="2"/>
  <c r="C694" i="2"/>
  <c r="C693" i="2"/>
  <c r="C692" i="2"/>
  <c r="C690" i="2"/>
  <c r="C689" i="2"/>
  <c r="C688" i="2"/>
  <c r="C687" i="2"/>
  <c r="C686" i="2"/>
  <c r="C685" i="2"/>
  <c r="C683" i="2"/>
  <c r="C681" i="2"/>
  <c r="C680" i="2"/>
  <c r="C678" i="2"/>
  <c r="C676" i="2"/>
  <c r="C673" i="2"/>
  <c r="C672" i="2"/>
  <c r="C671" i="2"/>
  <c r="C669" i="2"/>
  <c r="C668" i="2"/>
  <c r="C667" i="2"/>
  <c r="C664" i="2"/>
  <c r="C662" i="2"/>
  <c r="C661" i="2"/>
  <c r="C660" i="2"/>
  <c r="C659" i="2"/>
  <c r="C658" i="2"/>
  <c r="C657" i="2"/>
  <c r="C654" i="2"/>
  <c r="C652" i="2"/>
  <c r="C651" i="2"/>
  <c r="C650" i="2"/>
  <c r="C641" i="2"/>
  <c r="C640" i="2"/>
  <c r="C638" i="2"/>
  <c r="C634" i="2"/>
  <c r="C633" i="2"/>
  <c r="C631" i="2"/>
  <c r="C628" i="2"/>
  <c r="C627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597" i="2"/>
  <c r="C2634" i="2"/>
  <c r="C2633" i="2"/>
  <c r="C2632" i="2"/>
  <c r="C2631" i="2"/>
  <c r="C2630" i="2"/>
  <c r="C2629" i="2"/>
  <c r="C2627" i="2"/>
  <c r="C2626" i="2"/>
  <c r="C2625" i="2"/>
  <c r="C2624" i="2"/>
  <c r="C2623" i="2"/>
  <c r="C2622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02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628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1" i="2"/>
  <c r="C2450" i="2"/>
  <c r="C2449" i="2"/>
  <c r="C2448" i="2"/>
  <c r="C2447" i="2"/>
  <c r="C2446" i="2"/>
  <c r="C2445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2" i="2"/>
  <c r="C2371" i="2"/>
  <c r="C2370" i="2"/>
  <c r="C2369" i="2"/>
  <c r="C2368" i="2"/>
  <c r="C2909" i="2"/>
  <c r="C1748" i="2"/>
  <c r="C958" i="2"/>
  <c r="C3352" i="2"/>
  <c r="C1959" i="2"/>
  <c r="C1429" i="2"/>
  <c r="C343" i="2"/>
  <c r="C568" i="2"/>
  <c r="C2006" i="2"/>
  <c r="C2822" i="2"/>
  <c r="C2994" i="2"/>
  <c r="C3461" i="2"/>
  <c r="C1510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1569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3" i="2"/>
  <c r="C3092" i="2"/>
  <c r="C3091" i="2"/>
  <c r="C3090" i="2"/>
  <c r="C3089" i="2"/>
  <c r="C3088" i="2"/>
  <c r="C3087" i="2"/>
  <c r="C3086" i="2"/>
  <c r="C3085" i="2"/>
  <c r="C3084" i="2"/>
  <c r="C3083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224" i="2"/>
  <c r="C1254" i="2"/>
  <c r="C1741" i="2"/>
  <c r="C810" i="2"/>
  <c r="C1828" i="2"/>
  <c r="C1322" i="2"/>
  <c r="C2444" i="2"/>
  <c r="C941" i="2"/>
  <c r="C2621" i="2"/>
  <c r="C2373" i="2"/>
  <c r="C1758" i="2"/>
  <c r="C3048" i="2"/>
  <c r="C760" i="2"/>
  <c r="C1900" i="2"/>
  <c r="C1285" i="2"/>
  <c r="C2044" i="2"/>
  <c r="C2043" i="2"/>
  <c r="C2042" i="2"/>
  <c r="C2041" i="2"/>
  <c r="C2040" i="2"/>
  <c r="C2039" i="2"/>
  <c r="C2038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5" i="2"/>
  <c r="C2004" i="2"/>
  <c r="C2003" i="2"/>
  <c r="C2002" i="2"/>
  <c r="C2001" i="2"/>
  <c r="C2000" i="2"/>
  <c r="C1999" i="2"/>
  <c r="C1997" i="2"/>
  <c r="C1996" i="2"/>
  <c r="C1995" i="2"/>
  <c r="C1998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27" i="2"/>
  <c r="C3361" i="2"/>
  <c r="C3360" i="2"/>
  <c r="C3359" i="2"/>
  <c r="C3358" i="2"/>
  <c r="C3357" i="2"/>
  <c r="C3356" i="2"/>
  <c r="C3355" i="2"/>
  <c r="C3354" i="2"/>
  <c r="C3353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6" i="2"/>
  <c r="C3325" i="2"/>
  <c r="C3324" i="2"/>
  <c r="C3323" i="2"/>
  <c r="C3322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5" i="2"/>
  <c r="C1836" i="2"/>
  <c r="C1834" i="2"/>
  <c r="C1833" i="2"/>
  <c r="C1832" i="2"/>
  <c r="C1831" i="2"/>
  <c r="C1830" i="2"/>
  <c r="C1829" i="2"/>
  <c r="C1827" i="2"/>
  <c r="C1826" i="2"/>
  <c r="C1825" i="2"/>
  <c r="C1823" i="2"/>
  <c r="C1822" i="2"/>
  <c r="C1821" i="2"/>
  <c r="C1820" i="2"/>
  <c r="C1819" i="2"/>
  <c r="C1818" i="2"/>
  <c r="C1817" i="2"/>
  <c r="C1815" i="2"/>
  <c r="C1814" i="2"/>
  <c r="C1813" i="2"/>
  <c r="C1812" i="2"/>
  <c r="C1811" i="2"/>
  <c r="C1810" i="2"/>
  <c r="C1803" i="2"/>
  <c r="C1809" i="2"/>
  <c r="C1808" i="2"/>
  <c r="C1807" i="2"/>
  <c r="C1806" i="2"/>
  <c r="C1805" i="2"/>
  <c r="C1804" i="2"/>
  <c r="C1802" i="2"/>
  <c r="C1801" i="2"/>
  <c r="C1800" i="2"/>
  <c r="C1799" i="2"/>
  <c r="C1798" i="2"/>
  <c r="C1797" i="2"/>
  <c r="C1796" i="2"/>
  <c r="C1795" i="2"/>
  <c r="C1794" i="2"/>
  <c r="C1793" i="2"/>
  <c r="C2362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6" i="2"/>
  <c r="C1765" i="2"/>
  <c r="C1764" i="2"/>
  <c r="C1763" i="2"/>
  <c r="C1762" i="2"/>
  <c r="C1761" i="2"/>
  <c r="C1760" i="2"/>
  <c r="C1759" i="2"/>
  <c r="C1757" i="2"/>
  <c r="C1756" i="2"/>
  <c r="C1755" i="2"/>
  <c r="C1754" i="2"/>
  <c r="C1752" i="2"/>
  <c r="C1751" i="2"/>
  <c r="C1749" i="2"/>
  <c r="C1747" i="2"/>
  <c r="C1746" i="2"/>
  <c r="C1745" i="2"/>
  <c r="C1744" i="2"/>
  <c r="C1743" i="2"/>
  <c r="C1742" i="2"/>
  <c r="C1740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2037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2" i="2"/>
  <c r="C2111" i="2"/>
  <c r="C2110" i="2"/>
  <c r="C2109" i="2"/>
  <c r="C2108" i="2"/>
  <c r="C2096" i="2"/>
  <c r="C2107" i="2"/>
  <c r="C2106" i="2"/>
  <c r="C2105" i="2"/>
  <c r="C2104" i="2"/>
  <c r="C2103" i="2"/>
  <c r="C2102" i="2"/>
  <c r="C2101" i="2"/>
  <c r="C2100" i="2"/>
  <c r="C2099" i="2"/>
  <c r="C2098" i="2"/>
  <c r="C2097" i="2"/>
  <c r="C2095" i="2"/>
  <c r="C2094" i="2"/>
  <c r="C2093" i="2"/>
  <c r="C2092" i="2"/>
  <c r="C2091" i="2"/>
  <c r="C2090" i="2"/>
  <c r="C2089" i="2"/>
  <c r="C2088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59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55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2367" i="2"/>
  <c r="C2366" i="2"/>
  <c r="C2365" i="2"/>
  <c r="C2364" i="2"/>
  <c r="C2363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1739" i="2"/>
  <c r="C3094" i="2"/>
  <c r="C1957" i="2"/>
  <c r="C1956" i="2"/>
  <c r="C1955" i="2"/>
  <c r="C1954" i="2"/>
  <c r="C1953" i="2"/>
  <c r="C1952" i="2"/>
  <c r="C1950" i="2"/>
  <c r="C1949" i="2"/>
  <c r="C1948" i="2"/>
  <c r="C1947" i="2"/>
  <c r="C1946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331" i="2"/>
  <c r="C2330" i="2"/>
  <c r="C2329" i="2"/>
  <c r="C2305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4" i="2"/>
  <c r="C2303" i="2"/>
  <c r="C2302" i="2"/>
  <c r="C2688" i="2"/>
  <c r="C2687" i="2"/>
  <c r="C2686" i="2"/>
  <c r="C2685" i="2"/>
  <c r="C2684" i="2"/>
  <c r="C2683" i="2"/>
  <c r="C2682" i="2"/>
  <c r="C2681" i="2"/>
  <c r="C2680" i="2"/>
  <c r="C2679" i="2"/>
  <c r="C2678" i="2"/>
  <c r="C3416" i="2"/>
  <c r="C3415" i="2"/>
  <c r="C3414" i="2"/>
  <c r="C3413" i="2"/>
  <c r="C3412" i="2"/>
  <c r="C3411" i="2"/>
  <c r="C3410" i="2"/>
  <c r="C3409" i="2"/>
  <c r="C3408" i="2"/>
  <c r="C199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1" i="2"/>
  <c r="C3470" i="2"/>
  <c r="C3469" i="2"/>
  <c r="C3468" i="2"/>
  <c r="C3467" i="2"/>
  <c r="C3466" i="2"/>
  <c r="C3465" i="2"/>
  <c r="C3464" i="2"/>
  <c r="C3463" i="2"/>
  <c r="C3462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EA163" i="3"/>
  <c r="DY163" i="3"/>
  <c r="DW163" i="3"/>
  <c r="DT163" i="3"/>
  <c r="DR163" i="3"/>
  <c r="DP163" i="3"/>
  <c r="DN163" i="3"/>
  <c r="DL163" i="3"/>
  <c r="DJ163" i="3"/>
  <c r="DH163" i="3"/>
  <c r="DF163" i="3"/>
  <c r="DD163" i="3"/>
  <c r="DB163" i="3"/>
  <c r="CZ163" i="3"/>
  <c r="CX163" i="3"/>
  <c r="CV163" i="3"/>
  <c r="CT163" i="3"/>
  <c r="CR163" i="3"/>
  <c r="CP163" i="3"/>
  <c r="CN163" i="3"/>
  <c r="CL163" i="3"/>
  <c r="CJ163" i="3"/>
  <c r="CH163" i="3"/>
  <c r="CF163" i="3"/>
  <c r="CD163" i="3"/>
  <c r="CB163" i="3"/>
  <c r="BZ163" i="3"/>
  <c r="BX163" i="3"/>
  <c r="BV163" i="3"/>
  <c r="BT163" i="3"/>
  <c r="BR163" i="3"/>
  <c r="BP163" i="3"/>
  <c r="BN163" i="3"/>
  <c r="BL163" i="3"/>
  <c r="BJ163" i="3"/>
  <c r="BH163" i="3"/>
  <c r="BF163" i="3"/>
  <c r="BD163" i="3"/>
  <c r="BB163" i="3"/>
  <c r="AZ163" i="3"/>
  <c r="AX163" i="3"/>
  <c r="AV163" i="3"/>
  <c r="AT163" i="3"/>
  <c r="AR163" i="3"/>
  <c r="AP163" i="3"/>
  <c r="AN163" i="3"/>
  <c r="AL163" i="3"/>
  <c r="AJ163" i="3"/>
  <c r="AH163" i="3"/>
  <c r="AF163" i="3"/>
  <c r="AD163" i="3"/>
  <c r="AB163" i="3"/>
  <c r="Z163" i="3"/>
  <c r="X163" i="3"/>
  <c r="V163" i="3"/>
  <c r="T163" i="3"/>
  <c r="R163" i="3"/>
  <c r="P163" i="3"/>
  <c r="N163" i="3"/>
  <c r="L163" i="3"/>
  <c r="J163" i="3"/>
  <c r="H163" i="3"/>
  <c r="F163" i="3"/>
  <c r="D163" i="3"/>
  <c r="EB163" i="3"/>
  <c r="C3492" i="2"/>
  <c r="C3491" i="2"/>
  <c r="C3490" i="2"/>
  <c r="C3489" i="2"/>
  <c r="C3488" i="2"/>
  <c r="C3487" i="2"/>
  <c r="C3486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66" i="2"/>
  <c r="C570" i="2"/>
  <c r="C569" i="2"/>
  <c r="C567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942" i="2"/>
  <c r="C3082" i="2"/>
  <c r="C42" i="2"/>
  <c r="C50" i="2"/>
  <c r="C92" i="2"/>
  <c r="C63" i="2"/>
  <c r="C90" i="2"/>
  <c r="C98" i="2"/>
  <c r="C110" i="2"/>
  <c r="C118" i="2"/>
  <c r="C126" i="2"/>
  <c r="C128" i="2"/>
  <c r="C129" i="2"/>
  <c r="C146" i="2"/>
  <c r="C158" i="2"/>
  <c r="C296" i="2"/>
  <c r="C300" i="2"/>
  <c r="C412" i="2"/>
  <c r="C450" i="2"/>
  <c r="C142" i="2"/>
  <c r="C22" i="2"/>
  <c r="C145" i="2"/>
  <c r="C452" i="2"/>
  <c r="C167" i="2"/>
  <c r="C186" i="2"/>
  <c r="C189" i="2"/>
  <c r="C267" i="2"/>
  <c r="C193" i="2"/>
  <c r="C195" i="2"/>
  <c r="C356" i="2"/>
  <c r="C241" i="2"/>
  <c r="C268" i="2"/>
  <c r="C473" i="2"/>
  <c r="C302" i="2"/>
  <c r="C105" i="2"/>
  <c r="C109" i="2"/>
  <c r="C196" i="2"/>
  <c r="C312" i="2"/>
  <c r="C383" i="2"/>
  <c r="C409" i="2"/>
  <c r="C431" i="2"/>
  <c r="C335" i="2"/>
  <c r="C390" i="2"/>
  <c r="C131" i="2"/>
  <c r="C233" i="2"/>
  <c r="C350" i="2"/>
  <c r="C18" i="2"/>
  <c r="C31" i="2"/>
  <c r="C43" i="2"/>
  <c r="C49" i="2"/>
  <c r="C58" i="2"/>
  <c r="C66" i="2"/>
  <c r="C136" i="2"/>
  <c r="C184" i="2"/>
  <c r="C191" i="2"/>
  <c r="C221" i="2"/>
  <c r="C246" i="2"/>
  <c r="C254" i="2"/>
  <c r="C271" i="2"/>
  <c r="C278" i="2"/>
  <c r="C280" i="2"/>
  <c r="C287" i="2"/>
  <c r="C293" i="2"/>
  <c r="C311" i="2"/>
  <c r="C324" i="2"/>
  <c r="C334" i="2"/>
  <c r="C351" i="2"/>
  <c r="C380" i="2"/>
  <c r="C363" i="2"/>
  <c r="C397" i="2"/>
  <c r="C404" i="2"/>
  <c r="C33" i="2"/>
  <c r="C35" i="2"/>
  <c r="C168" i="2"/>
  <c r="C238" i="2"/>
  <c r="C341" i="2"/>
  <c r="C447" i="2"/>
  <c r="C309" i="2"/>
  <c r="C316" i="2"/>
  <c r="C446" i="2"/>
  <c r="C460" i="2"/>
  <c r="C40" i="2"/>
  <c r="C108" i="2"/>
  <c r="C348" i="2"/>
  <c r="C127" i="2"/>
  <c r="C227" i="2"/>
  <c r="C344" i="2"/>
  <c r="C379" i="2"/>
  <c r="C461" i="2"/>
  <c r="C837" i="2"/>
  <c r="C67" i="2"/>
  <c r="C6" i="2"/>
  <c r="C7" i="2"/>
  <c r="C11" i="2"/>
  <c r="C36" i="2"/>
  <c r="C47" i="2"/>
  <c r="C54" i="2"/>
  <c r="C72" i="2"/>
  <c r="C73" i="2"/>
  <c r="C76" i="2"/>
  <c r="C79" i="2"/>
  <c r="C81" i="2"/>
  <c r="C82" i="2"/>
  <c r="C85" i="2"/>
  <c r="C89" i="2"/>
  <c r="C95" i="2"/>
  <c r="C96" i="2"/>
  <c r="C100" i="2"/>
  <c r="C103" i="2"/>
  <c r="C106" i="2"/>
  <c r="C111" i="2"/>
  <c r="C112" i="2"/>
  <c r="C113" i="2"/>
  <c r="C114" i="2"/>
  <c r="C115" i="2"/>
  <c r="C152" i="2"/>
  <c r="C156" i="2"/>
  <c r="C160" i="2"/>
  <c r="C161" i="2"/>
  <c r="C162" i="2"/>
  <c r="C176" i="2"/>
  <c r="C180" i="2"/>
  <c r="C188" i="2"/>
  <c r="C194" i="2"/>
  <c r="C200" i="2"/>
  <c r="C203" i="2"/>
  <c r="C206" i="2"/>
  <c r="C215" i="2"/>
  <c r="C219" i="2"/>
  <c r="C220" i="2"/>
  <c r="C223" i="2"/>
  <c r="C248" i="2"/>
  <c r="C249" i="2"/>
  <c r="C258" i="2"/>
  <c r="C263" i="2"/>
  <c r="C274" i="2"/>
  <c r="C303" i="2"/>
  <c r="C314" i="2"/>
  <c r="C321" i="2"/>
  <c r="C322" i="2"/>
  <c r="C328" i="2"/>
  <c r="C329" i="2"/>
  <c r="C330" i="2"/>
  <c r="C337" i="2"/>
  <c r="C345" i="2"/>
  <c r="C347" i="2"/>
  <c r="C353" i="2"/>
  <c r="C367" i="2"/>
  <c r="C368" i="2"/>
  <c r="C372" i="2"/>
  <c r="C375" i="2"/>
  <c r="C382" i="2"/>
  <c r="C386" i="2"/>
  <c r="C398" i="2"/>
  <c r="C399" i="2"/>
  <c r="C413" i="2"/>
  <c r="C415" i="2"/>
  <c r="C423" i="2"/>
  <c r="C425" i="2"/>
  <c r="C434" i="2"/>
  <c r="C436" i="2"/>
  <c r="C437" i="2"/>
  <c r="C441" i="2"/>
  <c r="C448" i="2"/>
  <c r="C449" i="2"/>
  <c r="C455" i="2"/>
  <c r="C459" i="2"/>
  <c r="C466" i="2"/>
  <c r="C471" i="2"/>
  <c r="C474" i="2"/>
  <c r="C921" i="2"/>
  <c r="C116" i="2"/>
  <c r="C137" i="2"/>
  <c r="C352" i="2"/>
  <c r="C355" i="2"/>
  <c r="C453" i="2"/>
  <c r="C102" i="2"/>
  <c r="C143" i="2"/>
  <c r="C182" i="2"/>
  <c r="C422" i="2"/>
  <c r="C435" i="2"/>
  <c r="C1268" i="2"/>
  <c r="C295" i="2"/>
  <c r="C172" i="2"/>
  <c r="C478" i="2"/>
  <c r="C1642" i="2"/>
  <c r="C130" i="2"/>
  <c r="C154" i="2"/>
  <c r="C1738" i="2"/>
  <c r="C325" i="2"/>
  <c r="C462" i="2"/>
  <c r="C166" i="2"/>
  <c r="C9" i="2"/>
  <c r="C30" i="2"/>
  <c r="C60" i="2"/>
  <c r="C65" i="2"/>
  <c r="C78" i="2"/>
  <c r="C80" i="2"/>
  <c r="C84" i="2"/>
  <c r="C87" i="2"/>
  <c r="C88" i="2"/>
  <c r="C107" i="2"/>
  <c r="C119" i="2"/>
  <c r="C120" i="2"/>
  <c r="C121" i="2"/>
  <c r="C153" i="2"/>
  <c r="C155" i="2"/>
  <c r="C157" i="2"/>
  <c r="C159" i="2"/>
  <c r="C170" i="2"/>
  <c r="C171" i="2"/>
  <c r="C183" i="2"/>
  <c r="C192" i="2"/>
  <c r="C202" i="2"/>
  <c r="C204" i="2"/>
  <c r="C216" i="2"/>
  <c r="C217" i="2"/>
  <c r="C225" i="2"/>
  <c r="C239" i="2"/>
  <c r="C253" i="2"/>
  <c r="C259" i="2"/>
  <c r="C261" i="2"/>
  <c r="C265" i="2"/>
  <c r="C305" i="2"/>
  <c r="C308" i="2"/>
  <c r="C313" i="2"/>
  <c r="C317" i="2"/>
  <c r="C323" i="2"/>
  <c r="C332" i="2"/>
  <c r="C339" i="2"/>
  <c r="C340" i="2"/>
  <c r="C358" i="2"/>
  <c r="C361" i="2"/>
  <c r="C362" i="2"/>
  <c r="C365" i="2"/>
  <c r="C369" i="2"/>
  <c r="C376" i="2"/>
  <c r="C378" i="2"/>
  <c r="C388" i="2"/>
  <c r="C392" i="2"/>
  <c r="C393" i="2"/>
  <c r="C401" i="2"/>
  <c r="C402" i="2"/>
  <c r="C407" i="2"/>
  <c r="C408" i="2"/>
  <c r="C410" i="2"/>
  <c r="C414" i="2"/>
  <c r="C416" i="2"/>
  <c r="C417" i="2"/>
  <c r="C418" i="2"/>
  <c r="C430" i="2"/>
  <c r="C469" i="2"/>
  <c r="C477" i="2"/>
  <c r="C1816" i="2"/>
  <c r="C1951" i="2"/>
  <c r="C214" i="2"/>
  <c r="C61" i="2"/>
  <c r="C28" i="2"/>
  <c r="C2" i="2"/>
  <c r="C4" i="2"/>
  <c r="C38" i="2"/>
  <c r="C41" i="2"/>
  <c r="C44" i="2"/>
  <c r="C57" i="2"/>
  <c r="C70" i="2"/>
  <c r="C77" i="2"/>
  <c r="C117" i="2"/>
  <c r="C125" i="2"/>
  <c r="C134" i="2"/>
  <c r="C140" i="2"/>
  <c r="C163" i="2"/>
  <c r="C190" i="2"/>
  <c r="C212" i="2"/>
  <c r="C213" i="2"/>
  <c r="C226" i="2"/>
  <c r="C228" i="2"/>
  <c r="C230" i="2"/>
  <c r="C260" i="2"/>
  <c r="C264" i="2"/>
  <c r="C276" i="2"/>
  <c r="C281" i="2"/>
  <c r="C288" i="2"/>
  <c r="C306" i="2"/>
  <c r="C326" i="2"/>
  <c r="C327" i="2"/>
  <c r="C371" i="2"/>
  <c r="C381" i="2"/>
  <c r="C391" i="2"/>
  <c r="C394" i="2"/>
  <c r="C395" i="2"/>
  <c r="C433" i="2"/>
  <c r="C456" i="2"/>
  <c r="C457" i="2"/>
  <c r="C465" i="2"/>
  <c r="C2060" i="2"/>
  <c r="C27" i="2"/>
  <c r="C29" i="2"/>
  <c r="C32" i="2"/>
  <c r="C62" i="2"/>
  <c r="C64" i="2"/>
  <c r="C83" i="2"/>
  <c r="C133" i="2"/>
  <c r="C138" i="2"/>
  <c r="C141" i="2"/>
  <c r="C148" i="2"/>
  <c r="C150" i="2"/>
  <c r="C151" i="2"/>
  <c r="C164" i="2"/>
  <c r="C169" i="2"/>
  <c r="C179" i="2"/>
  <c r="C198" i="2"/>
  <c r="C205" i="2"/>
  <c r="C208" i="2"/>
  <c r="C218" i="2"/>
  <c r="C232" i="2"/>
  <c r="C237" i="2"/>
  <c r="C247" i="2"/>
  <c r="C252" i="2"/>
  <c r="C256" i="2"/>
  <c r="C262" i="2"/>
  <c r="C266" i="2"/>
  <c r="C273" i="2"/>
  <c r="C285" i="2"/>
  <c r="C297" i="2"/>
  <c r="C304" i="2"/>
  <c r="C360" i="2"/>
  <c r="C373" i="2"/>
  <c r="C384" i="2"/>
  <c r="C389" i="2"/>
  <c r="C396" i="2"/>
  <c r="C421" i="2"/>
  <c r="C458" i="2"/>
  <c r="C472" i="2"/>
  <c r="C475" i="2"/>
  <c r="C476" i="2"/>
  <c r="C2087" i="2"/>
  <c r="C294" i="2"/>
  <c r="C298" i="2"/>
  <c r="C10" i="2"/>
  <c r="C46" i="2"/>
  <c r="C93" i="2"/>
  <c r="C124" i="2"/>
  <c r="C240" i="2"/>
  <c r="C242" i="2"/>
  <c r="C255" i="2"/>
  <c r="C290" i="2"/>
  <c r="C292" i="2"/>
  <c r="C318" i="2"/>
  <c r="C320" i="2"/>
  <c r="C349" i="2"/>
  <c r="C359" i="2"/>
  <c r="C366" i="2"/>
  <c r="C370" i="2"/>
  <c r="C400" i="2"/>
  <c r="C403" i="2"/>
  <c r="C405" i="2"/>
  <c r="C468" i="2"/>
  <c r="C479" i="2"/>
  <c r="C2452" i="2"/>
  <c r="C299" i="2"/>
  <c r="C338" i="2"/>
  <c r="C2577" i="2"/>
  <c r="C122" i="2"/>
  <c r="C16" i="2"/>
  <c r="C34" i="2"/>
  <c r="C39" i="2"/>
  <c r="C123" i="2"/>
  <c r="C139" i="2"/>
  <c r="C178" i="2"/>
  <c r="C187" i="2"/>
  <c r="C222" i="2"/>
  <c r="C224" i="2"/>
  <c r="C229" i="2"/>
  <c r="C272" i="2"/>
  <c r="C279" i="2"/>
  <c r="C282" i="2"/>
  <c r="C291" i="2"/>
  <c r="C319" i="2"/>
  <c r="C336" i="2"/>
  <c r="C385" i="2"/>
  <c r="C419" i="2"/>
  <c r="C440" i="2"/>
  <c r="C2820" i="2"/>
  <c r="C68" i="2"/>
  <c r="C69" i="2"/>
  <c r="C442" i="2"/>
  <c r="C5" i="2"/>
  <c r="C20" i="2"/>
  <c r="C181" i="2"/>
  <c r="C185" i="2"/>
  <c r="C315" i="2"/>
  <c r="C451" i="2"/>
  <c r="C411" i="2"/>
  <c r="C3095" i="2"/>
  <c r="C59" i="2"/>
  <c r="C3262" i="2"/>
  <c r="C3" i="2"/>
  <c r="C8" i="2"/>
  <c r="C12" i="2"/>
  <c r="C13" i="2"/>
  <c r="C14" i="2"/>
  <c r="C15" i="2"/>
  <c r="C17" i="2"/>
  <c r="C19" i="2"/>
  <c r="C21" i="2"/>
  <c r="C23" i="2"/>
  <c r="C24" i="2"/>
  <c r="C25" i="2"/>
  <c r="C26" i="2"/>
  <c r="C37" i="2"/>
  <c r="C45" i="2"/>
  <c r="C48" i="2"/>
  <c r="C51" i="2"/>
  <c r="C52" i="2"/>
  <c r="C53" i="2"/>
  <c r="C55" i="2"/>
  <c r="C56" i="2"/>
  <c r="C71" i="2"/>
  <c r="C74" i="2"/>
  <c r="C75" i="2"/>
  <c r="C86" i="2"/>
  <c r="C94" i="2"/>
  <c r="C97" i="2"/>
  <c r="C99" i="2"/>
  <c r="C101" i="2"/>
  <c r="C104" i="2"/>
  <c r="C132" i="2"/>
  <c r="C135" i="2"/>
  <c r="C144" i="2"/>
  <c r="C149" i="2"/>
  <c r="C165" i="2"/>
  <c r="C173" i="2"/>
  <c r="C174" i="2"/>
  <c r="C175" i="2"/>
  <c r="C177" i="2"/>
  <c r="C197" i="2"/>
  <c r="C201" i="2"/>
  <c r="C207" i="2"/>
  <c r="C209" i="2"/>
  <c r="C210" i="2"/>
  <c r="C211" i="2"/>
  <c r="C231" i="2"/>
  <c r="C234" i="2"/>
  <c r="C235" i="2"/>
  <c r="C236" i="2"/>
  <c r="C243" i="2"/>
  <c r="C244" i="2"/>
  <c r="C245" i="2"/>
  <c r="C250" i="2"/>
  <c r="C251" i="2"/>
  <c r="C257" i="2"/>
  <c r="C269" i="2"/>
  <c r="C270" i="2"/>
  <c r="C275" i="2"/>
  <c r="C277" i="2"/>
  <c r="C283" i="2"/>
  <c r="C284" i="2"/>
  <c r="C286" i="2"/>
  <c r="C289" i="2"/>
  <c r="C307" i="2"/>
  <c r="C310" i="2"/>
  <c r="C331" i="2"/>
  <c r="C333" i="2"/>
  <c r="C342" i="2"/>
  <c r="C346" i="2"/>
  <c r="C354" i="2"/>
  <c r="C357" i="2"/>
  <c r="C364" i="2"/>
  <c r="C374" i="2"/>
  <c r="C377" i="2"/>
  <c r="C387" i="2"/>
  <c r="C406" i="2"/>
  <c r="C420" i="2"/>
  <c r="C424" i="2"/>
  <c r="C426" i="2"/>
  <c r="C427" i="2"/>
  <c r="C428" i="2"/>
  <c r="C429" i="2"/>
  <c r="C432" i="2"/>
  <c r="C438" i="2"/>
  <c r="C439" i="2"/>
  <c r="C443" i="2"/>
  <c r="C444" i="2"/>
  <c r="C445" i="2"/>
  <c r="C454" i="2"/>
  <c r="C463" i="2"/>
  <c r="C467" i="2"/>
  <c r="C470" i="2"/>
  <c r="C3321" i="2"/>
  <c r="C301" i="2"/>
  <c r="C3444" i="2"/>
  <c r="C147" i="2"/>
  <c r="C464" i="2"/>
  <c r="C3472" i="2"/>
  <c r="C3493" i="2"/>
  <c r="C3494" i="2"/>
  <c r="C3495" i="2"/>
  <c r="E3" i="1"/>
  <c r="E4" i="1" s="1"/>
  <c r="E18" i="1" s="1"/>
  <c r="E16" i="1" l="1"/>
  <c r="E10" i="1"/>
  <c r="E5" i="1"/>
  <c r="E19" i="1" l="1"/>
  <c r="E17" i="1"/>
  <c r="E15" i="1" l="1"/>
  <c r="E6" i="1"/>
  <c r="A4" i="1" l="1"/>
  <c r="E7" i="1"/>
  <c r="G3" i="1" s="1"/>
  <c r="E8" i="1" l="1"/>
  <c r="E9" i="1" s="1"/>
  <c r="AC16" i="1"/>
  <c r="AC22" i="1"/>
  <c r="AC18" i="1"/>
  <c r="AC20" i="1"/>
  <c r="AC19" i="1"/>
  <c r="AC15" i="1"/>
  <c r="AC25" i="1"/>
  <c r="AC23" i="1"/>
  <c r="AC21" i="1"/>
  <c r="AC24" i="1"/>
  <c r="AC17" i="1"/>
  <c r="BN4" i="1" l="1"/>
  <c r="Z8" i="1"/>
  <c r="AR4" i="1"/>
  <c r="AM8" i="1"/>
  <c r="BB8" i="1"/>
  <c r="R7" i="1"/>
  <c r="Y7" i="1"/>
  <c r="AL3" i="1"/>
  <c r="AQ7" i="1"/>
  <c r="AQ8" i="1"/>
  <c r="S3" i="1"/>
  <c r="S5" i="1"/>
  <c r="M5" i="1"/>
  <c r="Y8" i="1"/>
  <c r="BC7" i="1"/>
  <c r="AQ6" i="1"/>
  <c r="AV6" i="1"/>
  <c r="BD7" i="1"/>
  <c r="BE4" i="1"/>
  <c r="BQ6" i="1"/>
  <c r="M6" i="1"/>
  <c r="Y3" i="1"/>
  <c r="G5" i="1"/>
  <c r="S7" i="1"/>
  <c r="T5" i="1"/>
  <c r="AJ5" i="1"/>
  <c r="AQ3" i="1"/>
  <c r="AR5" i="1"/>
  <c r="A14" i="1"/>
  <c r="Z4" i="1"/>
  <c r="S6" i="1"/>
  <c r="AX8" i="1"/>
  <c r="T4" i="1"/>
  <c r="AL4" i="1"/>
  <c r="BQ5" i="1"/>
  <c r="X6" i="1"/>
  <c r="AG4" i="1"/>
  <c r="L7" i="1"/>
  <c r="O4" i="1"/>
  <c r="AP3" i="1"/>
  <c r="AV3" i="1"/>
  <c r="O3" i="1"/>
  <c r="T7" i="1"/>
  <c r="G8" i="1"/>
  <c r="AV8" i="1"/>
  <c r="AV5" i="1"/>
  <c r="BP4" i="1"/>
  <c r="BJ6" i="1"/>
  <c r="AY8" i="1"/>
  <c r="BO5" i="1"/>
  <c r="AV7" i="1"/>
  <c r="AJ7" i="1"/>
  <c r="BB6" i="1"/>
  <c r="BO8" i="1"/>
  <c r="BO7" i="1"/>
  <c r="AL5" i="1"/>
  <c r="O7" i="1"/>
  <c r="R3" i="1"/>
  <c r="AE8" i="1"/>
  <c r="BQ7" i="1"/>
  <c r="AE4" i="1"/>
  <c r="AE7" i="1"/>
  <c r="B6" i="1"/>
  <c r="BH7" i="1"/>
  <c r="U3" i="1"/>
  <c r="BC3" i="1"/>
  <c r="BD5" i="1"/>
  <c r="L4" i="1"/>
  <c r="Z3" i="1"/>
  <c r="BK7" i="1"/>
  <c r="AJ6" i="1"/>
  <c r="BE3" i="1"/>
  <c r="L3" i="1"/>
  <c r="AA4" i="1"/>
  <c r="BI8" i="1"/>
  <c r="AM6" i="1"/>
  <c r="Y5" i="1"/>
  <c r="AK4" i="1"/>
  <c r="AD8" i="1"/>
  <c r="AS8" i="1"/>
  <c r="BI3" i="1"/>
  <c r="L8" i="1"/>
  <c r="AY4" i="1"/>
  <c r="S8" i="1"/>
  <c r="AK3" i="1"/>
  <c r="AA8" i="1"/>
  <c r="X3" i="1"/>
  <c r="X7" i="1"/>
  <c r="AW4" i="1"/>
  <c r="BK3" i="1"/>
  <c r="BD3" i="1"/>
  <c r="AG8" i="1"/>
  <c r="AF8" i="1"/>
  <c r="AM4" i="1"/>
  <c r="BJ5" i="1"/>
  <c r="AR8" i="1"/>
  <c r="BI5" i="1"/>
  <c r="BE7" i="1"/>
  <c r="Z7" i="1"/>
  <c r="S4" i="1"/>
  <c r="BH3" i="1"/>
  <c r="BE8" i="1"/>
  <c r="U4" i="1"/>
  <c r="X8" i="1"/>
  <c r="AV4" i="1"/>
  <c r="N3" i="1"/>
  <c r="K3" i="1" s="1"/>
  <c r="B7" i="1"/>
  <c r="Z5" i="1"/>
  <c r="AY3" i="1"/>
  <c r="T6" i="1"/>
  <c r="AJ4" i="1"/>
  <c r="AD6" i="1"/>
  <c r="BN7" i="1"/>
  <c r="AX7" i="1"/>
  <c r="M8" i="1"/>
  <c r="AX3" i="1"/>
  <c r="E13" i="1"/>
  <c r="AF6" i="1"/>
  <c r="AG6" i="1"/>
  <c r="BI6" i="1"/>
  <c r="AA5" i="1"/>
  <c r="R8" i="1"/>
  <c r="AA7" i="1"/>
  <c r="R4" i="1"/>
  <c r="AQ5" i="1"/>
  <c r="X5" i="1"/>
  <c r="BD8" i="1"/>
  <c r="BH4" i="1"/>
  <c r="AA3" i="1"/>
  <c r="AX5" i="1"/>
  <c r="T8" i="1"/>
  <c r="AJ8" i="1"/>
  <c r="O5" i="1"/>
  <c r="BH5" i="1"/>
  <c r="AG7" i="1"/>
  <c r="BP6" i="1"/>
  <c r="BM6" i="1" s="1"/>
  <c r="N6" i="1"/>
  <c r="BO3" i="1"/>
  <c r="AM3" i="1"/>
  <c r="AF3" i="1"/>
  <c r="AY7" i="1"/>
  <c r="BJ8" i="1"/>
  <c r="Y6" i="1"/>
  <c r="R5" i="1"/>
  <c r="T3" i="1"/>
  <c r="Q3" i="1" s="1"/>
  <c r="AR7" i="1"/>
  <c r="U6" i="1"/>
  <c r="AK7" i="1"/>
  <c r="AD5" i="1"/>
  <c r="BN3" i="1"/>
  <c r="BN6" i="1"/>
  <c r="BQ8" i="1"/>
  <c r="AK8" i="1"/>
  <c r="BB7" i="1"/>
  <c r="AF7" i="1"/>
  <c r="AC7" i="1" s="1"/>
  <c r="AS4" i="1"/>
  <c r="AE6" i="1"/>
  <c r="Y4" i="1"/>
  <c r="AP7" i="1"/>
  <c r="BK8" i="1"/>
  <c r="U5" i="1"/>
  <c r="BD6" i="1"/>
  <c r="BE6" i="1"/>
  <c r="BJ3" i="1"/>
  <c r="BG3" i="1" s="1"/>
  <c r="I11" i="1"/>
  <c r="AX4" i="1"/>
  <c r="AE3" i="1"/>
  <c r="BO6" i="1"/>
  <c r="BP8" i="1"/>
  <c r="AL8" i="1"/>
  <c r="BK5" i="1"/>
  <c r="O8" i="1"/>
  <c r="BB4" i="1"/>
  <c r="R6" i="1"/>
  <c r="L5" i="1"/>
  <c r="AK6" i="1"/>
  <c r="BI4" i="1"/>
  <c r="O6" i="1"/>
  <c r="BP5" i="1"/>
  <c r="BM5" i="1" s="1"/>
  <c r="AR6" i="1"/>
  <c r="AW8" i="1"/>
  <c r="AY6" i="1"/>
  <c r="AF4" i="1"/>
  <c r="AC4" i="1" s="1"/>
  <c r="N4" i="1"/>
  <c r="BN8" i="1"/>
  <c r="BJ4" i="1"/>
  <c r="AW7" i="1"/>
  <c r="BN5" i="1"/>
  <c r="N5" i="1"/>
  <c r="BE5" i="1"/>
  <c r="BC4" i="1"/>
  <c r="AP5" i="1"/>
  <c r="BB3" i="1"/>
  <c r="AW6" i="1"/>
  <c r="AD4" i="1"/>
  <c r="AF5" i="1"/>
  <c r="AP6" i="1"/>
  <c r="AE5" i="1"/>
  <c r="N8" i="1"/>
  <c r="AD3" i="1"/>
  <c r="AS6" i="1"/>
  <c r="AL7" i="1"/>
  <c r="BC6" i="1"/>
  <c r="BO4" i="1"/>
  <c r="BH8" i="1"/>
  <c r="AM7" i="1"/>
  <c r="AS7" i="1"/>
  <c r="X4" i="1"/>
  <c r="L6" i="1"/>
  <c r="BP7" i="1"/>
  <c r="BP3" i="1"/>
  <c r="AY5" i="1"/>
  <c r="BJ7" i="1"/>
  <c r="BG7" i="1" s="1"/>
  <c r="AR3" i="1"/>
  <c r="AS5" i="1"/>
  <c r="AP8" i="1"/>
  <c r="BQ4" i="1"/>
  <c r="G7" i="1"/>
  <c r="BD4" i="1"/>
  <c r="BQ3" i="1"/>
  <c r="AL6" i="1"/>
  <c r="M4" i="1"/>
  <c r="N7" i="1"/>
  <c r="M7" i="1"/>
  <c r="BK4" i="1"/>
  <c r="AP4" i="1"/>
  <c r="BC8" i="1"/>
  <c r="U8" i="1"/>
  <c r="BK6" i="1"/>
  <c r="M3" i="1"/>
  <c r="Z6" i="1"/>
  <c r="BB5" i="1"/>
  <c r="AJ3" i="1"/>
  <c r="BI7" i="1"/>
  <c r="AX6" i="1"/>
  <c r="AD7" i="1"/>
  <c r="BC5" i="1"/>
  <c r="AM5" i="1"/>
  <c r="U7" i="1"/>
  <c r="BH6" i="1"/>
  <c r="AG5" i="1"/>
  <c r="AS3" i="1"/>
  <c r="AA6" i="1"/>
  <c r="AW3" i="1"/>
  <c r="AQ4" i="1"/>
  <c r="AW5" i="1"/>
  <c r="AG3" i="1"/>
  <c r="AK5" i="1"/>
  <c r="I10" i="1"/>
  <c r="BA4" i="1" l="1"/>
  <c r="K4" i="1"/>
  <c r="G10" i="1" s="1"/>
  <c r="AU4" i="1"/>
  <c r="K5" i="1"/>
  <c r="AO8" i="1"/>
  <c r="AU6" i="1"/>
  <c r="BA8" i="1"/>
  <c r="AC6" i="1"/>
  <c r="K8" i="1"/>
  <c r="BA3" i="1"/>
  <c r="BM7" i="1"/>
  <c r="AI8" i="1"/>
  <c r="AI6" i="1"/>
  <c r="AU3" i="1"/>
  <c r="K7" i="1"/>
  <c r="G11" i="1" s="1"/>
  <c r="BM8" i="1"/>
  <c r="BA6" i="1"/>
  <c r="AC8" i="1"/>
  <c r="AO19" i="1"/>
  <c r="AU23" i="1"/>
  <c r="AU24" i="1"/>
  <c r="AU22" i="1"/>
  <c r="K15" i="1"/>
  <c r="K22" i="1"/>
  <c r="K20" i="1"/>
  <c r="AU16" i="1"/>
  <c r="K17" i="1"/>
  <c r="AO15" i="1"/>
  <c r="K19" i="1"/>
  <c r="K23" i="1"/>
  <c r="AO21" i="1"/>
  <c r="AU15" i="1"/>
  <c r="AU17" i="1"/>
  <c r="AO23" i="1"/>
  <c r="AO20" i="1"/>
  <c r="K25" i="1"/>
  <c r="K24" i="1"/>
  <c r="AU21" i="1"/>
  <c r="AO22" i="1"/>
  <c r="AO17" i="1"/>
  <c r="H7" i="1"/>
  <c r="AO25" i="1"/>
  <c r="AU19" i="1"/>
  <c r="AU25" i="1"/>
  <c r="K21" i="1"/>
  <c r="AU18" i="1"/>
  <c r="AO24" i="1"/>
  <c r="AU20" i="1"/>
  <c r="AO3" i="1"/>
  <c r="Q8" i="1"/>
  <c r="W5" i="1"/>
  <c r="AI5" i="1"/>
  <c r="BG6" i="1"/>
  <c r="B13" i="1"/>
  <c r="H8" i="1"/>
  <c r="W20" i="1"/>
  <c r="W16" i="1"/>
  <c r="W15" i="1"/>
  <c r="W24" i="1"/>
  <c r="W19" i="1"/>
  <c r="W23" i="1"/>
  <c r="W17" i="1"/>
  <c r="W22" i="1"/>
  <c r="W25" i="1"/>
  <c r="W21" i="1"/>
  <c r="W18" i="1"/>
  <c r="AU8" i="1"/>
  <c r="AO5" i="1"/>
  <c r="AI3" i="1"/>
  <c r="AI7" i="1"/>
  <c r="BG4" i="1"/>
  <c r="AO7" i="1"/>
  <c r="BG8" i="1"/>
  <c r="AU5" i="1"/>
  <c r="W7" i="1"/>
  <c r="BG5" i="1"/>
  <c r="BA5" i="1"/>
  <c r="BM4" i="1"/>
  <c r="Q7" i="1"/>
  <c r="Q24" i="1"/>
  <c r="AI19" i="1"/>
  <c r="Q22" i="1"/>
  <c r="AI16" i="1"/>
  <c r="Q23" i="1"/>
  <c r="Q21" i="1"/>
  <c r="AI25" i="1"/>
  <c r="AI20" i="1"/>
  <c r="AI15" i="1"/>
  <c r="Q15" i="1"/>
  <c r="AI24" i="1"/>
  <c r="AI18" i="1"/>
  <c r="Q18" i="1"/>
  <c r="AI23" i="1"/>
  <c r="AI17" i="1"/>
  <c r="Q25" i="1"/>
  <c r="Q20" i="1"/>
  <c r="Q17" i="1"/>
  <c r="Q16" i="1"/>
  <c r="AI22" i="1"/>
  <c r="Q19" i="1"/>
  <c r="AI21" i="1"/>
  <c r="AO4" i="1"/>
  <c r="K6" i="1"/>
  <c r="AU7" i="1"/>
  <c r="Q6" i="1"/>
  <c r="AI4" i="1"/>
  <c r="W4" i="1"/>
  <c r="BA7" i="1"/>
  <c r="W8" i="1"/>
  <c r="W6" i="1"/>
  <c r="BM3" i="1"/>
  <c r="AC5" i="1"/>
  <c r="AO6" i="1"/>
  <c r="AC3" i="1"/>
  <c r="B10" i="1"/>
  <c r="C10" i="1" s="1"/>
  <c r="W3" i="1"/>
  <c r="Q4" i="1"/>
  <c r="Q5" i="1"/>
  <c r="B11" i="1" l="1"/>
  <c r="C11" i="1" s="1"/>
  <c r="B12" i="1"/>
  <c r="C12" i="1" s="1"/>
</calcChain>
</file>

<file path=xl/sharedStrings.xml><?xml version="1.0" encoding="utf-8"?>
<sst xmlns="http://schemas.openxmlformats.org/spreadsheetml/2006/main" count="10605" uniqueCount="4953">
  <si>
    <t>Verbo</t>
  </si>
  <si>
    <t>ter</t>
  </si>
  <si>
    <t>ser</t>
  </si>
  <si>
    <t>estar</t>
  </si>
  <si>
    <t>ou</t>
  </si>
  <si>
    <t>ás</t>
  </si>
  <si>
    <t>á</t>
  </si>
  <si>
    <t>amos</t>
  </si>
  <si>
    <t>ais</t>
  </si>
  <si>
    <t>ão</t>
  </si>
  <si>
    <t>omos</t>
  </si>
  <si>
    <t>ois</t>
  </si>
  <si>
    <t>ava</t>
  </si>
  <si>
    <t>avas</t>
  </si>
  <si>
    <t>ávamos</t>
  </si>
  <si>
    <t>áveis</t>
  </si>
  <si>
    <t>avam</t>
  </si>
  <si>
    <t>emos</t>
  </si>
  <si>
    <t>eis</t>
  </si>
  <si>
    <t>ia</t>
  </si>
  <si>
    <t>ias</t>
  </si>
  <si>
    <t>íamos</t>
  </si>
  <si>
    <t>íeis</t>
  </si>
  <si>
    <t>iam</t>
  </si>
  <si>
    <t>enho</t>
  </si>
  <si>
    <t>ens</t>
  </si>
  <si>
    <t>em</t>
  </si>
  <si>
    <t>endes</t>
  </si>
  <si>
    <t>inha</t>
  </si>
  <si>
    <t>inhas</t>
  </si>
  <si>
    <t>ínhamos</t>
  </si>
  <si>
    <t>ínheis</t>
  </si>
  <si>
    <t>inham</t>
  </si>
  <si>
    <t>am</t>
  </si>
  <si>
    <t>o</t>
  </si>
  <si>
    <t>as</t>
  </si>
  <si>
    <t>a</t>
  </si>
  <si>
    <t>es</t>
  </si>
  <si>
    <t>e</t>
  </si>
  <si>
    <t>imos</t>
  </si>
  <si>
    <t>is</t>
  </si>
  <si>
    <t>abagunçar</t>
  </si>
  <si>
    <t>laçar</t>
  </si>
  <si>
    <t>abaiucar</t>
  </si>
  <si>
    <t>trancar</t>
  </si>
  <si>
    <t>abalançar</t>
  </si>
  <si>
    <t>abalaustrar</t>
  </si>
  <si>
    <t>saudar</t>
  </si>
  <si>
    <t>abaloar</t>
  </si>
  <si>
    <t>coroar</t>
  </si>
  <si>
    <t>abalroar</t>
  </si>
  <si>
    <t>abancar</t>
  </si>
  <si>
    <t>abandear</t>
  </si>
  <si>
    <t>frear</t>
  </si>
  <si>
    <t>abandejar</t>
  </si>
  <si>
    <t>pelejar</t>
  </si>
  <si>
    <t>abanicar</t>
  </si>
  <si>
    <t>abarcar</t>
  </si>
  <si>
    <t>abarracar</t>
  </si>
  <si>
    <t>abarrancar</t>
  </si>
  <si>
    <t>regar</t>
  </si>
  <si>
    <t>abasbacar</t>
  </si>
  <si>
    <t>abastecer</t>
  </si>
  <si>
    <t>aquecer</t>
  </si>
  <si>
    <t>abatocar</t>
  </si>
  <si>
    <t>abaular</t>
  </si>
  <si>
    <t>abdicar</t>
  </si>
  <si>
    <t>abduzir</t>
  </si>
  <si>
    <t>aduzir</t>
  </si>
  <si>
    <t>abecar</t>
  </si>
  <si>
    <t>abibliotecar</t>
  </si>
  <si>
    <t>abicar</t>
  </si>
  <si>
    <t>abjudicar</t>
  </si>
  <si>
    <t>abjugar</t>
  </si>
  <si>
    <t>largar</t>
  </si>
  <si>
    <t>abjunjir</t>
  </si>
  <si>
    <t>jungir</t>
  </si>
  <si>
    <t>abjurgar</t>
  </si>
  <si>
    <t>ablaquear</t>
  </si>
  <si>
    <t>ablaquecer</t>
  </si>
  <si>
    <t>ablegar</t>
  </si>
  <si>
    <t>abluir</t>
  </si>
  <si>
    <t>atribuir</t>
  </si>
  <si>
    <t>abnegar</t>
  </si>
  <si>
    <t>abnuir</t>
  </si>
  <si>
    <t>aboar</t>
  </si>
  <si>
    <t>abocar</t>
  </si>
  <si>
    <t>aboçar</t>
  </si>
  <si>
    <t>abodegar</t>
  </si>
  <si>
    <t>aboiar</t>
  </si>
  <si>
    <t>boiar</t>
  </si>
  <si>
    <t>abolçar</t>
  </si>
  <si>
    <t>abolir</t>
  </si>
  <si>
    <t>abolorecer</t>
  </si>
  <si>
    <t>abonançar</t>
  </si>
  <si>
    <t>abonecar</t>
  </si>
  <si>
    <t>aboquejar</t>
  </si>
  <si>
    <t>abordoar</t>
  </si>
  <si>
    <t>aborrascar</t>
  </si>
  <si>
    <t>aborrecer</t>
  </si>
  <si>
    <t>aborrir</t>
  </si>
  <si>
    <t>aboscar</t>
  </si>
  <si>
    <t>abotecar</t>
  </si>
  <si>
    <t>aboticar</t>
  </si>
  <si>
    <t>abotoar</t>
  </si>
  <si>
    <t>abotocar</t>
  </si>
  <si>
    <t>abracar</t>
  </si>
  <si>
    <t>abraçar</t>
  </si>
  <si>
    <t>abrandecer</t>
  </si>
  <si>
    <t>abranger</t>
  </si>
  <si>
    <t>tanger</t>
  </si>
  <si>
    <t>abrasear</t>
  </si>
  <si>
    <t>abrejar</t>
  </si>
  <si>
    <t>invejar</t>
  </si>
  <si>
    <t>abrigar</t>
  </si>
  <si>
    <t>abrir</t>
  </si>
  <si>
    <t>ab-rogar</t>
  </si>
  <si>
    <t>abronzear</t>
  </si>
  <si>
    <t>abrutecer</t>
  </si>
  <si>
    <t>abster</t>
  </si>
  <si>
    <t>absterger</t>
  </si>
  <si>
    <t>reger</t>
  </si>
  <si>
    <t>abstrair</t>
  </si>
  <si>
    <t>acabaçar</t>
  </si>
  <si>
    <t>acachoar</t>
  </si>
  <si>
    <t>açafroar</t>
  </si>
  <si>
    <t>acalcar</t>
  </si>
  <si>
    <t>açambarcar</t>
  </si>
  <si>
    <t>acamboar</t>
  </si>
  <si>
    <t>acamurçar</t>
  </si>
  <si>
    <t>acanavear</t>
  </si>
  <si>
    <t>acanhoar</t>
  </si>
  <si>
    <t>acanhonear</t>
  </si>
  <si>
    <t>acanoar</t>
  </si>
  <si>
    <t>acantoar</t>
  </si>
  <si>
    <t>acapangar</t>
  </si>
  <si>
    <t>acarear</t>
  </si>
  <si>
    <t>acaroar</t>
  </si>
  <si>
    <t>acarrancar</t>
  </si>
  <si>
    <t>acarrear</t>
  </si>
  <si>
    <t>acasear</t>
  </si>
  <si>
    <t>aceitar</t>
  </si>
  <si>
    <t>acercar</t>
  </si>
  <si>
    <t>acerejar</t>
  </si>
  <si>
    <t>acetificar</t>
  </si>
  <si>
    <t>acacar</t>
  </si>
  <si>
    <t>achamboar</t>
  </si>
  <si>
    <t>acharoar</t>
  </si>
  <si>
    <t>achavascar</t>
  </si>
  <si>
    <t>achegar</t>
  </si>
  <si>
    <t>achicar</t>
  </si>
  <si>
    <t>achoar</t>
  </si>
  <si>
    <t>acidificar</t>
  </si>
  <si>
    <t>acingir</t>
  </si>
  <si>
    <t>dirigir</t>
  </si>
  <si>
    <t>acoar</t>
  </si>
  <si>
    <t>acocar</t>
  </si>
  <si>
    <t>aparelhar</t>
  </si>
  <si>
    <t>acolchoar</t>
  </si>
  <si>
    <t>aconchear</t>
  </si>
  <si>
    <t>aconchegar</t>
  </si>
  <si>
    <t>chegar</t>
  </si>
  <si>
    <t>aconselhar</t>
  </si>
  <si>
    <t>acontecer</t>
  </si>
  <si>
    <t>acoraçoar</t>
  </si>
  <si>
    <t>acorçoar</t>
  </si>
  <si>
    <t>acordoar</t>
  </si>
  <si>
    <t>acoroçoar</t>
  </si>
  <si>
    <t>acotoar</t>
  </si>
  <si>
    <t>acrescer</t>
  </si>
  <si>
    <t>crescer</t>
  </si>
  <si>
    <t>acudir</t>
  </si>
  <si>
    <t>aculear</t>
  </si>
  <si>
    <t>acumear</t>
  </si>
  <si>
    <t>acunhear</t>
  </si>
  <si>
    <t>acupremir</t>
  </si>
  <si>
    <t>premir</t>
  </si>
  <si>
    <t>adegar</t>
  </si>
  <si>
    <t>adejar</t>
  </si>
  <si>
    <t>adelgaçar</t>
  </si>
  <si>
    <t>adequar</t>
  </si>
  <si>
    <t>adereçar</t>
  </si>
  <si>
    <t>adergar</t>
  </si>
  <si>
    <t>aderir</t>
  </si>
  <si>
    <t>adir</t>
  </si>
  <si>
    <t>falir</t>
  </si>
  <si>
    <t>adjazer</t>
  </si>
  <si>
    <t>aprazer</t>
  </si>
  <si>
    <t>adjudicar</t>
  </si>
  <si>
    <t>adoçar</t>
  </si>
  <si>
    <t>adocicar</t>
  </si>
  <si>
    <t>adoecer</t>
  </si>
  <si>
    <t>adolescer</t>
  </si>
  <si>
    <t>adomingar</t>
  </si>
  <si>
    <t>adregar</t>
  </si>
  <si>
    <t>adriçar</t>
  </si>
  <si>
    <t>ad-rogar</t>
  </si>
  <si>
    <t>adscrever</t>
  </si>
  <si>
    <t>adstringir</t>
  </si>
  <si>
    <t>aduncar</t>
  </si>
  <si>
    <t>advertir</t>
  </si>
  <si>
    <t>advir</t>
  </si>
  <si>
    <t>advogar</t>
  </si>
  <si>
    <t>aerificar</t>
  </si>
  <si>
    <t>afadigar</t>
  </si>
  <si>
    <t>afagar</t>
  </si>
  <si>
    <t>afalcoar</t>
  </si>
  <si>
    <t>afaquear</t>
  </si>
  <si>
    <t>afazer</t>
  </si>
  <si>
    <t>afear</t>
  </si>
  <si>
    <t>afeiçoar</t>
  </si>
  <si>
    <t>afelear</t>
  </si>
  <si>
    <t>aferir</t>
  </si>
  <si>
    <t>aferretear</t>
  </si>
  <si>
    <t>aferretoar</t>
  </si>
  <si>
    <t>aferroar</t>
  </si>
  <si>
    <t>afestoar</t>
  </si>
  <si>
    <t>afiançar</t>
  </si>
  <si>
    <t>afidalgar</t>
  </si>
  <si>
    <t>afincar</t>
  </si>
  <si>
    <t>aflechar</t>
  </si>
  <si>
    <t>flechar</t>
  </si>
  <si>
    <t>afligir</t>
  </si>
  <si>
    <t>afluir</t>
  </si>
  <si>
    <t>afogar</t>
  </si>
  <si>
    <t>afoguear</t>
  </si>
  <si>
    <t>aformosear</t>
  </si>
  <si>
    <t>afortalecer</t>
  </si>
  <si>
    <t>afracar</t>
  </si>
  <si>
    <t>afrescar</t>
  </si>
  <si>
    <t>africar</t>
  </si>
  <si>
    <t>afuroar</t>
  </si>
  <si>
    <t>afutricar</t>
  </si>
  <si>
    <t>agalegar</t>
  </si>
  <si>
    <t>agalgar</t>
  </si>
  <si>
    <t>agaloar</t>
  </si>
  <si>
    <t>Verbo:</t>
  </si>
  <si>
    <t>Padrão:</t>
  </si>
  <si>
    <t xml:space="preserve">Conjuga-se como: </t>
  </si>
  <si>
    <t>Padrão</t>
  </si>
  <si>
    <t>és</t>
  </si>
  <si>
    <t>é</t>
  </si>
  <si>
    <t>era</t>
  </si>
  <si>
    <t>eras</t>
  </si>
  <si>
    <t>éramos</t>
  </si>
  <si>
    <t>éreis</t>
  </si>
  <si>
    <t>eram</t>
  </si>
  <si>
    <t>vir</t>
  </si>
  <si>
    <t>indes</t>
  </si>
  <si>
    <t>êm</t>
  </si>
  <si>
    <t>ver</t>
  </si>
  <si>
    <t>ejo</t>
  </si>
  <si>
    <t>ê</t>
  </si>
  <si>
    <t>edes</t>
  </si>
  <si>
    <t>êem</t>
  </si>
  <si>
    <t>ar</t>
  </si>
  <si>
    <t>er</t>
  </si>
  <si>
    <t>ir</t>
  </si>
  <si>
    <t>Total</t>
  </si>
  <si>
    <t>ando</t>
  </si>
  <si>
    <t>ado</t>
  </si>
  <si>
    <t>endo</t>
  </si>
  <si>
    <t>ido</t>
  </si>
  <si>
    <t>indo</t>
  </si>
  <si>
    <t>isto</t>
  </si>
  <si>
    <t>flexões</t>
  </si>
  <si>
    <t>Conjugador de verbos</t>
  </si>
  <si>
    <t>pôr</t>
  </si>
  <si>
    <t>AR regular</t>
  </si>
  <si>
    <t>ER regular</t>
  </si>
  <si>
    <t>IR regular</t>
  </si>
  <si>
    <t>onho</t>
  </si>
  <si>
    <t>ondes</t>
  </si>
  <si>
    <t>õem</t>
  </si>
  <si>
    <t>õe</t>
  </si>
  <si>
    <t>unha</t>
  </si>
  <si>
    <t>unhas</t>
  </si>
  <si>
    <t>únhamos</t>
  </si>
  <si>
    <t>únheis</t>
  </si>
  <si>
    <t>unham</t>
  </si>
  <si>
    <t>eu</t>
  </si>
  <si>
    <t>tu</t>
  </si>
  <si>
    <t>ele</t>
  </si>
  <si>
    <t>nós</t>
  </si>
  <si>
    <t>vós</t>
  </si>
  <si>
    <t>eles</t>
  </si>
  <si>
    <t>Irregulares:</t>
  </si>
  <si>
    <t>Anômalas:</t>
  </si>
  <si>
    <t>Presente do indicativo</t>
  </si>
  <si>
    <t>arrumar:</t>
  </si>
  <si>
    <t>sufixo flexivo infinitivo:</t>
  </si>
  <si>
    <t>número de caracteres:</t>
  </si>
  <si>
    <t>é verbo?</t>
  </si>
  <si>
    <t>verbo considerado:</t>
  </si>
  <si>
    <t>Irregular similar:</t>
  </si>
  <si>
    <t>Início</t>
  </si>
  <si>
    <t>OAR</t>
  </si>
  <si>
    <t>ôo</t>
  </si>
  <si>
    <t>GIR</t>
  </si>
  <si>
    <t>jo</t>
  </si>
  <si>
    <t>final</t>
  </si>
  <si>
    <t>corrigir</t>
  </si>
  <si>
    <t>EAR</t>
  </si>
  <si>
    <t>io</t>
  </si>
  <si>
    <t>ei</t>
  </si>
  <si>
    <t>haver</t>
  </si>
  <si>
    <t>agir</t>
  </si>
  <si>
    <t>agolpear</t>
  </si>
  <si>
    <t>agradecer</t>
  </si>
  <si>
    <t>agraudar</t>
  </si>
  <si>
    <t>agredir</t>
  </si>
  <si>
    <t>agregar</t>
  </si>
  <si>
    <t>agrilhoar</t>
  </si>
  <si>
    <t>aguar</t>
  </si>
  <si>
    <t>aguçar</t>
  </si>
  <si>
    <t>agudecer</t>
  </si>
  <si>
    <t>aguerrear</t>
  </si>
  <si>
    <t>aguerrir</t>
  </si>
  <si>
    <t>aguilhoar</t>
  </si>
  <si>
    <t>ajuizar</t>
  </si>
  <si>
    <t>ajoelhar</t>
  </si>
  <si>
    <t>ajorcar</t>
  </si>
  <si>
    <t>ajudengar</t>
  </si>
  <si>
    <t>alargar</t>
  </si>
  <si>
    <t>alambicar</t>
  </si>
  <si>
    <t>alancear</t>
  </si>
  <si>
    <t>alanzoar</t>
  </si>
  <si>
    <t>alardear</t>
  </si>
  <si>
    <t>alatoar</t>
  </si>
  <si>
    <t>alavercar</t>
  </si>
  <si>
    <t>albergar</t>
  </si>
  <si>
    <t>albificar</t>
  </si>
  <si>
    <t>alborcar</t>
  </si>
  <si>
    <t>alcalificar</t>
  </si>
  <si>
    <t>alcançar</t>
  </si>
  <si>
    <t>alçar</t>
  </si>
  <si>
    <t>alcatear</t>
  </si>
  <si>
    <t>idear</t>
  </si>
  <si>
    <t>alcatroar</t>
  </si>
  <si>
    <t>alcear</t>
  </si>
  <si>
    <t>aldear</t>
  </si>
  <si>
    <t>alegar</t>
  </si>
  <si>
    <t>aleijoar</t>
  </si>
  <si>
    <t>alemoar</t>
  </si>
  <si>
    <t>alentecer</t>
  </si>
  <si>
    <t>alfandegar</t>
  </si>
  <si>
    <t>algodoar</t>
  </si>
  <si>
    <t>alguergar</t>
  </si>
  <si>
    <t>alhear</t>
  </si>
  <si>
    <t>aliançar</t>
  </si>
  <si>
    <t>alicerçar</t>
  </si>
  <si>
    <t>começar</t>
  </si>
  <si>
    <t>almofaçar</t>
  </si>
  <si>
    <t>almondegar</t>
  </si>
  <si>
    <t>almotaçar</t>
  </si>
  <si>
    <t>alocar</t>
  </si>
  <si>
    <t>alongar</t>
  </si>
  <si>
    <t>alongiquar</t>
  </si>
  <si>
    <t>apropinquar</t>
  </si>
  <si>
    <t>aloucar</t>
  </si>
  <si>
    <t>alporcar</t>
  </si>
  <si>
    <t>atear</t>
  </si>
  <si>
    <t>altercar</t>
  </si>
  <si>
    <t>alugar</t>
  </si>
  <si>
    <t>aluir</t>
  </si>
  <si>
    <t>alvear</t>
  </si>
  <si>
    <t>alvejar</t>
  </si>
  <si>
    <t>alvorecer</t>
  </si>
  <si>
    <t>alvorejar</t>
  </si>
  <si>
    <t>amacacar</t>
  </si>
  <si>
    <t>amaçarocar</t>
  </si>
  <si>
    <t>amachucar</t>
  </si>
  <si>
    <t>amadurecer</t>
  </si>
  <si>
    <t>amagar</t>
  </si>
  <si>
    <t>amaldiçoar</t>
  </si>
  <si>
    <t>amalhoar</t>
  </si>
  <si>
    <t>amalocar</t>
  </si>
  <si>
    <t>amalucar</t>
  </si>
  <si>
    <t>amanteigar</t>
  </si>
  <si>
    <t>amarasmear</t>
  </si>
  <si>
    <t>amarelecer</t>
  </si>
  <si>
    <t>amarelejar</t>
  </si>
  <si>
    <t>amargar</t>
  </si>
  <si>
    <t>amarroar</t>
  </si>
  <si>
    <t>ambrear</t>
  </si>
  <si>
    <t>ameaçar</t>
  </si>
  <si>
    <t>amear</t>
  </si>
  <si>
    <t>ameigar</t>
  </si>
  <si>
    <t>ameijoar</t>
  </si>
  <si>
    <t>amelaçar</t>
  </si>
  <si>
    <t>amercear</t>
  </si>
  <si>
    <t>amigar</t>
  </si>
  <si>
    <t>aminguar</t>
  </si>
  <si>
    <t>amiudar</t>
  </si>
  <si>
    <t>amoiriscar</t>
  </si>
  <si>
    <t>amolecar</t>
  </si>
  <si>
    <t>amolecer</t>
  </si>
  <si>
    <t>amolegar</t>
  </si>
  <si>
    <t>amolgar</t>
  </si>
  <si>
    <t>amontoar</t>
  </si>
  <si>
    <t>amoquecar</t>
  </si>
  <si>
    <t>amordaçar</t>
  </si>
  <si>
    <t>amornecer</t>
  </si>
  <si>
    <t>amorsegar</t>
  </si>
  <si>
    <t>amortecer</t>
  </si>
  <si>
    <t>amortiçar</t>
  </si>
  <si>
    <t>amossegar</t>
  </si>
  <si>
    <t>amoucar</t>
  </si>
  <si>
    <t>amouriscar</t>
  </si>
  <si>
    <t>amunhecar</t>
  </si>
  <si>
    <t>anaçar</t>
  </si>
  <si>
    <t>ananicar</t>
  </si>
  <si>
    <t>andejar</t>
  </si>
  <si>
    <t>anegar</t>
  </si>
  <si>
    <t>anegrejar</t>
  </si>
  <si>
    <t>anoitecer</t>
  </si>
  <si>
    <t>ansiar</t>
  </si>
  <si>
    <t>odiar</t>
  </si>
  <si>
    <t>antedizer</t>
  </si>
  <si>
    <t>dizer</t>
  </si>
  <si>
    <t>anteferir</t>
  </si>
  <si>
    <t>antejulgar</t>
  </si>
  <si>
    <t>antepagar</t>
  </si>
  <si>
    <t>pagar</t>
  </si>
  <si>
    <t>antepor</t>
  </si>
  <si>
    <t>ante-sentir</t>
  </si>
  <si>
    <t>antiquar</t>
  </si>
  <si>
    <t>apadroar</t>
  </si>
  <si>
    <t>apagar</t>
  </si>
  <si>
    <t>apajear</t>
  </si>
  <si>
    <t>apalaçar</t>
  </si>
  <si>
    <t>apalancar</t>
  </si>
  <si>
    <t>apalear</t>
  </si>
  <si>
    <t>apaniguar</t>
  </si>
  <si>
    <t>averiguar</t>
  </si>
  <si>
    <t>apaparicar</t>
  </si>
  <si>
    <t>aparecer</t>
  </si>
  <si>
    <t>apartear</t>
  </si>
  <si>
    <t>aparvoar</t>
  </si>
  <si>
    <t>apaular</t>
  </si>
  <si>
    <t>apaziguar</t>
  </si>
  <si>
    <t>apear</t>
  </si>
  <si>
    <t>apedrejar</t>
  </si>
  <si>
    <t>apegar</t>
  </si>
  <si>
    <t>apejar</t>
  </si>
  <si>
    <t>apendoar</t>
  </si>
  <si>
    <t>aperfeiçoar</t>
  </si>
  <si>
    <t>aperrear</t>
  </si>
  <si>
    <t>apetecer</t>
  </si>
  <si>
    <t>apetrechar</t>
  </si>
  <si>
    <t>apiançar</t>
  </si>
  <si>
    <t>apicaçar</t>
  </si>
  <si>
    <t>apicoar</t>
  </si>
  <si>
    <t>apiloar</t>
  </si>
  <si>
    <t>apisoar</t>
  </si>
  <si>
    <t>aplacar</t>
  </si>
  <si>
    <t>aplicar</t>
  </si>
  <si>
    <t>apodrecer</t>
  </si>
  <si>
    <t>apoiar</t>
  </si>
  <si>
    <t>apolegar</t>
  </si>
  <si>
    <t>apontoar</t>
  </si>
  <si>
    <t>apor</t>
  </si>
  <si>
    <t>Coluna3</t>
  </si>
  <si>
    <t>Coluna5</t>
  </si>
  <si>
    <t>Coluna7</t>
  </si>
  <si>
    <t>Coluna9</t>
  </si>
  <si>
    <t>Coluna11</t>
  </si>
  <si>
    <t>Coluna13</t>
  </si>
  <si>
    <t>Coluna15</t>
  </si>
  <si>
    <t>Coluna17</t>
  </si>
  <si>
    <t>Coluna19</t>
  </si>
  <si>
    <t>Coluna21</t>
  </si>
  <si>
    <t>Coluna23</t>
  </si>
  <si>
    <t>Coluna25</t>
  </si>
  <si>
    <t>Coluna27</t>
  </si>
  <si>
    <t>Coluna29</t>
  </si>
  <si>
    <t>Coluna31</t>
  </si>
  <si>
    <t>Coluna33</t>
  </si>
  <si>
    <t>Coluna35</t>
  </si>
  <si>
    <t>Coluna37</t>
  </si>
  <si>
    <t>Coluna39</t>
  </si>
  <si>
    <t>Coluna41</t>
  </si>
  <si>
    <t>Coluna43</t>
  </si>
  <si>
    <t>Coluna45</t>
  </si>
  <si>
    <t>Coluna47</t>
  </si>
  <si>
    <t>Coluna49</t>
  </si>
  <si>
    <t>Coluna51</t>
  </si>
  <si>
    <t>Coluna53</t>
  </si>
  <si>
    <t>Coluna55</t>
  </si>
  <si>
    <t>Coluna57</t>
  </si>
  <si>
    <t>Coluna59</t>
  </si>
  <si>
    <t>Coluna61</t>
  </si>
  <si>
    <t>Coluna63</t>
  </si>
  <si>
    <t>Coluna65</t>
  </si>
  <si>
    <t>Coluna67</t>
  </si>
  <si>
    <t>Coluna69</t>
  </si>
  <si>
    <t>Coluna71</t>
  </si>
  <si>
    <t>Coluna73</t>
  </si>
  <si>
    <t>Coluna75</t>
  </si>
  <si>
    <t>Coluna77</t>
  </si>
  <si>
    <t>Coluna79</t>
  </si>
  <si>
    <t>Coluna81</t>
  </si>
  <si>
    <t>Coluna83</t>
  </si>
  <si>
    <t>Coluna85</t>
  </si>
  <si>
    <t>Coluna87</t>
  </si>
  <si>
    <t>Coluna89</t>
  </si>
  <si>
    <t>Coluna91</t>
  </si>
  <si>
    <t>Coluna93</t>
  </si>
  <si>
    <t>Coluna95</t>
  </si>
  <si>
    <t>Coluna97</t>
  </si>
  <si>
    <t>Coluna99</t>
  </si>
  <si>
    <t>Coluna101</t>
  </si>
  <si>
    <t>Coluna103</t>
  </si>
  <si>
    <t>Coluna105</t>
  </si>
  <si>
    <t>Coluna107</t>
  </si>
  <si>
    <t>Coluna109</t>
  </si>
  <si>
    <t>Coluna111</t>
  </si>
  <si>
    <t>Coluna113</t>
  </si>
  <si>
    <t>Coluna115</t>
  </si>
  <si>
    <t>Coluna117</t>
  </si>
  <si>
    <t>Coluna119</t>
  </si>
  <si>
    <t>Coluna121</t>
  </si>
  <si>
    <t>Coluna123</t>
  </si>
  <si>
    <t>Coluna125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</si>
  <si>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</si>
  <si>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</si>
  <si>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</si>
  <si>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</si>
  <si>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</si>
  <si>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</si>
  <si>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</si>
  <si>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</si>
  <si>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</si>
  <si>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</si>
  <si>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</si>
  <si>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</si>
  <si>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</si>
  <si>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</si>
  <si>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</si>
  <si>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</si>
  <si>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</si>
  <si>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</si>
  <si>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</si>
  <si>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</si>
  <si>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</si>
  <si>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</si>
  <si>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</si>
  <si>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</si>
  <si>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</si>
  <si>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</si>
  <si>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</si>
  <si>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</si>
  <si>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</si>
  <si>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</si>
  <si>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</si>
  <si>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</si>
  <si>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</si>
  <si>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</si>
  <si>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</si>
  <si>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</si>
  <si>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</si>
  <si>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</si>
  <si>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</si>
  <si>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</si>
  <si>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</si>
  <si>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</si>
  <si>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</si>
  <si>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</si>
  <si>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</si>
  <si>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</si>
  <si>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</si>
  <si>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</si>
  <si>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</si>
  <si>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</si>
  <si>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</si>
  <si>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</si>
  <si>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</si>
  <si>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</si>
  <si>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</si>
  <si>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</si>
  <si>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</si>
  <si>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</si>
  <si>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</si>
  <si>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</si>
  <si>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</si>
  <si>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</si>
  <si>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</si>
  <si>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Irregular como:</t>
  </si>
  <si>
    <t>Regular como:</t>
  </si>
  <si>
    <t>quei</t>
  </si>
  <si>
    <t>Abundante:</t>
  </si>
  <si>
    <t>Infinitivo</t>
  </si>
  <si>
    <t>Gerúndio</t>
  </si>
  <si>
    <t>Particípio</t>
  </si>
  <si>
    <t>Imperativo</t>
  </si>
  <si>
    <t>CER</t>
  </si>
  <si>
    <t>ço</t>
  </si>
  <si>
    <t>64</t>
  </si>
  <si>
    <t>aste</t>
  </si>
  <si>
    <t>astes</t>
  </si>
  <si>
    <t>aram</t>
  </si>
  <si>
    <t>ara</t>
  </si>
  <si>
    <t>aras</t>
  </si>
  <si>
    <t>áramos</t>
  </si>
  <si>
    <t>áreis</t>
  </si>
  <si>
    <t>arei</t>
  </si>
  <si>
    <t>arás</t>
  </si>
  <si>
    <t>ará</t>
  </si>
  <si>
    <t>aremos</t>
  </si>
  <si>
    <t>areis</t>
  </si>
  <si>
    <t>arão</t>
  </si>
  <si>
    <t>erão</t>
  </si>
  <si>
    <t>aria</t>
  </si>
  <si>
    <t>arias</t>
  </si>
  <si>
    <t>aríamos</t>
  </si>
  <si>
    <t>aríeis</t>
  </si>
  <si>
    <t>ariam</t>
  </si>
  <si>
    <t>asse</t>
  </si>
  <si>
    <t>ássemos</t>
  </si>
  <si>
    <t>ásseis</t>
  </si>
  <si>
    <t>assem</t>
  </si>
  <si>
    <t>eres</t>
  </si>
  <si>
    <t>armos</t>
  </si>
  <si>
    <t>ardes</t>
  </si>
  <si>
    <t>arem</t>
  </si>
  <si>
    <t>ares</t>
  </si>
  <si>
    <t>Pretérito imperfeito</t>
  </si>
  <si>
    <t>fui</t>
  </si>
  <si>
    <t>foste</t>
  </si>
  <si>
    <t>foi</t>
  </si>
  <si>
    <t>fomos</t>
  </si>
  <si>
    <t>fostes</t>
  </si>
  <si>
    <t>foram</t>
  </si>
  <si>
    <t>xxxar</t>
  </si>
  <si>
    <t>xxxer</t>
  </si>
  <si>
    <t>xxxir</t>
  </si>
  <si>
    <t>i</t>
  </si>
  <si>
    <t>este</t>
  </si>
  <si>
    <t>estes</t>
  </si>
  <si>
    <t>êramos</t>
  </si>
  <si>
    <t>êreis</t>
  </si>
  <si>
    <t>erei</t>
  </si>
  <si>
    <t>erás</t>
  </si>
  <si>
    <t>erá</t>
  </si>
  <si>
    <t>eremos</t>
  </si>
  <si>
    <t>ereis</t>
  </si>
  <si>
    <t>eria</t>
  </si>
  <si>
    <t>erias</t>
  </si>
  <si>
    <t>eríamos</t>
  </si>
  <si>
    <t>eríeis</t>
  </si>
  <si>
    <t>eriam</t>
  </si>
  <si>
    <t>esse</t>
  </si>
  <si>
    <t>esses</t>
  </si>
  <si>
    <t>êssemos</t>
  </si>
  <si>
    <t>êsseis</t>
  </si>
  <si>
    <t>essem</t>
  </si>
  <si>
    <t>ermos</t>
  </si>
  <si>
    <t>erdes</t>
  </si>
  <si>
    <t>erem</t>
  </si>
  <si>
    <t>iste</t>
  </si>
  <si>
    <t>iu</t>
  </si>
  <si>
    <t>istes</t>
  </si>
  <si>
    <t>iram</t>
  </si>
  <si>
    <t>ira</t>
  </si>
  <si>
    <t>iras</t>
  </si>
  <si>
    <t>íramos</t>
  </si>
  <si>
    <t>íreis</t>
  </si>
  <si>
    <t>irei</t>
  </si>
  <si>
    <t>irás</t>
  </si>
  <si>
    <t>irá</t>
  </si>
  <si>
    <t>iremos</t>
  </si>
  <si>
    <t>ireis</t>
  </si>
  <si>
    <t>irão</t>
  </si>
  <si>
    <t>iria</t>
  </si>
  <si>
    <t>irias</t>
  </si>
  <si>
    <t>iríamos</t>
  </si>
  <si>
    <t>iríeis</t>
  </si>
  <si>
    <t>iriam</t>
  </si>
  <si>
    <t>isse</t>
  </si>
  <si>
    <t>isses</t>
  </si>
  <si>
    <t>íssemos</t>
  </si>
  <si>
    <t>ísseis</t>
  </si>
  <si>
    <t>issem</t>
  </si>
  <si>
    <t>ires</t>
  </si>
  <si>
    <t>irmos</t>
  </si>
  <si>
    <t>irdes</t>
  </si>
  <si>
    <t>irem</t>
  </si>
  <si>
    <t>ês</t>
  </si>
  <si>
    <t>eja</t>
  </si>
  <si>
    <t>ejas</t>
  </si>
  <si>
    <t>ejamos</t>
  </si>
  <si>
    <t>ejais</t>
  </si>
  <si>
    <t>ejam</t>
  </si>
  <si>
    <t>im</t>
  </si>
  <si>
    <t>ieste</t>
  </si>
  <si>
    <t>eio</t>
  </si>
  <si>
    <t>iemos</t>
  </si>
  <si>
    <t>iestes</t>
  </si>
  <si>
    <t>ieram</t>
  </si>
  <si>
    <t>iera</t>
  </si>
  <si>
    <t>ieras</t>
  </si>
  <si>
    <t>iéramos</t>
  </si>
  <si>
    <t>iéreis</t>
  </si>
  <si>
    <t>enha</t>
  </si>
  <si>
    <t>enhas</t>
  </si>
  <si>
    <t>enhamos</t>
  </si>
  <si>
    <t>enhais</t>
  </si>
  <si>
    <t>enham</t>
  </si>
  <si>
    <t>iesse</t>
  </si>
  <si>
    <t>iesses</t>
  </si>
  <si>
    <t>iéssemos</t>
  </si>
  <si>
    <t>iésseis</t>
  </si>
  <si>
    <t>iessem</t>
  </si>
  <si>
    <t>ier</t>
  </si>
  <si>
    <t>ieres</t>
  </si>
  <si>
    <t>iermos</t>
  </si>
  <si>
    <t>ierdes</t>
  </si>
  <si>
    <t>ierem</t>
  </si>
  <si>
    <t>vem</t>
  </si>
  <si>
    <t>CAR</t>
  </si>
  <si>
    <t>que</t>
  </si>
  <si>
    <t>ques</t>
  </si>
  <si>
    <t>quemos</t>
  </si>
  <si>
    <t>queis</t>
  </si>
  <si>
    <t>quem</t>
  </si>
  <si>
    <t>ça</t>
  </si>
  <si>
    <t>ças</t>
  </si>
  <si>
    <t>çamos</t>
  </si>
  <si>
    <t>çais</t>
  </si>
  <si>
    <t>çam</t>
  </si>
  <si>
    <t>jas</t>
  </si>
  <si>
    <t>jamos</t>
  </si>
  <si>
    <t>jais</t>
  </si>
  <si>
    <t>jam</t>
  </si>
  <si>
    <t>Pretérito perfeito</t>
  </si>
  <si>
    <t>xxxxx</t>
  </si>
  <si>
    <t>sê</t>
  </si>
  <si>
    <t>sede</t>
  </si>
  <si>
    <t>ive</t>
  </si>
  <si>
    <t>iveste</t>
  </si>
  <si>
    <t>eve</t>
  </si>
  <si>
    <t>ivemos</t>
  </si>
  <si>
    <t>ivestes</t>
  </si>
  <si>
    <t>iveram</t>
  </si>
  <si>
    <t>ivera</t>
  </si>
  <si>
    <t>iveras</t>
  </si>
  <si>
    <t>ivéramos</t>
  </si>
  <si>
    <t>ivéreis</t>
  </si>
  <si>
    <t>ivesse</t>
  </si>
  <si>
    <t>ivesses</t>
  </si>
  <si>
    <t>ivéssemos</t>
  </si>
  <si>
    <t>ivésseis</t>
  </si>
  <si>
    <t>ivessem</t>
  </si>
  <si>
    <t>iver</t>
  </si>
  <si>
    <t>iveres</t>
  </si>
  <si>
    <t>ivermos</t>
  </si>
  <si>
    <t>iverem</t>
  </si>
  <si>
    <t>iverdes</t>
  </si>
  <si>
    <t>tem</t>
  </si>
  <si>
    <t>Pretérito mais-que-perfeito</t>
  </si>
  <si>
    <t>fora</t>
  </si>
  <si>
    <t>foras</t>
  </si>
  <si>
    <t>fôramos</t>
  </si>
  <si>
    <t>fôreis</t>
  </si>
  <si>
    <t>Futuro do presente</t>
  </si>
  <si>
    <t>Futuro do pretérito</t>
  </si>
  <si>
    <t>Presente do subjuntivo</t>
  </si>
  <si>
    <t>Pretérito do subjuntivo</t>
  </si>
  <si>
    <t>fosse</t>
  </si>
  <si>
    <t>fosses</t>
  </si>
  <si>
    <t>fôssemos</t>
  </si>
  <si>
    <t>fôsseis</t>
  </si>
  <si>
    <t>fossem</t>
  </si>
  <si>
    <t>Futuro do subjuntivo</t>
  </si>
  <si>
    <t>for</t>
  </si>
  <si>
    <t>fores</t>
  </si>
  <si>
    <t>formos</t>
  </si>
  <si>
    <t>fordes</t>
  </si>
  <si>
    <t>forem</t>
  </si>
  <si>
    <t>Infinitivo pessoal</t>
  </si>
  <si>
    <t>asses</t>
  </si>
  <si>
    <t>õens</t>
  </si>
  <si>
    <t>us</t>
  </si>
  <si>
    <t>ôs</t>
  </si>
  <si>
    <t>useram</t>
  </si>
  <si>
    <t>usemos</t>
  </si>
  <si>
    <t>usestes</t>
  </si>
  <si>
    <t>useste</t>
  </si>
  <si>
    <t>usera</t>
  </si>
  <si>
    <t>useras</t>
  </si>
  <si>
    <t>uséramos</t>
  </si>
  <si>
    <t>uséreis</t>
  </si>
  <si>
    <t>orei</t>
  </si>
  <si>
    <t>orás</t>
  </si>
  <si>
    <t>orá</t>
  </si>
  <si>
    <t>oremos</t>
  </si>
  <si>
    <t>oreis</t>
  </si>
  <si>
    <t>orão</t>
  </si>
  <si>
    <t>oria</t>
  </si>
  <si>
    <t>orias</t>
  </si>
  <si>
    <t>oríamos</t>
  </si>
  <si>
    <t>oríeis</t>
  </si>
  <si>
    <t>oriam</t>
  </si>
  <si>
    <t>onha</t>
  </si>
  <si>
    <t>onhas</t>
  </si>
  <si>
    <t>onhamos</t>
  </si>
  <si>
    <t>onhais</t>
  </si>
  <si>
    <t>onham</t>
  </si>
  <si>
    <t>usesse</t>
  </si>
  <si>
    <t>usesses</t>
  </si>
  <si>
    <t>uséssemos</t>
  </si>
  <si>
    <t>usésseis</t>
  </si>
  <si>
    <t>usessem</t>
  </si>
  <si>
    <t>user</t>
  </si>
  <si>
    <t>useres</t>
  </si>
  <si>
    <t>usermos</t>
  </si>
  <si>
    <t>userdes</t>
  </si>
  <si>
    <t>userem</t>
  </si>
  <si>
    <t>ôr</t>
  </si>
  <si>
    <t>ores</t>
  </si>
  <si>
    <t>ormos</t>
  </si>
  <si>
    <t>ordes</t>
  </si>
  <si>
    <t>orem</t>
  </si>
  <si>
    <t>ondo</t>
  </si>
  <si>
    <t>osto</t>
  </si>
  <si>
    <t>teste 1:</t>
  </si>
  <si>
    <t>teste 2:</t>
  </si>
  <si>
    <t>teste 3:</t>
  </si>
  <si>
    <t xml:space="preserve">Teste 4: </t>
  </si>
  <si>
    <t>/</t>
  </si>
  <si>
    <t>ie</t>
  </si>
  <si>
    <t>ies</t>
  </si>
  <si>
    <t>ouve</t>
  </si>
  <si>
    <t>ouveste</t>
  </si>
  <si>
    <t>ouvemos</t>
  </si>
  <si>
    <t>ouvestes</t>
  </si>
  <si>
    <t>ouveram</t>
  </si>
  <si>
    <t>ouvera</t>
  </si>
  <si>
    <t>ouveras</t>
  </si>
  <si>
    <t>ouvéramos</t>
  </si>
  <si>
    <t>ouvéreis</t>
  </si>
  <si>
    <t>ja</t>
  </si>
  <si>
    <t>ouvesse</t>
  </si>
  <si>
    <t>ouvesses</t>
  </si>
  <si>
    <t>ouvéssemos</t>
  </si>
  <si>
    <t>ouvésseis</t>
  </si>
  <si>
    <t>ouvessem</t>
  </si>
  <si>
    <t>ouver</t>
  </si>
  <si>
    <t>ouveres</t>
  </si>
  <si>
    <t>ouvermos</t>
  </si>
  <si>
    <t>ouverdes</t>
  </si>
  <si>
    <t>ouverem</t>
  </si>
  <si>
    <t>Defectivas;</t>
  </si>
  <si>
    <t>Tempos compostos</t>
  </si>
  <si>
    <t>Ter/haver + particípio</t>
  </si>
  <si>
    <t>Exemplos em terceira pessoa singular</t>
  </si>
  <si>
    <t>Estar + gerúndio</t>
  </si>
  <si>
    <t>Ser/estar + particípio</t>
  </si>
  <si>
    <t>Tempos simples</t>
  </si>
  <si>
    <t>fazer</t>
  </si>
  <si>
    <t>eito</t>
  </si>
  <si>
    <t>Verbo + complemento verbal</t>
  </si>
  <si>
    <t>iz</t>
  </si>
  <si>
    <t>izeste</t>
  </si>
  <si>
    <t>ez</t>
  </si>
  <si>
    <t>z</t>
  </si>
  <si>
    <t>izemos</t>
  </si>
  <si>
    <t>izestes</t>
  </si>
  <si>
    <t>izeram</t>
  </si>
  <si>
    <t>izera</t>
  </si>
  <si>
    <t>izeras</t>
  </si>
  <si>
    <t>izéramos</t>
  </si>
  <si>
    <t>izéreis</t>
  </si>
  <si>
    <t>izerem</t>
  </si>
  <si>
    <t>aça</t>
  </si>
  <si>
    <t>aças</t>
  </si>
  <si>
    <t>açamos</t>
  </si>
  <si>
    <t>açais</t>
  </si>
  <si>
    <t>açam</t>
  </si>
  <si>
    <t>izesse</t>
  </si>
  <si>
    <t>izesses</t>
  </si>
  <si>
    <t>izéssemos</t>
  </si>
  <si>
    <t>izésseis</t>
  </si>
  <si>
    <t>izessem</t>
  </si>
  <si>
    <t>izer</t>
  </si>
  <si>
    <t>izeres</t>
  </si>
  <si>
    <t>izermos</t>
  </si>
  <si>
    <t>izerdes</t>
  </si>
  <si>
    <t>Modal + estar + gerúndio</t>
  </si>
  <si>
    <t>Ter/haver + particípio voz passiva</t>
  </si>
  <si>
    <t>Estar + gerúndio voz passiva</t>
  </si>
  <si>
    <t>antever</t>
  </si>
  <si>
    <t>Coluna126</t>
  </si>
  <si>
    <t>Coluna128</t>
  </si>
  <si>
    <t>Coluna130</t>
  </si>
  <si>
    <t>aporrear</t>
  </si>
  <si>
    <t>apoucar</t>
  </si>
  <si>
    <t>apreçar</t>
  </si>
  <si>
    <t>apregoar</t>
  </si>
  <si>
    <t>apriscar</t>
  </si>
  <si>
    <t>aproar</t>
  </si>
  <si>
    <t>aprojear</t>
  </si>
  <si>
    <t>aquiescer</t>
  </si>
  <si>
    <t>aquinhoar</t>
  </si>
  <si>
    <t>arabescar</t>
  </si>
  <si>
    <t>arborescer</t>
  </si>
  <si>
    <t>arcaizar</t>
  </si>
  <si>
    <t>arcar</t>
  </si>
  <si>
    <t>arear</t>
  </si>
  <si>
    <t>arejar</t>
  </si>
  <si>
    <t>arengar</t>
  </si>
  <si>
    <t>arenguear</t>
  </si>
  <si>
    <t>argentear</t>
  </si>
  <si>
    <t>arguir</t>
  </si>
  <si>
    <t>ariscar</t>
  </si>
  <si>
    <t>arpear</t>
  </si>
  <si>
    <t>arpejar</t>
  </si>
  <si>
    <t>arpoar</t>
  </si>
  <si>
    <t>arquear</t>
  </si>
  <si>
    <t>arquejar</t>
  </si>
  <si>
    <t>arraçar</t>
  </si>
  <si>
    <t>arraçoar</t>
  </si>
  <si>
    <t>arraigar</t>
  </si>
  <si>
    <t>arrancar</t>
  </si>
  <si>
    <t>arrazoar</t>
  </si>
  <si>
    <t>arrear</t>
  </si>
  <si>
    <t>arrebicar</t>
  </si>
  <si>
    <t>arrecear</t>
  </si>
  <si>
    <t>arrefeçar</t>
  </si>
  <si>
    <t>arregaçar</t>
  </si>
  <si>
    <t>arregoar</t>
  </si>
  <si>
    <t>arrelhar</t>
  </si>
  <si>
    <t>arrenegar</t>
  </si>
  <si>
    <t>arriscar</t>
  </si>
  <si>
    <t>arrodear</t>
  </si>
  <si>
    <t>arrogar</t>
  </si>
  <si>
    <t>arroiar</t>
  </si>
  <si>
    <t>arromançar</t>
  </si>
  <si>
    <t>arrotear</t>
  </si>
  <si>
    <t>arroxear</t>
  </si>
  <si>
    <t>arruaçar</t>
  </si>
  <si>
    <t>arruçar</t>
  </si>
  <si>
    <t>arrugar</t>
  </si>
  <si>
    <t>arruinar</t>
  </si>
  <si>
    <t>artesoar</t>
  </si>
  <si>
    <t>arvoar</t>
  </si>
  <si>
    <t>arvorejar</t>
  </si>
  <si>
    <t>asnear</t>
  </si>
  <si>
    <t>aspear</t>
  </si>
  <si>
    <t>asperejar</t>
  </si>
  <si>
    <t>aspergir</t>
  </si>
  <si>
    <t>asprejar</t>
  </si>
  <si>
    <t>assacar</t>
  </si>
  <si>
    <t>assaltear</t>
  </si>
  <si>
    <t>assear</t>
  </si>
  <si>
    <t>assemelhar</t>
  </si>
  <si>
    <t>assenhorear</t>
  </si>
  <si>
    <t>assentir</t>
  </si>
  <si>
    <t>sentir</t>
  </si>
  <si>
    <t>asserir</t>
  </si>
  <si>
    <t>assertoar</t>
  </si>
  <si>
    <t>assetear</t>
  </si>
  <si>
    <t>assoar</t>
  </si>
  <si>
    <t>assolear</t>
  </si>
  <si>
    <t>assombrear</t>
  </si>
  <si>
    <t>assorear</t>
  </si>
  <si>
    <t>assossegar</t>
  </si>
  <si>
    <t>assucar</t>
  </si>
  <si>
    <t>assungar</t>
  </si>
  <si>
    <t>assurgir</t>
  </si>
  <si>
    <t>atabalhoar</t>
  </si>
  <si>
    <t>atacar</t>
  </si>
  <si>
    <t>atacoar</t>
  </si>
  <si>
    <t>atamancar</t>
  </si>
  <si>
    <t>ataroucar</t>
  </si>
  <si>
    <t>atarracar</t>
  </si>
  <si>
    <t>atascar</t>
  </si>
  <si>
    <t>atelhar</t>
  </si>
  <si>
    <t>aticar</t>
  </si>
  <si>
    <t>atiçar</t>
  </si>
  <si>
    <t>atiçoar</t>
  </si>
  <si>
    <t>atingir</t>
  </si>
  <si>
    <t>atoar</t>
  </si>
  <si>
    <t>atordoar</t>
  </si>
  <si>
    <t>atossicar</t>
  </si>
  <si>
    <t>atracar</t>
  </si>
  <si>
    <t>atraiçoar</t>
  </si>
  <si>
    <t>atrair</t>
  </si>
  <si>
    <t>sair</t>
  </si>
  <si>
    <t>atrancar</t>
  </si>
  <si>
    <t>atravancar</t>
  </si>
  <si>
    <t>atreguar</t>
  </si>
  <si>
    <t>atroar</t>
  </si>
  <si>
    <t>atroçoar</t>
  </si>
  <si>
    <t>auferir</t>
  </si>
  <si>
    <t>aunar</t>
  </si>
  <si>
    <t>auriluzir</t>
  </si>
  <si>
    <t>aurorescer</t>
  </si>
  <si>
    <t>autenticar</t>
  </si>
  <si>
    <t>avançar</t>
  </si>
  <si>
    <t>avergar</t>
  </si>
  <si>
    <t>avergoar</t>
  </si>
  <si>
    <t>avessar</t>
  </si>
  <si>
    <t>avexar</t>
  </si>
  <si>
    <t>avincar</t>
  </si>
  <si>
    <t>avir</t>
  </si>
  <si>
    <t>avoaçar</t>
  </si>
  <si>
    <t>avoar</t>
  </si>
  <si>
    <t>avocar</t>
  </si>
  <si>
    <t>avoejar</t>
  </si>
  <si>
    <t>avozear</t>
  </si>
  <si>
    <t>axorcar</t>
  </si>
  <si>
    <t>azamboar</t>
  </si>
  <si>
    <t>azangar</t>
  </si>
  <si>
    <t>aziumar</t>
  </si>
  <si>
    <t>azoar</t>
  </si>
  <si>
    <t>azorragar</t>
  </si>
  <si>
    <t>azougar</t>
  </si>
  <si>
    <t>azulear</t>
  </si>
  <si>
    <t>azulecer</t>
  </si>
  <si>
    <t>azulejar</t>
  </si>
  <si>
    <t>iro</t>
  </si>
  <si>
    <t>iramos</t>
  </si>
  <si>
    <t>irais</t>
  </si>
  <si>
    <t>ízo</t>
  </si>
  <si>
    <t>ízas</t>
  </si>
  <si>
    <t>íza</t>
  </si>
  <si>
    <t>ízam</t>
  </si>
  <si>
    <t>íze</t>
  </si>
  <si>
    <t>ízem</t>
  </si>
  <si>
    <t>Observações</t>
  </si>
  <si>
    <t>Vogal e fechada (ê) no presente do indicativo, pretérito imperfeito e presente do subjuntivo.</t>
  </si>
  <si>
    <t>ímos</t>
  </si>
  <si>
    <t>ís</t>
  </si>
  <si>
    <t>í</t>
  </si>
  <si>
    <t>íste</t>
  </si>
  <si>
    <t>ístes</t>
  </si>
  <si>
    <t>ía</t>
  </si>
  <si>
    <t>ías</t>
  </si>
  <si>
    <t>íam</t>
  </si>
  <si>
    <t>íra</t>
  </si>
  <si>
    <t>íras</t>
  </si>
  <si>
    <t>íram</t>
  </si>
  <si>
    <t>ísse</t>
  </si>
  <si>
    <t>ísses</t>
  </si>
  <si>
    <t>íssem</t>
  </si>
  <si>
    <t>ído</t>
  </si>
  <si>
    <t>úe</t>
  </si>
  <si>
    <t>úes</t>
  </si>
  <si>
    <t>úem</t>
  </si>
  <si>
    <t>UIR</t>
  </si>
  <si>
    <t>ÇAR</t>
  </si>
  <si>
    <t>cei</t>
  </si>
  <si>
    <t>ce</t>
  </si>
  <si>
    <t>cemos</t>
  </si>
  <si>
    <t>ceis</t>
  </si>
  <si>
    <t>cem</t>
  </si>
  <si>
    <t>ces</t>
  </si>
  <si>
    <t>GAR</t>
  </si>
  <si>
    <t>guei</t>
  </si>
  <si>
    <t>gue</t>
  </si>
  <si>
    <t>gues</t>
  </si>
  <si>
    <t>guemos</t>
  </si>
  <si>
    <t>gueis</t>
  </si>
  <si>
    <t>guem</t>
  </si>
  <si>
    <t>erto</t>
  </si>
  <si>
    <t>aladrorar</t>
  </si>
  <si>
    <t>arpuar</t>
  </si>
  <si>
    <t>arrefentar</t>
  </si>
  <si>
    <t>arremangar</t>
  </si>
  <si>
    <t>arrincoar</t>
  </si>
  <si>
    <t>atravincar</t>
  </si>
  <si>
    <t>xxx</t>
  </si>
  <si>
    <t>odes</t>
  </si>
  <si>
    <t>ode</t>
  </si>
  <si>
    <t>odem</t>
  </si>
  <si>
    <t>údo</t>
  </si>
  <si>
    <t>údas</t>
  </si>
  <si>
    <t>úda</t>
  </si>
  <si>
    <t>údam</t>
  </si>
  <si>
    <t>úde</t>
  </si>
  <si>
    <t>údes</t>
  </si>
  <si>
    <t>údem</t>
  </si>
  <si>
    <t>bacorejar</t>
  </si>
  <si>
    <t>badalejar</t>
  </si>
  <si>
    <t>bafejar</t>
  </si>
  <si>
    <t>bagear</t>
  </si>
  <si>
    <t>baguear</t>
  </si>
  <si>
    <t>bagunçar</t>
  </si>
  <si>
    <t>baguncear</t>
  </si>
  <si>
    <t>bajogar</t>
  </si>
  <si>
    <t>balançar</t>
  </si>
  <si>
    <t>balancear</t>
  </si>
  <si>
    <t>balangar</t>
  </si>
  <si>
    <t>balanquear</t>
  </si>
  <si>
    <t>balaustrar</t>
  </si>
  <si>
    <t>baldear</t>
  </si>
  <si>
    <t>baldoar</t>
  </si>
  <si>
    <t>baldrocar</t>
  </si>
  <si>
    <t>balear</t>
  </si>
  <si>
    <t>balir</t>
  </si>
  <si>
    <t>balnear</t>
  </si>
  <si>
    <t>baloiçar</t>
  </si>
  <si>
    <t>balouçar</t>
  </si>
  <si>
    <t>balroar</t>
  </si>
  <si>
    <t>bambolear</t>
  </si>
  <si>
    <t>bambear</t>
  </si>
  <si>
    <t>bamboar</t>
  </si>
  <si>
    <t>bancar</t>
  </si>
  <si>
    <t>bancarrotear</t>
  </si>
  <si>
    <t>bandarrear</t>
  </si>
  <si>
    <t>bandear</t>
  </si>
  <si>
    <t>bandejar</t>
  </si>
  <si>
    <t>bandurrear</t>
  </si>
  <si>
    <t>banir</t>
  </si>
  <si>
    <t>banquetear</t>
  </si>
  <si>
    <t>banzear</t>
  </si>
  <si>
    <t>baquear</t>
  </si>
  <si>
    <t>baquetear</t>
  </si>
  <si>
    <t>baratear</t>
  </si>
  <si>
    <t>barbear</t>
  </si>
  <si>
    <t>barbechar</t>
  </si>
  <si>
    <t>fechar</t>
  </si>
  <si>
    <t>bargantear</t>
  </si>
  <si>
    <t>barlaventear</t>
  </si>
  <si>
    <t>barquejar</t>
  </si>
  <si>
    <t>barrear</t>
  </si>
  <si>
    <t>barregar</t>
  </si>
  <si>
    <t>entregar</t>
  </si>
  <si>
    <t>barretear</t>
  </si>
  <si>
    <t>barricar</t>
  </si>
  <si>
    <t>barrir</t>
  </si>
  <si>
    <t>barroar</t>
  </si>
  <si>
    <t>barroetear</t>
  </si>
  <si>
    <t>basear</t>
  </si>
  <si>
    <t>bastardear</t>
  </si>
  <si>
    <t>bastear</t>
  </si>
  <si>
    <t>bastecer</t>
  </si>
  <si>
    <t>batear</t>
  </si>
  <si>
    <t>batocar</t>
  </si>
  <si>
    <t>batotear</t>
  </si>
  <si>
    <t>batucar</t>
  </si>
  <si>
    <t>beatificar</t>
  </si>
  <si>
    <t>bebericar</t>
  </si>
  <si>
    <t>beberricar</t>
  </si>
  <si>
    <t>bedear</t>
  </si>
  <si>
    <t>bedelhar</t>
  </si>
  <si>
    <t>beijocar</t>
  </si>
  <si>
    <t>beiradear</t>
  </si>
  <si>
    <t>beiradejar</t>
  </si>
  <si>
    <t>beliscar</t>
  </si>
  <si>
    <t>bendizer</t>
  </si>
  <si>
    <t>bestificar</t>
  </si>
  <si>
    <t>bexigar</t>
  </si>
  <si>
    <t>bicar</t>
  </si>
  <si>
    <t>bichocar</t>
  </si>
  <si>
    <t>bifurcar</t>
  </si>
  <si>
    <t>bigodear</t>
  </si>
  <si>
    <t>biguar</t>
  </si>
  <si>
    <t>biscatear</t>
  </si>
  <si>
    <t>bisnagar</t>
  </si>
  <si>
    <t>bivacar</t>
  </si>
  <si>
    <t>bizzarrear</t>
  </si>
  <si>
    <t>blocar</t>
  </si>
  <si>
    <t>bloquear</t>
  </si>
  <si>
    <t>boar</t>
  </si>
  <si>
    <t>bobear</t>
  </si>
  <si>
    <t>bocar</t>
  </si>
  <si>
    <t>bocejar</t>
  </si>
  <si>
    <t>bochechar</t>
  </si>
  <si>
    <t>bodejar</t>
  </si>
  <si>
    <t>bofetear</t>
  </si>
  <si>
    <t>boiçar</t>
  </si>
  <si>
    <t>boicotear</t>
  </si>
  <si>
    <t>boear</t>
  </si>
  <si>
    <t>bolichear</t>
  </si>
  <si>
    <t>bombardear</t>
  </si>
  <si>
    <t>bombear</t>
  </si>
  <si>
    <t>bonançar</t>
  </si>
  <si>
    <t>bonecar</t>
  </si>
  <si>
    <t>bongar</t>
  </si>
  <si>
    <t>bonificar</t>
  </si>
  <si>
    <t>boquear</t>
  </si>
  <si>
    <t>boquejar</t>
  </si>
  <si>
    <t>borboletear</t>
  </si>
  <si>
    <t>borbotoar</t>
  </si>
  <si>
    <t>bordear</t>
  </si>
  <si>
    <t>bordejar</t>
  </si>
  <si>
    <t>bornear</t>
  </si>
  <si>
    <t>borregar</t>
  </si>
  <si>
    <t>borriçar</t>
  </si>
  <si>
    <t>borriscar</t>
  </si>
  <si>
    <t>bosquejar</t>
  </si>
  <si>
    <t>bostejar</t>
  </si>
  <si>
    <t>botocar</t>
  </si>
  <si>
    <t>bouçar</t>
  </si>
  <si>
    <t>boxear</t>
  </si>
  <si>
    <t>bracear</t>
  </si>
  <si>
    <t>bracejar</t>
  </si>
  <si>
    <t>bradejar</t>
  </si>
  <si>
    <t>bragantear</t>
  </si>
  <si>
    <t>bramir</t>
  </si>
  <si>
    <t>brandear</t>
  </si>
  <si>
    <t>branquear</t>
  </si>
  <si>
    <t>branquejar</t>
  </si>
  <si>
    <t>bravatear</t>
  </si>
  <si>
    <t>bravejar</t>
  </si>
  <si>
    <t>brear</t>
  </si>
  <si>
    <t>brecar</t>
  </si>
  <si>
    <t>brechar</t>
  </si>
  <si>
    <t>brigar</t>
  </si>
  <si>
    <t>brocar</t>
  </si>
  <si>
    <t>bronquear</t>
  </si>
  <si>
    <t>bronzear</t>
  </si>
  <si>
    <t>broquear</t>
  </si>
  <si>
    <t>brunir</t>
  </si>
  <si>
    <t>brutificar</t>
  </si>
  <si>
    <t>bruxear</t>
  </si>
  <si>
    <t>bruxulear</t>
  </si>
  <si>
    <t>bufonear</t>
  </si>
  <si>
    <t>bulir</t>
  </si>
  <si>
    <t>bundear</t>
  </si>
  <si>
    <t>bungar</t>
  </si>
  <si>
    <t>burburejar</t>
  </si>
  <si>
    <t>burlequear</t>
  </si>
  <si>
    <t>burlesquear</t>
  </si>
  <si>
    <t>burricar</t>
  </si>
  <si>
    <t>burrificar</t>
  </si>
  <si>
    <t>buscar</t>
  </si>
  <si>
    <t>butucar</t>
  </si>
  <si>
    <t>buzegar</t>
  </si>
  <si>
    <t>zangar</t>
  </si>
  <si>
    <t>zangarrear</t>
  </si>
  <si>
    <t>zanguizarrear</t>
  </si>
  <si>
    <t>zarelhar</t>
  </si>
  <si>
    <t>ziguezaguear</t>
  </si>
  <si>
    <t>zincar</t>
  </si>
  <si>
    <t>zingar</t>
  </si>
  <si>
    <t>zingarear</t>
  </si>
  <si>
    <t>zombetear</t>
  </si>
  <si>
    <t>zonear</t>
  </si>
  <si>
    <t>zonzear</t>
  </si>
  <si>
    <t>zorragar</t>
  </si>
  <si>
    <t>zuir</t>
  </si>
  <si>
    <t>Fonema e aberto (é) nas formas rizotônicas.</t>
  </si>
  <si>
    <t>GUAR</t>
  </si>
  <si>
    <t>abandoar</t>
  </si>
  <si>
    <t>abarregar</t>
  </si>
  <si>
    <t>acatarroar</t>
  </si>
  <si>
    <t>acoelhar</t>
  </si>
  <si>
    <t>acriançar</t>
  </si>
  <si>
    <t>adligar</t>
  </si>
  <si>
    <t>agauchar</t>
  </si>
  <si>
    <t>amaricar</t>
  </si>
  <si>
    <t>amoriscar</t>
  </si>
  <si>
    <t>amulherengar</t>
  </si>
  <si>
    <t>amurchecer</t>
  </si>
  <si>
    <t>aplebear</t>
  </si>
  <si>
    <t>apossear</t>
  </si>
  <si>
    <t>apossuir</t>
  </si>
  <si>
    <t>aprochegar</t>
  </si>
  <si>
    <t>atrafegar</t>
  </si>
  <si>
    <t>avalentoar</t>
  </si>
  <si>
    <t>avençar</t>
  </si>
  <si>
    <t>Similar a</t>
  </si>
  <si>
    <t>POR</t>
  </si>
  <si>
    <t>xaropear</t>
  </si>
  <si>
    <t>xavecar</t>
  </si>
  <si>
    <t>xeretear</t>
  </si>
  <si>
    <t>xerocar</t>
  </si>
  <si>
    <t>xingar</t>
  </si>
  <si>
    <t>xumbergar</t>
  </si>
  <si>
    <t>xumbregar</t>
  </si>
  <si>
    <t>vadear</t>
  </si>
  <si>
    <t>vagabundear</t>
  </si>
  <si>
    <t>vagamundear</t>
  </si>
  <si>
    <t>vagar</t>
  </si>
  <si>
    <t>vagir</t>
  </si>
  <si>
    <t>vaguear</t>
  </si>
  <si>
    <t>vaguejar</t>
  </si>
  <si>
    <t>valentear</t>
  </si>
  <si>
    <t>valer</t>
  </si>
  <si>
    <t>vanecer</t>
  </si>
  <si>
    <t>vanguejar</t>
  </si>
  <si>
    <t>vaquejar</t>
  </si>
  <si>
    <t>varejar</t>
  </si>
  <si>
    <t>variegar</t>
  </si>
  <si>
    <t>vascolejar</t>
  </si>
  <si>
    <t>vasconcear</t>
  </si>
  <si>
    <t>vasquear</t>
  </si>
  <si>
    <t>vasquejar</t>
  </si>
  <si>
    <t>velear</t>
  </si>
  <si>
    <t>velejar</t>
  </si>
  <si>
    <t>velhacar</t>
  </si>
  <si>
    <t>velhaquear</t>
  </si>
  <si>
    <t>velicar</t>
  </si>
  <si>
    <t>vencer</t>
  </si>
  <si>
    <t>veneficar</t>
  </si>
  <si>
    <t>veniagar</t>
  </si>
  <si>
    <t>ventanear</t>
  </si>
  <si>
    <t>ventanejar</t>
  </si>
  <si>
    <t>veranear</t>
  </si>
  <si>
    <t>verdear</t>
  </si>
  <si>
    <t>verdecer</t>
  </si>
  <si>
    <t>verdejar</t>
  </si>
  <si>
    <t>verear</t>
  </si>
  <si>
    <t>vergar</t>
  </si>
  <si>
    <t>vergontear</t>
  </si>
  <si>
    <t>verificar</t>
  </si>
  <si>
    <t>vermelhear</t>
  </si>
  <si>
    <t>vermelhecer</t>
  </si>
  <si>
    <t>vermelhejar</t>
  </si>
  <si>
    <t>verminar</t>
  </si>
  <si>
    <t>versejar</t>
  </si>
  <si>
    <t>versificar</t>
  </si>
  <si>
    <t>vesguear</t>
  </si>
  <si>
    <t>vesicar</t>
  </si>
  <si>
    <t>viagear</t>
  </si>
  <si>
    <t>viçar</t>
  </si>
  <si>
    <t>vicejar</t>
  </si>
  <si>
    <t>vigar</t>
  </si>
  <si>
    <t>viger</t>
  </si>
  <si>
    <t>vilificar</t>
  </si>
  <si>
    <t>vincar</t>
  </si>
  <si>
    <t>vindicar</t>
  </si>
  <si>
    <t>vingar</t>
  </si>
  <si>
    <t>vinificar</t>
  </si>
  <si>
    <t>viravoltear</t>
  </si>
  <si>
    <t>vitrificar</t>
  </si>
  <si>
    <t>viuvar</t>
  </si>
  <si>
    <t>vivificar</t>
  </si>
  <si>
    <t>voar</t>
  </si>
  <si>
    <t>voejar</t>
  </si>
  <si>
    <t>vogar</t>
  </si>
  <si>
    <t>volatear</t>
  </si>
  <si>
    <t>voltejar</t>
  </si>
  <si>
    <t>volutear</t>
  </si>
  <si>
    <t>volver</t>
  </si>
  <si>
    <t>vosear</t>
  </si>
  <si>
    <t>vulgar</t>
  </si>
  <si>
    <t>ELHAR</t>
  </si>
  <si>
    <t>VER</t>
  </si>
  <si>
    <t>VIR</t>
  </si>
  <si>
    <t>FAZER</t>
  </si>
  <si>
    <t>TER</t>
  </si>
  <si>
    <t>umedecer</t>
  </si>
  <si>
    <t>umidificar</t>
  </si>
  <si>
    <t>unanimificar</t>
  </si>
  <si>
    <t>ungir</t>
  </si>
  <si>
    <t>unificar</t>
  </si>
  <si>
    <t>urgir</t>
  </si>
  <si>
    <t>urticar</t>
  </si>
  <si>
    <t>urtigar</t>
  </si>
  <si>
    <t>usufruir</t>
  </si>
  <si>
    <t>fruir</t>
  </si>
  <si>
    <t>quadruplicar</t>
  </si>
  <si>
    <t>quantificar</t>
  </si>
  <si>
    <t>quartear</t>
  </si>
  <si>
    <t>quartejar</t>
  </si>
  <si>
    <t>querer</t>
  </si>
  <si>
    <t>quicar</t>
  </si>
  <si>
    <t>quilificar</t>
  </si>
  <si>
    <t>quimificar</t>
  </si>
  <si>
    <t>quinhoar</t>
  </si>
  <si>
    <t>quintuplicar</t>
  </si>
  <si>
    <t>quirerear</t>
  </si>
  <si>
    <t>nadificar</t>
  </si>
  <si>
    <t>namoricar</t>
  </si>
  <si>
    <t>namoriscar</t>
  </si>
  <si>
    <t>naufragar</t>
  </si>
  <si>
    <t>nausear</t>
  </si>
  <si>
    <t>navegar</t>
  </si>
  <si>
    <t>necear</t>
  </si>
  <si>
    <t>negacear</t>
  </si>
  <si>
    <t>negar</t>
  </si>
  <si>
    <t>negrejar</t>
  </si>
  <si>
    <t>neviscar</t>
  </si>
  <si>
    <t>nevoar</t>
  </si>
  <si>
    <t>nicar</t>
  </si>
  <si>
    <t>nidificar</t>
  </si>
  <si>
    <t>nitrificar</t>
  </si>
  <si>
    <t>nitrir</t>
  </si>
  <si>
    <t>nobrecer</t>
  </si>
  <si>
    <t>nocautear</t>
  </si>
  <si>
    <t>nodoar</t>
  </si>
  <si>
    <t>noitecer</t>
  </si>
  <si>
    <t>nomear</t>
  </si>
  <si>
    <t>nordestear</t>
  </si>
  <si>
    <t>noroestear</t>
  </si>
  <si>
    <t>nortear</t>
  </si>
  <si>
    <t>notificar</t>
  </si>
  <si>
    <t>noutecer</t>
  </si>
  <si>
    <t>nançar</t>
  </si>
  <si>
    <t>nulificar</t>
  </si>
  <si>
    <t>nuquear</t>
  </si>
  <si>
    <t>nuvear</t>
  </si>
  <si>
    <t>janotear</t>
  </si>
  <si>
    <t>jaspear</t>
  </si>
  <si>
    <t>jogar</t>
  </si>
  <si>
    <t>joguetear</t>
  </si>
  <si>
    <t>jongar</t>
  </si>
  <si>
    <t>jornadear</t>
  </si>
  <si>
    <t>jugar</t>
  </si>
  <si>
    <t>julgar</t>
  </si>
  <si>
    <t>juncar</t>
  </si>
  <si>
    <t>justapor</t>
  </si>
  <si>
    <t>justiçar</t>
  </si>
  <si>
    <t>justificar</t>
  </si>
  <si>
    <t>juvenescer</t>
  </si>
  <si>
    <t>haraganear</t>
  </si>
  <si>
    <t>harpear</t>
  </si>
  <si>
    <t>harpejar</t>
  </si>
  <si>
    <t>hastear</t>
  </si>
  <si>
    <t>haurir</t>
  </si>
  <si>
    <t>hebraizar</t>
  </si>
  <si>
    <t>enraizar</t>
  </si>
  <si>
    <t>heroificar</t>
  </si>
  <si>
    <t>hipotecar</t>
  </si>
  <si>
    <t>homenagear</t>
  </si>
  <si>
    <t>homologar</t>
  </si>
  <si>
    <t>honorificar</t>
  </si>
  <si>
    <t>into</t>
  </si>
  <si>
    <t>inta</t>
  </si>
  <si>
    <t>intas</t>
  </si>
  <si>
    <t>intamos</t>
  </si>
  <si>
    <t>intais</t>
  </si>
  <si>
    <t>intam</t>
  </si>
  <si>
    <t>Fonema e fechado (ê).</t>
  </si>
  <si>
    <t>SENTIR</t>
  </si>
  <si>
    <t>úlo</t>
  </si>
  <si>
    <t>úlas</t>
  </si>
  <si>
    <t>úla</t>
  </si>
  <si>
    <t>úlam</t>
  </si>
  <si>
    <t>úle</t>
  </si>
  <si>
    <t>úlem</t>
  </si>
  <si>
    <t>Abundante</t>
  </si>
  <si>
    <t>ito</t>
  </si>
  <si>
    <t>obcecar</t>
  </si>
  <si>
    <t>obedecer</t>
  </si>
  <si>
    <t>objetificar</t>
  </si>
  <si>
    <t>objurgar</t>
  </si>
  <si>
    <t>obrigar</t>
  </si>
  <si>
    <t>ob-rogar</t>
  </si>
  <si>
    <t>obscurecer</t>
  </si>
  <si>
    <t>obstringir</t>
  </si>
  <si>
    <t>obstruir</t>
  </si>
  <si>
    <t>obter</t>
  </si>
  <si>
    <t>obvir</t>
  </si>
  <si>
    <t>ocar</t>
  </si>
  <si>
    <t>ocluir</t>
  </si>
  <si>
    <t>octuplicar</t>
  </si>
  <si>
    <t>ofegar</t>
  </si>
  <si>
    <t>oferecer</t>
  </si>
  <si>
    <t>ofuscar</t>
  </si>
  <si>
    <t>oiriçar</t>
  </si>
  <si>
    <t>olear</t>
  </si>
  <si>
    <t>ombrear</t>
  </si>
  <si>
    <t>ondear</t>
  </si>
  <si>
    <t>opacificar</t>
  </si>
  <si>
    <t>opor</t>
  </si>
  <si>
    <t>oprimir</t>
  </si>
  <si>
    <t>orçar</t>
  </si>
  <si>
    <t>orear</t>
  </si>
  <si>
    <t>orelhar</t>
  </si>
  <si>
    <t>ornear</t>
  </si>
  <si>
    <t>ornejar</t>
  </si>
  <si>
    <t>ossificar</t>
  </si>
  <si>
    <t>ouriçar</t>
  </si>
  <si>
    <t>outonear</t>
  </si>
  <si>
    <t>outorgar</t>
  </si>
  <si>
    <t>ouvir</t>
  </si>
  <si>
    <t>gaguejar</t>
  </si>
  <si>
    <t>gaitear</t>
  </si>
  <si>
    <t>galanear</t>
  </si>
  <si>
    <t>galantear</t>
  </si>
  <si>
    <t>galardoar</t>
  </si>
  <si>
    <t>galear</t>
  </si>
  <si>
    <t>galgar</t>
  </si>
  <si>
    <t>galhardear</t>
  </si>
  <si>
    <t>galhofear</t>
  </si>
  <si>
    <t>galopear</t>
  </si>
  <si>
    <t>galrear</t>
  </si>
  <si>
    <t>galrejar</t>
  </si>
  <si>
    <t>gambetear</t>
  </si>
  <si>
    <t>ganhar</t>
  </si>
  <si>
    <t>ganiçar</t>
  </si>
  <si>
    <t>ganir</t>
  </si>
  <si>
    <t>garançar</t>
  </si>
  <si>
    <t>gargalaçar</t>
  </si>
  <si>
    <t>gargalhadear</t>
  </si>
  <si>
    <t>gargantear</t>
  </si>
  <si>
    <t>gargarejar</t>
  </si>
  <si>
    <t>garguitear</t>
  </si>
  <si>
    <t>garnear</t>
  </si>
  <si>
    <t>garoar</t>
  </si>
  <si>
    <t>garrear</t>
  </si>
  <si>
    <t>garrir</t>
  </si>
  <si>
    <t>garrotear</t>
  </si>
  <si>
    <t>garuar</t>
  </si>
  <si>
    <t>gaear</t>
  </si>
  <si>
    <t>gaseificar</t>
  </si>
  <si>
    <t>gasguitear</t>
  </si>
  <si>
    <t>gasificar</t>
  </si>
  <si>
    <t>gaspear</t>
  </si>
  <si>
    <t>gastar</t>
  </si>
  <si>
    <t>gatear</t>
  </si>
  <si>
    <t>gaucherear</t>
  </si>
  <si>
    <t>gazear</t>
  </si>
  <si>
    <t>gazetear</t>
  </si>
  <si>
    <t>gear</t>
  </si>
  <si>
    <t>gelifazer</t>
  </si>
  <si>
    <t>gelificar</t>
  </si>
  <si>
    <t>gemelhicar</t>
  </si>
  <si>
    <t>gemicar</t>
  </si>
  <si>
    <t>genrear</t>
  </si>
  <si>
    <t>genuflectir</t>
  </si>
  <si>
    <t>gerir</t>
  </si>
  <si>
    <t>gigantear</t>
  </si>
  <si>
    <t>ginetear</t>
  </si>
  <si>
    <t>gingar</t>
  </si>
  <si>
    <t>girovagar</t>
  </si>
  <si>
    <t>glaçar</t>
  </si>
  <si>
    <t>glorificar</t>
  </si>
  <si>
    <t>golear</t>
  </si>
  <si>
    <t>golejar</t>
  </si>
  <si>
    <t>golelhar</t>
  </si>
  <si>
    <t>golfejar</t>
  </si>
  <si>
    <t>golpear</t>
  </si>
  <si>
    <t>gongar</t>
  </si>
  <si>
    <t>gorgolejar</t>
  </si>
  <si>
    <t>gorjear</t>
  </si>
  <si>
    <t>gornir</t>
  </si>
  <si>
    <t>gotear</t>
  </si>
  <si>
    <t>gotejar</t>
  </si>
  <si>
    <t>gracejar</t>
  </si>
  <si>
    <t>gradear</t>
  </si>
  <si>
    <t>gradecer</t>
  </si>
  <si>
    <t>gralhear</t>
  </si>
  <si>
    <t>gramaticar</t>
  </si>
  <si>
    <t>grampear</t>
  </si>
  <si>
    <t>granear</t>
  </si>
  <si>
    <t>granjear</t>
  </si>
  <si>
    <t>grassar</t>
  </si>
  <si>
    <t>gratear</t>
  </si>
  <si>
    <t>gratificar</t>
  </si>
  <si>
    <t>gravancear</t>
  </si>
  <si>
    <t>gravatear</t>
  </si>
  <si>
    <t>gravotear</t>
  </si>
  <si>
    <t>graxear</t>
  </si>
  <si>
    <t>greguejar</t>
  </si>
  <si>
    <t>grugulejar</t>
  </si>
  <si>
    <t>grunhir</t>
  </si>
  <si>
    <t>guampear</t>
  </si>
  <si>
    <t>guapear</t>
  </si>
  <si>
    <t>guapetonear</t>
  </si>
  <si>
    <t>guardear</t>
  </si>
  <si>
    <t>guarnecer</t>
  </si>
  <si>
    <t>guarnir</t>
  </si>
  <si>
    <t>guasquear</t>
  </si>
  <si>
    <t>guerrear</t>
  </si>
  <si>
    <t>guitarrear</t>
  </si>
  <si>
    <t>labrear</t>
  </si>
  <si>
    <t>lacrear</t>
  </si>
  <si>
    <t>lacrimejar</t>
  </si>
  <si>
    <t>ladear</t>
  </si>
  <si>
    <t>ladrejar</t>
  </si>
  <si>
    <t>ladroar</t>
  </si>
  <si>
    <t>lagartear</t>
  </si>
  <si>
    <t>lagrimejar</t>
  </si>
  <si>
    <t>laicificar</t>
  </si>
  <si>
    <t>lajear</t>
  </si>
  <si>
    <t>lambancear</t>
  </si>
  <si>
    <t>lambetear</t>
  </si>
  <si>
    <t>lambiscar</t>
  </si>
  <si>
    <t>lambrecar</t>
  </si>
  <si>
    <t>lambregar</t>
  </si>
  <si>
    <t>lambuçar</t>
  </si>
  <si>
    <t>lampadejar</t>
  </si>
  <si>
    <t>lampejar</t>
  </si>
  <si>
    <t>lançar</t>
  </si>
  <si>
    <t>lancear</t>
  </si>
  <si>
    <t>languescer</t>
  </si>
  <si>
    <t>languir</t>
  </si>
  <si>
    <t>lapear</t>
  </si>
  <si>
    <t>lapidificar</t>
  </si>
  <si>
    <t>laquear</t>
  </si>
  <si>
    <t>larachear</t>
  </si>
  <si>
    <t>lardear</t>
  </si>
  <si>
    <t>larguear</t>
  </si>
  <si>
    <t>lassear</t>
  </si>
  <si>
    <t>lastrear</t>
  </si>
  <si>
    <t>latear</t>
  </si>
  <si>
    <t>latejar</t>
  </si>
  <si>
    <t>later</t>
  </si>
  <si>
    <t>latir</t>
  </si>
  <si>
    <t>laurear</t>
  </si>
  <si>
    <t>legar</t>
  </si>
  <si>
    <t>leigar</t>
  </si>
  <si>
    <t>leiloar</t>
  </si>
  <si>
    <t>lengalengar</t>
  </si>
  <si>
    <t>lenhificar</t>
  </si>
  <si>
    <t>lenificar</t>
  </si>
  <si>
    <t>lenir</t>
  </si>
  <si>
    <t>lentear</t>
  </si>
  <si>
    <t>lentejar</t>
  </si>
  <si>
    <t>lentescer</t>
  </si>
  <si>
    <t>ler</t>
  </si>
  <si>
    <t>crer</t>
  </si>
  <si>
    <t>ledear</t>
  </si>
  <si>
    <t>letificar</t>
  </si>
  <si>
    <t>letrear</t>
  </si>
  <si>
    <t>levigar</t>
  </si>
  <si>
    <t>ligar</t>
  </si>
  <si>
    <t>lignificar</t>
  </si>
  <si>
    <t>lingar</t>
  </si>
  <si>
    <t>liquefazer</t>
  </si>
  <si>
    <t>liquescer</t>
  </si>
  <si>
    <t>liquidificar</t>
  </si>
  <si>
    <t>liricar</t>
  </si>
  <si>
    <t>lisonjear</t>
  </si>
  <si>
    <t>literatejar</t>
  </si>
  <si>
    <t>litigar</t>
  </si>
  <si>
    <t>loar</t>
  </si>
  <si>
    <t>lobregar</t>
  </si>
  <si>
    <t>lobrigar</t>
  </si>
  <si>
    <t>locar</t>
  </si>
  <si>
    <t>logicar</t>
  </si>
  <si>
    <t>loirecer</t>
  </si>
  <si>
    <t>loirejar</t>
  </si>
  <si>
    <t>lombear</t>
  </si>
  <si>
    <t>lonquear</t>
  </si>
  <si>
    <t>lotear</t>
  </si>
  <si>
    <t>louçanear</t>
  </si>
  <si>
    <t>louquejar</t>
  </si>
  <si>
    <t>lourecer</t>
  </si>
  <si>
    <t>lourejar</t>
  </si>
  <si>
    <t>lubricar</t>
  </si>
  <si>
    <t>lubrificar</t>
  </si>
  <si>
    <t>lunanquear</t>
  </si>
  <si>
    <t>Defectivo 1</t>
  </si>
  <si>
    <t>Defectivo 2</t>
  </si>
  <si>
    <t>Defectivo 3</t>
  </si>
  <si>
    <t>Defectivo 4</t>
  </si>
  <si>
    <t>iem</t>
  </si>
  <si>
    <t>EJAR ó</t>
  </si>
  <si>
    <t>O e do radical é fechado nas formas rizotônicas.</t>
  </si>
  <si>
    <t>OIAR</t>
  </si>
  <si>
    <t>óio</t>
  </si>
  <si>
    <t>óias</t>
  </si>
  <si>
    <t>óia</t>
  </si>
  <si>
    <t>óie</t>
  </si>
  <si>
    <t>óies</t>
  </si>
  <si>
    <t>óiem</t>
  </si>
  <si>
    <t>óiam</t>
  </si>
  <si>
    <t>águo</t>
  </si>
  <si>
    <t>águes</t>
  </si>
  <si>
    <t>águe</t>
  </si>
  <si>
    <t>águem</t>
  </si>
  <si>
    <t>águas</t>
  </si>
  <si>
    <t>água</t>
  </si>
  <si>
    <t>águam</t>
  </si>
  <si>
    <t>fabricar</t>
  </si>
  <si>
    <t>facear</t>
  </si>
  <si>
    <t>facetear</t>
  </si>
  <si>
    <t>fachear</t>
  </si>
  <si>
    <t>fadejar</t>
  </si>
  <si>
    <t>fadigar</t>
  </si>
  <si>
    <t>faiscar</t>
  </si>
  <si>
    <t>faixear</t>
  </si>
  <si>
    <t>falcaçar</t>
  </si>
  <si>
    <t>falcoar</t>
  </si>
  <si>
    <t>falecer</t>
  </si>
  <si>
    <t>falquear</t>
  </si>
  <si>
    <t>falquejar</t>
  </si>
  <si>
    <t>falsear</t>
  </si>
  <si>
    <t>falsetear</t>
  </si>
  <si>
    <t>falsificar</t>
  </si>
  <si>
    <t>fandangar</t>
  </si>
  <si>
    <t>fandanguear</t>
  </si>
  <si>
    <t>fanfarrear</t>
  </si>
  <si>
    <t>fanhosear</t>
  </si>
  <si>
    <t>fanicar</t>
  </si>
  <si>
    <t>faquear</t>
  </si>
  <si>
    <t>farejar</t>
  </si>
  <si>
    <t>farfalhejar</t>
  </si>
  <si>
    <t>fariscar</t>
  </si>
  <si>
    <t>farpear</t>
  </si>
  <si>
    <t>farrear</t>
  </si>
  <si>
    <t>farromear</t>
  </si>
  <si>
    <t>farsantear</t>
  </si>
  <si>
    <t>fatagear</t>
  </si>
  <si>
    <t>fatejar</t>
  </si>
  <si>
    <t>fatigar</t>
  </si>
  <si>
    <t>faular</t>
  </si>
  <si>
    <t>favonear</t>
  </si>
  <si>
    <t>favorecer</t>
  </si>
  <si>
    <t>fenecer</t>
  </si>
  <si>
    <t>ferir</t>
  </si>
  <si>
    <t>ferretear</t>
  </si>
  <si>
    <t>ferretoar</t>
  </si>
  <si>
    <t>ferroar</t>
  </si>
  <si>
    <t>ferropear</t>
  </si>
  <si>
    <t>festejar</t>
  </si>
  <si>
    <t>festoar</t>
  </si>
  <si>
    <t>fincar</t>
  </si>
  <si>
    <t>fingir</t>
  </si>
  <si>
    <t>fisgar</t>
  </si>
  <si>
    <t>flamear</t>
  </si>
  <si>
    <t>flamejar</t>
  </si>
  <si>
    <t>flautear</t>
  </si>
  <si>
    <t>flavescer</t>
  </si>
  <si>
    <t>flectir</t>
  </si>
  <si>
    <t>fletir</t>
  </si>
  <si>
    <t>florear</t>
  </si>
  <si>
    <t>florejar</t>
  </si>
  <si>
    <t>florescer</t>
  </si>
  <si>
    <t>floretear</t>
  </si>
  <si>
    <t>florir</t>
  </si>
  <si>
    <t>fluidificar</t>
  </si>
  <si>
    <t>fluir</t>
  </si>
  <si>
    <t>fluorescer</t>
  </si>
  <si>
    <t>focar</t>
  </si>
  <si>
    <t>fofocar</t>
  </si>
  <si>
    <t>foguear</t>
  </si>
  <si>
    <t>foguetear</t>
  </si>
  <si>
    <t>foiçar</t>
  </si>
  <si>
    <t>folear</t>
  </si>
  <si>
    <t>folegar</t>
  </si>
  <si>
    <t>folgar</t>
  </si>
  <si>
    <t>folhear</t>
  </si>
  <si>
    <t>folhetear</t>
  </si>
  <si>
    <t>foragir</t>
  </si>
  <si>
    <t>forcar</t>
  </si>
  <si>
    <t>forçar</t>
  </si>
  <si>
    <t>forcejar</t>
  </si>
  <si>
    <t>forjicar</t>
  </si>
  <si>
    <t>formigar</t>
  </si>
  <si>
    <t>formiguejar</t>
  </si>
  <si>
    <t>formosear</t>
  </si>
  <si>
    <t>fornear</t>
  </si>
  <si>
    <t>fornecer</t>
  </si>
  <si>
    <t>fornejar</t>
  </si>
  <si>
    <t>fornicar</t>
  </si>
  <si>
    <t>fornir</t>
  </si>
  <si>
    <t>forquear</t>
  </si>
  <si>
    <t>orragear</t>
  </si>
  <si>
    <t>fortalecer</t>
  </si>
  <si>
    <t>fortificar</t>
  </si>
  <si>
    <t>foscar</t>
  </si>
  <si>
    <t>fosforejar</t>
  </si>
  <si>
    <t>fosforescer</t>
  </si>
  <si>
    <t>fotear</t>
  </si>
  <si>
    <t>fouçar</t>
  </si>
  <si>
    <t>fracatear</t>
  </si>
  <si>
    <t>fradejar</t>
  </si>
  <si>
    <t>fragalhotear</t>
  </si>
  <si>
    <t>fraguar</t>
  </si>
  <si>
    <t>fraldear</t>
  </si>
  <si>
    <t>fraldejar</t>
  </si>
  <si>
    <t>francear</t>
  </si>
  <si>
    <t>frangalhotear</t>
  </si>
  <si>
    <t>franger</t>
  </si>
  <si>
    <t>fragir</t>
  </si>
  <si>
    <t>franguear</t>
  </si>
  <si>
    <t>franquear</t>
  </si>
  <si>
    <t>fraquear</t>
  </si>
  <si>
    <t>fraquejar</t>
  </si>
  <si>
    <t>frasear</t>
  </si>
  <si>
    <t>frautear</t>
  </si>
  <si>
    <t>frechar</t>
  </si>
  <si>
    <t>fremir</t>
  </si>
  <si>
    <t>frentear</t>
  </si>
  <si>
    <t>fretejar</t>
  </si>
  <si>
    <t>fretenir</t>
  </si>
  <si>
    <t>frigir</t>
  </si>
  <si>
    <t>frigorificar</t>
  </si>
  <si>
    <t>frondear</t>
  </si>
  <si>
    <t>frondejar</t>
  </si>
  <si>
    <t>frondescer</t>
  </si>
  <si>
    <t>frutear</t>
  </si>
  <si>
    <t>frutescer</t>
  </si>
  <si>
    <t>frutificar</t>
  </si>
  <si>
    <t>fubecar</t>
  </si>
  <si>
    <t>fuçar</t>
  </si>
  <si>
    <t>fugar</t>
  </si>
  <si>
    <t>fugir</t>
  </si>
  <si>
    <t>fugicar</t>
  </si>
  <si>
    <t>fulgentear</t>
  </si>
  <si>
    <t>fulgir</t>
  </si>
  <si>
    <t>fumaçar</t>
  </si>
  <si>
    <t>fumear</t>
  </si>
  <si>
    <t>fumegar</t>
  </si>
  <si>
    <t>fumigar</t>
  </si>
  <si>
    <t>fundear</t>
  </si>
  <si>
    <t>fungar</t>
  </si>
  <si>
    <t>furacar</t>
  </si>
  <si>
    <t>furdunçar</t>
  </si>
  <si>
    <t>furoar</t>
  </si>
  <si>
    <t>furungar</t>
  </si>
  <si>
    <t>fustigar</t>
  </si>
  <si>
    <t>futicar</t>
  </si>
  <si>
    <t>futricar</t>
  </si>
  <si>
    <t>futucar</t>
  </si>
  <si>
    <t>fuxicar</t>
  </si>
  <si>
    <t>fuzarquear</t>
  </si>
  <si>
    <t>tabaquear</t>
  </si>
  <si>
    <t>tabernear</t>
  </si>
  <si>
    <t>tabicar</t>
  </si>
  <si>
    <t>taboquear</t>
  </si>
  <si>
    <t>tacanhear</t>
  </si>
  <si>
    <t>tacar</t>
  </si>
  <si>
    <t>tachear</t>
  </si>
  <si>
    <t>tagantear</t>
  </si>
  <si>
    <t>talingar</t>
  </si>
  <si>
    <t>talonear</t>
  </si>
  <si>
    <t>tamancar</t>
  </si>
  <si>
    <t>tamanquear</t>
  </si>
  <si>
    <t>tamborejar</t>
  </si>
  <si>
    <t>tangar</t>
  </si>
  <si>
    <t>tanoar</t>
  </si>
  <si>
    <t>tapear</t>
  </si>
  <si>
    <t>tapeçar</t>
  </si>
  <si>
    <t>tapetear</t>
  </si>
  <si>
    <t>taquear</t>
  </si>
  <si>
    <t>taramelear</t>
  </si>
  <si>
    <t>tarear</t>
  </si>
  <si>
    <t>tarrafear</t>
  </si>
  <si>
    <t>tartamelear</t>
  </si>
  <si>
    <t>tartamudear</t>
  </si>
  <si>
    <t>tartarear</t>
  </si>
  <si>
    <t>tartuficar</t>
  </si>
  <si>
    <t>tartugar</t>
  </si>
  <si>
    <t>tascar</t>
  </si>
  <si>
    <t>tatear</t>
  </si>
  <si>
    <t>tatibitatear</t>
  </si>
  <si>
    <t>tecar</t>
  </si>
  <si>
    <t>teclear</t>
  </si>
  <si>
    <t>telever</t>
  </si>
  <si>
    <t>telhar</t>
  </si>
  <si>
    <t>tempestear</t>
  </si>
  <si>
    <t>tentear</t>
  </si>
  <si>
    <t>terçar</t>
  </si>
  <si>
    <t>terrificar</t>
  </si>
  <si>
    <t>testificar</t>
  </si>
  <si>
    <t>tibungar</t>
  </si>
  <si>
    <t>ticar</t>
  </si>
  <si>
    <t>timonear</t>
  </si>
  <si>
    <t>tingir</t>
  </si>
  <si>
    <t>tinir</t>
  </si>
  <si>
    <t>tipificar</t>
  </si>
  <si>
    <t>tipizar</t>
  </si>
  <si>
    <t>tiquear</t>
  </si>
  <si>
    <t>tiquetaquear</t>
  </si>
  <si>
    <t>tironear</t>
  </si>
  <si>
    <t>tirotear</t>
  </si>
  <si>
    <t>titerear</t>
  </si>
  <si>
    <t>titicar</t>
  </si>
  <si>
    <t>titubear</t>
  </si>
  <si>
    <t>toar</t>
  </si>
  <si>
    <t>tocar</t>
  </si>
  <si>
    <t>toirear</t>
  </si>
  <si>
    <t>toitear</t>
  </si>
  <si>
    <t>tolejar</t>
  </si>
  <si>
    <t>tonificar</t>
  </si>
  <si>
    <t>tontear</t>
  </si>
  <si>
    <t>torcer</t>
  </si>
  <si>
    <t>tornear</t>
  </si>
  <si>
    <t>tornejar</t>
  </si>
  <si>
    <t>torpecer</t>
  </si>
  <si>
    <t>torpedear</t>
  </si>
  <si>
    <t>torrear</t>
  </si>
  <si>
    <t>torrefazer</t>
  </si>
  <si>
    <t>torrejar</t>
  </si>
  <si>
    <t>torrificar</t>
  </si>
  <si>
    <t>toscanejar</t>
  </si>
  <si>
    <t>toscar</t>
  </si>
  <si>
    <t>tosquenejar</t>
  </si>
  <si>
    <t>tossicar</t>
  </si>
  <si>
    <t>tossir</t>
  </si>
  <si>
    <t>toucar</t>
  </si>
  <si>
    <t>tourear</t>
  </si>
  <si>
    <t>toutear</t>
  </si>
  <si>
    <t>toxicar</t>
  </si>
  <si>
    <t>trabucar</t>
  </si>
  <si>
    <t>traçar</t>
  </si>
  <si>
    <t>tracejar</t>
  </si>
  <si>
    <t>tradear</t>
  </si>
  <si>
    <t>traduzir</t>
  </si>
  <si>
    <t>trafegar</t>
  </si>
  <si>
    <t>trafeguear</t>
  </si>
  <si>
    <t>traficar</t>
  </si>
  <si>
    <t>tragar</t>
  </si>
  <si>
    <t>traguear</t>
  </si>
  <si>
    <t>trair</t>
  </si>
  <si>
    <t>trambalear</t>
  </si>
  <si>
    <t>trambecar</t>
  </si>
  <si>
    <t>trambicar</t>
  </si>
  <si>
    <t>trampear</t>
  </si>
  <si>
    <t>tramposear</t>
  </si>
  <si>
    <t>trançar</t>
  </si>
  <si>
    <t>tranquear</t>
  </si>
  <si>
    <t>transcoar</t>
  </si>
  <si>
    <t>coar</t>
  </si>
  <si>
    <t>transfazer</t>
  </si>
  <si>
    <t>transferir</t>
  </si>
  <si>
    <t>transfugir</t>
  </si>
  <si>
    <t>transgredir</t>
  </si>
  <si>
    <t>transigir</t>
  </si>
  <si>
    <t>transir</t>
  </si>
  <si>
    <t>translinear</t>
  </si>
  <si>
    <t>transluzir</t>
  </si>
  <si>
    <t>transparecer</t>
  </si>
  <si>
    <t>transpor</t>
  </si>
  <si>
    <t>transtrocar</t>
  </si>
  <si>
    <t>transvestir</t>
  </si>
  <si>
    <t>transvoar</t>
  </si>
  <si>
    <t>trapacear</t>
  </si>
  <si>
    <t>trapear</t>
  </si>
  <si>
    <t>trapejar</t>
  </si>
  <si>
    <t>traquear</t>
  </si>
  <si>
    <t>traquejar</t>
  </si>
  <si>
    <t>trasfegar</t>
  </si>
  <si>
    <t>trasguear</t>
  </si>
  <si>
    <t>trastejar</t>
  </si>
  <si>
    <t>trasvoltear</t>
  </si>
  <si>
    <t>tratear</t>
  </si>
  <si>
    <t>trautear</t>
  </si>
  <si>
    <t>travejar</t>
  </si>
  <si>
    <t>travessear</t>
  </si>
  <si>
    <t>trazer</t>
  </si>
  <si>
    <t>trebelhar</t>
  </si>
  <si>
    <t>trefegar</t>
  </si>
  <si>
    <t>trejeitear</t>
  </si>
  <si>
    <t>treler</t>
  </si>
  <si>
    <t>tremelear</t>
  </si>
  <si>
    <t>tremelicar</t>
  </si>
  <si>
    <t>tremeluzir</t>
  </si>
  <si>
    <t>treplicar</t>
  </si>
  <si>
    <t>transfolegar</t>
  </si>
  <si>
    <t>resfolegar</t>
  </si>
  <si>
    <t>tresfolgar</t>
  </si>
  <si>
    <t>tresler</t>
  </si>
  <si>
    <t>tresloucar</t>
  </si>
  <si>
    <t>tresvoltear</t>
  </si>
  <si>
    <t>tretear</t>
  </si>
  <si>
    <t>tricotear</t>
  </si>
  <si>
    <t>trifurcar</t>
  </si>
  <si>
    <t>trigar</t>
  </si>
  <si>
    <t>trincar</t>
  </si>
  <si>
    <t>trincolejar</t>
  </si>
  <si>
    <t>trinir</t>
  </si>
  <si>
    <t>triplicar</t>
  </si>
  <si>
    <t>triscar</t>
  </si>
  <si>
    <t>trissecar</t>
  </si>
  <si>
    <t>troar</t>
  </si>
  <si>
    <t>trocar</t>
  </si>
  <si>
    <t>troçar</t>
  </si>
  <si>
    <t>trociscar</t>
  </si>
  <si>
    <t>troiar</t>
  </si>
  <si>
    <t>trombetear</t>
  </si>
  <si>
    <t>trombicar</t>
  </si>
  <si>
    <t>trompear</t>
  </si>
  <si>
    <t>tronear</t>
  </si>
  <si>
    <t>tronejar</t>
  </si>
  <si>
    <t>tropear</t>
  </si>
  <si>
    <t>tropeçar</t>
  </si>
  <si>
    <t>tropicar</t>
  </si>
  <si>
    <t>trotear</t>
  </si>
  <si>
    <t>trovejar</t>
  </si>
  <si>
    <t>troviscar</t>
  </si>
  <si>
    <t>trovoar</t>
  </si>
  <si>
    <t>truanear</t>
  </si>
  <si>
    <t>trucar</t>
  </si>
  <si>
    <t>trumbicar</t>
  </si>
  <si>
    <t>truncar</t>
  </si>
  <si>
    <t>tugir</t>
  </si>
  <si>
    <t>tumefazer</t>
  </si>
  <si>
    <t>tumeficar</t>
  </si>
  <si>
    <t>tumescer</t>
  </si>
  <si>
    <t>tungar</t>
  </si>
  <si>
    <t>tunguear</t>
  </si>
  <si>
    <t>turgescer</t>
  </si>
  <si>
    <t>turificar</t>
  </si>
  <si>
    <t>turvejar</t>
  </si>
  <si>
    <t>tutear</t>
  </si>
  <si>
    <t>tutucar</t>
  </si>
  <si>
    <t>içar</t>
  </si>
  <si>
    <t>identificar</t>
  </si>
  <si>
    <t>ignifugar</t>
  </si>
  <si>
    <t>ilaquear</t>
  </si>
  <si>
    <t>iliçar</t>
  </si>
  <si>
    <t>iligar</t>
  </si>
  <si>
    <t>imbicar</t>
  </si>
  <si>
    <t>imbricar</t>
  </si>
  <si>
    <t>imbuir</t>
  </si>
  <si>
    <t>imergir</t>
  </si>
  <si>
    <t>emergir</t>
  </si>
  <si>
    <t>impedir</t>
  </si>
  <si>
    <t>pedir</t>
  </si>
  <si>
    <t>impelir</t>
  </si>
  <si>
    <t>imperfeiçoar</t>
  </si>
  <si>
    <t>impermear</t>
  </si>
  <si>
    <t>impeticar</t>
  </si>
  <si>
    <t>impingir</t>
  </si>
  <si>
    <t>implicar</t>
  </si>
  <si>
    <t>implodir</t>
  </si>
  <si>
    <t>impor</t>
  </si>
  <si>
    <t>imprecar</t>
  </si>
  <si>
    <t>imprimir</t>
  </si>
  <si>
    <t>impurificar</t>
  </si>
  <si>
    <t>inanir</t>
  </si>
  <si>
    <t>incandescer</t>
  </si>
  <si>
    <t>inçar</t>
  </si>
  <si>
    <t>incendiar</t>
  </si>
  <si>
    <t>incluir</t>
  </si>
  <si>
    <t>incoar</t>
  </si>
  <si>
    <t>inculcar</t>
  </si>
  <si>
    <t>indagar</t>
  </si>
  <si>
    <t>indeferir</t>
  </si>
  <si>
    <t>indicar</t>
  </si>
  <si>
    <t>indispor</t>
  </si>
  <si>
    <t>induzir</t>
  </si>
  <si>
    <t>inerir</t>
  </si>
  <si>
    <t>inferir</t>
  </si>
  <si>
    <t>inflingir</t>
  </si>
  <si>
    <t>inflectir</t>
  </si>
  <si>
    <t>infletir</t>
  </si>
  <si>
    <t>infligir</t>
  </si>
  <si>
    <t>influir</t>
  </si>
  <si>
    <t>infringir</t>
  </si>
  <si>
    <t>infunicar</t>
  </si>
  <si>
    <t>ingerir</t>
  </si>
  <si>
    <t>injungir</t>
  </si>
  <si>
    <t>inscrever</t>
  </si>
  <si>
    <t>insculpir</t>
  </si>
  <si>
    <t>inserir</t>
  </si>
  <si>
    <t>instigar</t>
  </si>
  <si>
    <t>instituir</t>
  </si>
  <si>
    <t>instruir</t>
  </si>
  <si>
    <t>insurgir</t>
  </si>
  <si>
    <t>inteiriçar</t>
  </si>
  <si>
    <t>intensificar</t>
  </si>
  <si>
    <t>interagir</t>
  </si>
  <si>
    <t>intercomunicar</t>
  </si>
  <si>
    <t>interdizer</t>
  </si>
  <si>
    <t>interespacejar</t>
  </si>
  <si>
    <t>interferir</t>
  </si>
  <si>
    <t>interlaçar</t>
  </si>
  <si>
    <t>interligar</t>
  </si>
  <si>
    <t>intermear</t>
  </si>
  <si>
    <t>intermediar</t>
  </si>
  <si>
    <t>mediar</t>
  </si>
  <si>
    <t>interpor</t>
  </si>
  <si>
    <t>interrogar</t>
  </si>
  <si>
    <t>interserir</t>
  </si>
  <si>
    <t>intertecer</t>
  </si>
  <si>
    <t>interver</t>
  </si>
  <si>
    <t>intervir</t>
  </si>
  <si>
    <t>intoxicar</t>
  </si>
  <si>
    <t>intricar</t>
  </si>
  <si>
    <t>intrigar</t>
  </si>
  <si>
    <t>intrincar</t>
  </si>
  <si>
    <t>introduzir</t>
  </si>
  <si>
    <t>intuir</t>
  </si>
  <si>
    <t>intumescer</t>
  </si>
  <si>
    <t>inturgescer</t>
  </si>
  <si>
    <t>invalescer</t>
  </si>
  <si>
    <t>investigar</t>
  </si>
  <si>
    <t>investir</t>
  </si>
  <si>
    <t>vestir</t>
  </si>
  <si>
    <t>invocar</t>
  </si>
  <si>
    <t>irrigar</t>
  </si>
  <si>
    <t>irrogar</t>
  </si>
  <si>
    <t>iscar</t>
  </si>
  <si>
    <t>UZIR</t>
  </si>
  <si>
    <t>Imperativo segunda pessoa singular abundante: ...uz  e ... ze</t>
  </si>
  <si>
    <t>DIZER</t>
  </si>
  <si>
    <t>go</t>
  </si>
  <si>
    <t>sse</t>
  </si>
  <si>
    <t>ssestes</t>
  </si>
  <si>
    <t>ssemos</t>
  </si>
  <si>
    <t>sseram</t>
  </si>
  <si>
    <t>ssera</t>
  </si>
  <si>
    <t>sseras</t>
  </si>
  <si>
    <t>sséramos</t>
  </si>
  <si>
    <t>sséreis</t>
  </si>
  <si>
    <t>rei</t>
  </si>
  <si>
    <t>rás</t>
  </si>
  <si>
    <t>rá</t>
  </si>
  <si>
    <t>remos</t>
  </si>
  <si>
    <t>reis</t>
  </si>
  <si>
    <t>rão</t>
  </si>
  <si>
    <t>ria</t>
  </si>
  <si>
    <t>rias</t>
  </si>
  <si>
    <t>ríamos</t>
  </si>
  <si>
    <t>ríeis</t>
  </si>
  <si>
    <t>riam</t>
  </si>
  <si>
    <t>ga</t>
  </si>
  <si>
    <t>gas</t>
  </si>
  <si>
    <t>gamos</t>
  </si>
  <si>
    <t>gais</t>
  </si>
  <si>
    <t>gam</t>
  </si>
  <si>
    <t>ssesse</t>
  </si>
  <si>
    <t>ssesses</t>
  </si>
  <si>
    <t>ssésseis</t>
  </si>
  <si>
    <t>ssessem</t>
  </si>
  <si>
    <t>sser</t>
  </si>
  <si>
    <t>sseres</t>
  </si>
  <si>
    <t>sserem</t>
  </si>
  <si>
    <t>sserdes</t>
  </si>
  <si>
    <t>ssermos</t>
  </si>
  <si>
    <t>to</t>
  </si>
  <si>
    <t>sséssemos</t>
  </si>
  <si>
    <t>genufletir</t>
  </si>
  <si>
    <t>Fonema e do radical aberto (é) nas formas rizotônicas.</t>
  </si>
  <si>
    <t>Fonema e do radical fechado (ê) nas formas rizotônicas.</t>
  </si>
  <si>
    <t>EJAR ô</t>
  </si>
  <si>
    <t>Fonema e fechado (ê) nas formas rizotônicas.</t>
  </si>
  <si>
    <t>íres</t>
  </si>
  <si>
    <t>írem</t>
  </si>
  <si>
    <t>iamos</t>
  </si>
  <si>
    <t>iais</t>
  </si>
  <si>
    <t>O u é tônico em flexões do presente do indicativo e do subjuntivo.</t>
  </si>
  <si>
    <t>eias</t>
  </si>
  <si>
    <t>eia</t>
  </si>
  <si>
    <t>eiam</t>
  </si>
  <si>
    <t>eie</t>
  </si>
  <si>
    <t>eies</t>
  </si>
  <si>
    <t>ieis</t>
  </si>
  <si>
    <t>eiem</t>
  </si>
  <si>
    <t>Ú-X-AR</t>
  </si>
  <si>
    <t>úmo</t>
  </si>
  <si>
    <t>úmas</t>
  </si>
  <si>
    <t>úma</t>
  </si>
  <si>
    <t>úmam</t>
  </si>
  <si>
    <t>úme</t>
  </si>
  <si>
    <t>úmes</t>
  </si>
  <si>
    <t>úmem</t>
  </si>
  <si>
    <t>úvo</t>
  </si>
  <si>
    <t>úvas</t>
  </si>
  <si>
    <t>úva</t>
  </si>
  <si>
    <t>úvam</t>
  </si>
  <si>
    <t>úve</t>
  </si>
  <si>
    <t>úves</t>
  </si>
  <si>
    <t>úvem</t>
  </si>
  <si>
    <t>oles</t>
  </si>
  <si>
    <t>ole</t>
  </si>
  <si>
    <t>olem</t>
  </si>
  <si>
    <t>O-X-IR</t>
  </si>
  <si>
    <t>QUERER</t>
  </si>
  <si>
    <t>r</t>
  </si>
  <si>
    <t>iseste</t>
  </si>
  <si>
    <t>isemos</t>
  </si>
  <si>
    <t>isestes</t>
  </si>
  <si>
    <t>iseram</t>
  </si>
  <si>
    <t>isera</t>
  </si>
  <si>
    <t>iseras</t>
  </si>
  <si>
    <t>iséramos</t>
  </si>
  <si>
    <t>iséreis</t>
  </si>
  <si>
    <t>eiramos</t>
  </si>
  <si>
    <t>eirais</t>
  </si>
  <si>
    <t>eiram</t>
  </si>
  <si>
    <t>isesse</t>
  </si>
  <si>
    <t>isesses</t>
  </si>
  <si>
    <t>iséssemos</t>
  </si>
  <si>
    <t>isésseis</t>
  </si>
  <si>
    <t>isessem</t>
  </si>
  <si>
    <t>iser</t>
  </si>
  <si>
    <t>iseres</t>
  </si>
  <si>
    <t>isermos</t>
  </si>
  <si>
    <t>iserdes</t>
  </si>
  <si>
    <t>iserem</t>
  </si>
  <si>
    <t>eiras</t>
  </si>
  <si>
    <t>eira</t>
  </si>
  <si>
    <t>eiamos</t>
  </si>
  <si>
    <t>eiais</t>
  </si>
  <si>
    <t>CRER</t>
  </si>
  <si>
    <t>Í-X-AR</t>
  </si>
  <si>
    <t>ajesuitar</t>
  </si>
  <si>
    <t>úcho</t>
  </si>
  <si>
    <t>úchas</t>
  </si>
  <si>
    <t>úcha</t>
  </si>
  <si>
    <t>úcham</t>
  </si>
  <si>
    <t>úche</t>
  </si>
  <si>
    <t>úches</t>
  </si>
  <si>
    <t>úchem</t>
  </si>
  <si>
    <t>ítas</t>
  </si>
  <si>
    <t>íta</t>
  </si>
  <si>
    <t>ítam</t>
  </si>
  <si>
    <t>íte</t>
  </si>
  <si>
    <t>ízes</t>
  </si>
  <si>
    <t>ítes</t>
  </si>
  <si>
    <t>ítem</t>
  </si>
  <si>
    <t>ústro</t>
  </si>
  <si>
    <t>ústras</t>
  </si>
  <si>
    <t>ústra</t>
  </si>
  <si>
    <t>ústram</t>
  </si>
  <si>
    <t>ústre</t>
  </si>
  <si>
    <t>ústres</t>
  </si>
  <si>
    <t>ústrem</t>
  </si>
  <si>
    <t>PEDIR</t>
  </si>
  <si>
    <t>irto</t>
  </si>
  <si>
    <t>E-X-IR</t>
  </si>
  <si>
    <t>irta</t>
  </si>
  <si>
    <t>irtas</t>
  </si>
  <si>
    <t>irtamos</t>
  </si>
  <si>
    <t>irtais</t>
  </si>
  <si>
    <t>irtam</t>
  </si>
  <si>
    <t>ides</t>
  </si>
  <si>
    <t>ide</t>
  </si>
  <si>
    <t>ida</t>
  </si>
  <si>
    <t>idas</t>
  </si>
  <si>
    <t>idamos</t>
  </si>
  <si>
    <t>idais</t>
  </si>
  <si>
    <t>idam</t>
  </si>
  <si>
    <t>idem</t>
  </si>
  <si>
    <t>irjo</t>
  </si>
  <si>
    <t>irja</t>
  </si>
  <si>
    <t>irjas</t>
  </si>
  <si>
    <t>irjamos</t>
  </si>
  <si>
    <t>irjais</t>
  </si>
  <si>
    <t>irjam</t>
  </si>
  <si>
    <r>
      <t xml:space="preserve">Usa-se também </t>
    </r>
    <r>
      <rPr>
        <i/>
        <sz val="11"/>
        <color theme="1"/>
        <rFont val="Calibri"/>
        <family val="2"/>
        <scheme val="minor"/>
      </rPr>
      <t>asperjo</t>
    </r>
    <r>
      <rPr>
        <sz val="11"/>
        <color theme="1"/>
        <rFont val="Calibri"/>
        <family val="2"/>
        <scheme val="minor"/>
      </rPr>
      <t xml:space="preserve"> no presente do indicativo.</t>
    </r>
  </si>
  <si>
    <t>so</t>
  </si>
  <si>
    <t>FUGIR</t>
  </si>
  <si>
    <t>oges</t>
  </si>
  <si>
    <t>oge</t>
  </si>
  <si>
    <t>ogem</t>
  </si>
  <si>
    <t>Duas flexões irregulares de particípio: incluído e incluso.</t>
  </si>
  <si>
    <t>IAR</t>
  </si>
  <si>
    <t>AIR</t>
  </si>
  <si>
    <t>ECHAR ê</t>
  </si>
  <si>
    <t>ECHAR é</t>
  </si>
  <si>
    <t>COAR</t>
  </si>
  <si>
    <t>ôas</t>
  </si>
  <si>
    <t>ôa</t>
  </si>
  <si>
    <t>TOSSIR</t>
  </si>
  <si>
    <t>usso</t>
  </si>
  <si>
    <t>ussa</t>
  </si>
  <si>
    <t>ussas</t>
  </si>
  <si>
    <t>ussais</t>
  </si>
  <si>
    <t>ussam</t>
  </si>
  <si>
    <t>ussamos</t>
  </si>
  <si>
    <t>deter</t>
  </si>
  <si>
    <t>X-TER</t>
  </si>
  <si>
    <t>éns</t>
  </si>
  <si>
    <t>ém</t>
  </si>
  <si>
    <t>suster</t>
  </si>
  <si>
    <t>sabadear</t>
  </si>
  <si>
    <t>saber</t>
  </si>
  <si>
    <t>saberecar</t>
  </si>
  <si>
    <t>sabererecar</t>
  </si>
  <si>
    <t>saborear</t>
  </si>
  <si>
    <t>sabrecar</t>
  </si>
  <si>
    <t>sabucar</t>
  </si>
  <si>
    <t>sabugar</t>
  </si>
  <si>
    <t>sacanear</t>
  </si>
  <si>
    <t>sacar</t>
  </si>
  <si>
    <t>saçaricar</t>
  </si>
  <si>
    <t>sacarificar</t>
  </si>
  <si>
    <t>sacolejar</t>
  </si>
  <si>
    <t>sacrificar</t>
  </si>
  <si>
    <t>sacudir</t>
  </si>
  <si>
    <t>safrejar</t>
  </si>
  <si>
    <t>salgar</t>
  </si>
  <si>
    <t>salificar</t>
  </si>
  <si>
    <t>salmear</t>
  </si>
  <si>
    <t>salpicar</t>
  </si>
  <si>
    <t>saltaricar</t>
  </si>
  <si>
    <t>saltear</t>
  </si>
  <si>
    <t>salubrificar</t>
  </si>
  <si>
    <t>saluçar</t>
  </si>
  <si>
    <t>samangar</t>
  </si>
  <si>
    <t>sambear</t>
  </si>
  <si>
    <t>sambocar</t>
  </si>
  <si>
    <t>samear</t>
  </si>
  <si>
    <t>sandejar</t>
  </si>
  <si>
    <t>sanear</t>
  </si>
  <si>
    <t>sanguificar</t>
  </si>
  <si>
    <t>sanificar</t>
  </si>
  <si>
    <t>santificar</t>
  </si>
  <si>
    <t>santigar</t>
  </si>
  <si>
    <t>santiguar</t>
  </si>
  <si>
    <t>sapatear</t>
  </si>
  <si>
    <t>sapear</t>
  </si>
  <si>
    <t>sapecar</t>
  </si>
  <si>
    <t>sapejar</t>
  </si>
  <si>
    <t>saponificar</t>
  </si>
  <si>
    <t>sarabandear</t>
  </si>
  <si>
    <t>saracotear</t>
  </si>
  <si>
    <t>saradear</t>
  </si>
  <si>
    <t>sargentear</t>
  </si>
  <si>
    <t>sarrafaçar</t>
  </si>
  <si>
    <t>sarrafear</t>
  </si>
  <si>
    <t>satisdar</t>
  </si>
  <si>
    <t>dar</t>
  </si>
  <si>
    <t>satisfazer</t>
  </si>
  <si>
    <t>satrapear</t>
  </si>
  <si>
    <t>secar</t>
  </si>
  <si>
    <t>sedear</t>
  </si>
  <si>
    <t>seduzir</t>
  </si>
  <si>
    <t>segar</t>
  </si>
  <si>
    <t>segregar</t>
  </si>
  <si>
    <t>seguir</t>
  </si>
  <si>
    <t>igo</t>
  </si>
  <si>
    <t>iga</t>
  </si>
  <si>
    <t>igas</t>
  </si>
  <si>
    <t>igamos</t>
  </si>
  <si>
    <t>igais</t>
  </si>
  <si>
    <t>igam</t>
  </si>
  <si>
    <t>semear</t>
  </si>
  <si>
    <t>semelhar</t>
  </si>
  <si>
    <t>sengar</t>
  </si>
  <si>
    <t>senhorear</t>
  </si>
  <si>
    <t>sensificar</t>
  </si>
  <si>
    <t>seringar</t>
  </si>
  <si>
    <t>seroar</t>
  </si>
  <si>
    <t>serpear</t>
  </si>
  <si>
    <t>serpejar</t>
  </si>
  <si>
    <t>serpentear</t>
  </si>
  <si>
    <t>serrear</t>
  </si>
  <si>
    <t>sertanejar</t>
  </si>
  <si>
    <t>servir</t>
  </si>
  <si>
    <t>irvo</t>
  </si>
  <si>
    <t>irva</t>
  </si>
  <si>
    <t>irvas</t>
  </si>
  <si>
    <t>irvamos</t>
  </si>
  <si>
    <t>irvais</t>
  </si>
  <si>
    <t>irvam</t>
  </si>
  <si>
    <t>sestear</t>
  </si>
  <si>
    <t>setear</t>
  </si>
  <si>
    <t>setuplicar</t>
  </si>
  <si>
    <t>significar</t>
  </si>
  <si>
    <t>silicificar</t>
  </si>
  <si>
    <t>ficar</t>
  </si>
  <si>
    <t>simplificar</t>
  </si>
  <si>
    <t>sindicar</t>
  </si>
  <si>
    <t>sintecar</t>
  </si>
  <si>
    <t>sirgar</t>
  </si>
  <si>
    <t>siriricar</t>
  </si>
  <si>
    <t>soabrir</t>
  </si>
  <si>
    <t>soar</t>
  </si>
  <si>
    <t>sobalçar</t>
  </si>
  <si>
    <t>sobejar</t>
  </si>
  <si>
    <t>sobestar</t>
  </si>
  <si>
    <t>ESTAR</t>
  </si>
  <si>
    <t>sobnegar</t>
  </si>
  <si>
    <t>sobpor</t>
  </si>
  <si>
    <t>sobraçar</t>
  </si>
  <si>
    <t>sobrancear</t>
  </si>
  <si>
    <t>sobreafligir</t>
  </si>
  <si>
    <t>sobreaquecer</t>
  </si>
  <si>
    <t>sobrecabecear</t>
  </si>
  <si>
    <t>sobrecarregar</t>
  </si>
  <si>
    <t>sobrechegar</t>
  </si>
  <si>
    <t>sobreerguer</t>
  </si>
  <si>
    <t>erguer</t>
  </si>
  <si>
    <t>sobreestar</t>
  </si>
  <si>
    <t>sobrenomear</t>
  </si>
  <si>
    <t>sobrepor</t>
  </si>
  <si>
    <t>sobrepovoar</t>
  </si>
  <si>
    <t>sobrepratear</t>
  </si>
  <si>
    <t>sobrescrever</t>
  </si>
  <si>
    <t>escrever</t>
  </si>
  <si>
    <t>sobrescritar</t>
  </si>
  <si>
    <t>subscrever</t>
  </si>
  <si>
    <t>sobre-semear</t>
  </si>
  <si>
    <t>sobressair</t>
  </si>
  <si>
    <t>sobressaltear</t>
  </si>
  <si>
    <t>sobrestar</t>
  </si>
  <si>
    <t>sobretecer</t>
  </si>
  <si>
    <t>sobrevestir</t>
  </si>
  <si>
    <t>sobrevir</t>
  </si>
  <si>
    <t>sobrevoar</t>
  </si>
  <si>
    <t>socalcar</t>
  </si>
  <si>
    <t>socar</t>
  </si>
  <si>
    <t>sochantrear</t>
  </si>
  <si>
    <t>soçocar</t>
  </si>
  <si>
    <t>soer</t>
  </si>
  <si>
    <t>ói</t>
  </si>
  <si>
    <t>óis</t>
  </si>
  <si>
    <t>soerguer</t>
  </si>
  <si>
    <t>sofisticar</t>
  </si>
  <si>
    <t>sofrear</t>
  </si>
  <si>
    <t>sogar</t>
  </si>
  <si>
    <t>sojigar</t>
  </si>
  <si>
    <t>sojugar</t>
  </si>
  <si>
    <t>solancar</t>
  </si>
  <si>
    <t>solavancar</t>
  </si>
  <si>
    <t>solecar</t>
  </si>
  <si>
    <t>solfejar</t>
  </si>
  <si>
    <t>solidificar</t>
  </si>
  <si>
    <t>soluçar</t>
  </si>
  <si>
    <t>sombrear</t>
  </si>
  <si>
    <t>sombrejar</t>
  </si>
  <si>
    <t>somiticar</t>
  </si>
  <si>
    <t>sonegar</t>
  </si>
  <si>
    <t>carregar</t>
  </si>
  <si>
    <t>sonetear</t>
  </si>
  <si>
    <t>sopapear</t>
  </si>
  <si>
    <t>sopear</t>
  </si>
  <si>
    <t>sopetear</t>
  </si>
  <si>
    <t>soquear</t>
  </si>
  <si>
    <t>soquetear</t>
  </si>
  <si>
    <t>sororocar</t>
  </si>
  <si>
    <t>sorrir</t>
  </si>
  <si>
    <t>rir</t>
  </si>
  <si>
    <t>sortear</t>
  </si>
  <si>
    <t>sortir</t>
  </si>
  <si>
    <t>sossegar</t>
  </si>
  <si>
    <t>sotaquear</t>
  </si>
  <si>
    <t>sotaventear</t>
  </si>
  <si>
    <t>sotopor</t>
  </si>
  <si>
    <t>sotrancar</t>
  </si>
  <si>
    <t>subalugar</t>
  </si>
  <si>
    <t>subdelegar</t>
  </si>
  <si>
    <t>subenfiteuticar</t>
  </si>
  <si>
    <t>subir</t>
  </si>
  <si>
    <t>subjugar</t>
  </si>
  <si>
    <t>sublocar</t>
  </si>
  <si>
    <t>submergir</t>
  </si>
  <si>
    <t>subpor</t>
  </si>
  <si>
    <t>sub-rogar</t>
  </si>
  <si>
    <t>subseguir</t>
  </si>
  <si>
    <t>substabelecer</t>
  </si>
  <si>
    <t>substanciar</t>
  </si>
  <si>
    <t>substituir</t>
  </si>
  <si>
    <t>subterfugir</t>
  </si>
  <si>
    <t>subtrair</t>
  </si>
  <si>
    <t>sucatear</t>
  </si>
  <si>
    <t>sufocar</t>
  </si>
  <si>
    <t>sufragar</t>
  </si>
  <si>
    <t>sufumigar</t>
  </si>
  <si>
    <t>sugar</t>
  </si>
  <si>
    <t>sugerir</t>
  </si>
  <si>
    <t>sujeitar</t>
  </si>
  <si>
    <t>sujigar</t>
  </si>
  <si>
    <t>sulaventear</t>
  </si>
  <si>
    <t>sulcar</t>
  </si>
  <si>
    <t>sultanear</t>
  </si>
  <si>
    <t>sumir</t>
  </si>
  <si>
    <t>sungar</t>
  </si>
  <si>
    <t>superaquecer</t>
  </si>
  <si>
    <t>superpor</t>
  </si>
  <si>
    <t>superpovoar</t>
  </si>
  <si>
    <t>superproteger</t>
  </si>
  <si>
    <t>suplicar</t>
  </si>
  <si>
    <t>supor</t>
  </si>
  <si>
    <t>suprimir</t>
  </si>
  <si>
    <t>esso</t>
  </si>
  <si>
    <t>surcar</t>
  </si>
  <si>
    <t>surdear</t>
  </si>
  <si>
    <t>surgir</t>
  </si>
  <si>
    <t>surpreender</t>
  </si>
  <si>
    <t>surtir</t>
  </si>
  <si>
    <t>surucar</t>
  </si>
  <si>
    <t>sururucar</t>
  </si>
  <si>
    <t>suspender</t>
  </si>
  <si>
    <t>ista</t>
  </si>
  <si>
    <t>istas</t>
  </si>
  <si>
    <t>istamos</t>
  </si>
  <si>
    <t>istais</t>
  </si>
  <si>
    <t>istam</t>
  </si>
  <si>
    <t>IR</t>
  </si>
  <si>
    <t>vou</t>
  </si>
  <si>
    <t>vais</t>
  </si>
  <si>
    <t>vai</t>
  </si>
  <si>
    <t>vamos</t>
  </si>
  <si>
    <t>vão</t>
  </si>
  <si>
    <t>foreis</t>
  </si>
  <si>
    <t>vá</t>
  </si>
  <si>
    <t>vás</t>
  </si>
  <si>
    <t>vades</t>
  </si>
  <si>
    <t>RIR</t>
  </si>
  <si>
    <t>GER</t>
  </si>
  <si>
    <t>SUMIR</t>
  </si>
  <si>
    <t>omes</t>
  </si>
  <si>
    <t>ome</t>
  </si>
  <si>
    <t>omem</t>
  </si>
  <si>
    <t>ínguo</t>
  </si>
  <si>
    <t>ínguas</t>
  </si>
  <si>
    <t>íngua</t>
  </si>
  <si>
    <t>ínguem</t>
  </si>
  <si>
    <t>íngue</t>
  </si>
  <si>
    <t>íngues</t>
  </si>
  <si>
    <t>´-GUAR</t>
  </si>
  <si>
    <t>íno</t>
  </si>
  <si>
    <t>íto</t>
  </si>
  <si>
    <t>ínas</t>
  </si>
  <si>
    <t>ína</t>
  </si>
  <si>
    <t>ínam</t>
  </si>
  <si>
    <t>íne</t>
  </si>
  <si>
    <t>ínes</t>
  </si>
  <si>
    <t>ínem</t>
  </si>
  <si>
    <t>úno</t>
  </si>
  <si>
    <t>únas</t>
  </si>
  <si>
    <t>úna</t>
  </si>
  <si>
    <t>únam</t>
  </si>
  <si>
    <t>úne</t>
  </si>
  <si>
    <t>únes</t>
  </si>
  <si>
    <t>únem</t>
  </si>
  <si>
    <t>ilo</t>
  </si>
  <si>
    <t>ila</t>
  </si>
  <si>
    <t>ilas</t>
  </si>
  <si>
    <t>ilamos</t>
  </si>
  <si>
    <t>ilais</t>
  </si>
  <si>
    <t>ilam</t>
  </si>
  <si>
    <t>SORTIR</t>
  </si>
  <si>
    <t>urtem</t>
  </si>
  <si>
    <t>urto</t>
  </si>
  <si>
    <t>urtes</t>
  </si>
  <si>
    <t>urte</t>
  </si>
  <si>
    <t>urta</t>
  </si>
  <si>
    <t>urtas</t>
  </si>
  <si>
    <t>urtamos</t>
  </si>
  <si>
    <t>urtais</t>
  </si>
  <si>
    <t>urtam</t>
  </si>
  <si>
    <t>IDEAR</t>
  </si>
  <si>
    <t>éio</t>
  </si>
  <si>
    <t>éias</t>
  </si>
  <si>
    <t>éia</t>
  </si>
  <si>
    <t>éiam</t>
  </si>
  <si>
    <t>éie</t>
  </si>
  <si>
    <t>éies</t>
  </si>
  <si>
    <t>eemos</t>
  </si>
  <si>
    <t>eeis</t>
  </si>
  <si>
    <t>éiem</t>
  </si>
  <si>
    <t>travestir</t>
  </si>
  <si>
    <t>DAR</t>
  </si>
  <si>
    <t>éssemos</t>
  </si>
  <si>
    <t>ésseis</t>
  </si>
  <si>
    <t>SABER</t>
  </si>
  <si>
    <t>oube</t>
  </si>
  <si>
    <t>oubeste</t>
  </si>
  <si>
    <t>oubemos</t>
  </si>
  <si>
    <t>oubestes</t>
  </si>
  <si>
    <t>ouberam</t>
  </si>
  <si>
    <t>oubera</t>
  </si>
  <si>
    <t>ouberas</t>
  </si>
  <si>
    <t>oubéramos</t>
  </si>
  <si>
    <t>oubéreis</t>
  </si>
  <si>
    <t>aiba</t>
  </si>
  <si>
    <t>aibas</t>
  </si>
  <si>
    <t>aibamos</t>
  </si>
  <si>
    <t>aibais</t>
  </si>
  <si>
    <t>aibam</t>
  </si>
  <si>
    <t>oubesse</t>
  </si>
  <si>
    <t>oubesses</t>
  </si>
  <si>
    <t>oubéssemos</t>
  </si>
  <si>
    <t>oubésseis</t>
  </si>
  <si>
    <t>oubessem</t>
  </si>
  <si>
    <t>ouber</t>
  </si>
  <si>
    <t>ouberes</t>
  </si>
  <si>
    <t>oubermos</t>
  </si>
  <si>
    <t>ouberdes</t>
  </si>
  <si>
    <t>ouberem</t>
  </si>
  <si>
    <t>VALER</t>
  </si>
  <si>
    <t>ho</t>
  </si>
  <si>
    <t>has</t>
  </si>
  <si>
    <t>hamos</t>
  </si>
  <si>
    <t>hais</t>
  </si>
  <si>
    <t>ham</t>
  </si>
  <si>
    <t>ha</t>
  </si>
  <si>
    <t>TRAZER</t>
  </si>
  <si>
    <t>ouxe</t>
  </si>
  <si>
    <t>ouxeste</t>
  </si>
  <si>
    <t>ouxestes</t>
  </si>
  <si>
    <t>ouxeram</t>
  </si>
  <si>
    <t>ouxemos</t>
  </si>
  <si>
    <t>ouxera</t>
  </si>
  <si>
    <t>ouxeras</t>
  </si>
  <si>
    <t>ouxéramos</t>
  </si>
  <si>
    <t>ouxéreis</t>
  </si>
  <si>
    <t>ouxesse</t>
  </si>
  <si>
    <t>ouxesses</t>
  </si>
  <si>
    <t>ouxéssemos</t>
  </si>
  <si>
    <t>ouxésseis</t>
  </si>
  <si>
    <t>ouxessem</t>
  </si>
  <si>
    <t>ouxer</t>
  </si>
  <si>
    <t>ouxeres</t>
  </si>
  <si>
    <t>ouxermos</t>
  </si>
  <si>
    <t>ouxerdes</t>
  </si>
  <si>
    <t>ouxerem</t>
  </si>
  <si>
    <t>RESFOLEGAR</t>
  </si>
  <si>
    <t>ólego</t>
  </si>
  <si>
    <t>ólegas</t>
  </si>
  <si>
    <t>ólega</t>
  </si>
  <si>
    <t>ólegam</t>
  </si>
  <si>
    <t>ólegue</t>
  </si>
  <si>
    <t>ólegues</t>
  </si>
  <si>
    <t>oleguemos</t>
  </si>
  <si>
    <t>olegueis</t>
  </si>
  <si>
    <t>óleguem</t>
  </si>
  <si>
    <t>FRIGIR</t>
  </si>
  <si>
    <t>eges</t>
  </si>
  <si>
    <t>ege</t>
  </si>
  <si>
    <t>egem</t>
  </si>
  <si>
    <t>ARGUIR</t>
  </si>
  <si>
    <t>úis</t>
  </si>
  <si>
    <t>úi</t>
  </si>
  <si>
    <t>ínquo</t>
  </si>
  <si>
    <t>ínquas</t>
  </si>
  <si>
    <t>ínqua</t>
  </si>
  <si>
    <t>ínquam</t>
  </si>
  <si>
    <t>ínque</t>
  </si>
  <si>
    <t>ínques</t>
  </si>
  <si>
    <t>ínquem</t>
  </si>
  <si>
    <t>HAVER</t>
  </si>
  <si>
    <t>SER</t>
  </si>
  <si>
    <t>obes</t>
  </si>
  <si>
    <t>obe</t>
  </si>
  <si>
    <t>pacejar</t>
  </si>
  <si>
    <t>pacificar</t>
  </si>
  <si>
    <t>padecer</t>
  </si>
  <si>
    <t>padejar</t>
  </si>
  <si>
    <t>padrear</t>
  </si>
  <si>
    <t>pagodear</t>
  </si>
  <si>
    <t>pajear</t>
  </si>
  <si>
    <t>palanquear</t>
  </si>
  <si>
    <t>palavrear</t>
  </si>
  <si>
    <t>palear</t>
  </si>
  <si>
    <t>palejar</t>
  </si>
  <si>
    <t>palestrear</t>
  </si>
  <si>
    <t>paletear</t>
  </si>
  <si>
    <t>palhetear</t>
  </si>
  <si>
    <t>palificar</t>
  </si>
  <si>
    <t>palmatoar</t>
  </si>
  <si>
    <t>palmear</t>
  </si>
  <si>
    <t>palrear</t>
  </si>
  <si>
    <t>pamparrear</t>
  </si>
  <si>
    <t>pandear</t>
  </si>
  <si>
    <t>panejar</t>
  </si>
  <si>
    <t>panificar</t>
  </si>
  <si>
    <t>pantear</t>
  </si>
  <si>
    <t>papaguear</t>
  </si>
  <si>
    <t>paparicar</t>
  </si>
  <si>
    <t>paparrotear</t>
  </si>
  <si>
    <t>papear</t>
  </si>
  <si>
    <t>papocar</t>
  </si>
  <si>
    <t>paracletear</t>
  </si>
  <si>
    <t>paradear</t>
  </si>
  <si>
    <t>parafrasear</t>
  </si>
  <si>
    <t>paraliticar</t>
  </si>
  <si>
    <t>parar</t>
  </si>
  <si>
    <t>parasitear</t>
  </si>
  <si>
    <t>parchear</t>
  </si>
  <si>
    <t>parear</t>
  </si>
  <si>
    <t>parecer</t>
  </si>
  <si>
    <t>parentear</t>
  </si>
  <si>
    <t>parir</t>
  </si>
  <si>
    <t>parlamentear</t>
  </si>
  <si>
    <t>parlapatear</t>
  </si>
  <si>
    <t>parlengar</t>
  </si>
  <si>
    <t>parolear</t>
  </si>
  <si>
    <t>parquear</t>
  </si>
  <si>
    <t>partejar</t>
  </si>
  <si>
    <t>parturejar</t>
  </si>
  <si>
    <t>parvoejar</t>
  </si>
  <si>
    <t>pascer</t>
  </si>
  <si>
    <t>pascoar</t>
  </si>
  <si>
    <t>pasmar</t>
  </si>
  <si>
    <t>passagear</t>
  </si>
  <si>
    <t>passear</t>
  </si>
  <si>
    <t>pastejar</t>
  </si>
  <si>
    <t>pastorear</t>
  </si>
  <si>
    <t>pastorejar</t>
  </si>
  <si>
    <t>patalear</t>
  </si>
  <si>
    <t>pataratear</t>
  </si>
  <si>
    <t>patear</t>
  </si>
  <si>
    <t>patejar</t>
  </si>
  <si>
    <t>patentear</t>
  </si>
  <si>
    <t>patetear</t>
  </si>
  <si>
    <t>patroar</t>
  </si>
  <si>
    <t>patronear</t>
  </si>
  <si>
    <t>patuscar</t>
  </si>
  <si>
    <t>paulificar</t>
  </si>
  <si>
    <t>pautear</t>
  </si>
  <si>
    <t>pavejar</t>
  </si>
  <si>
    <t>pavonear</t>
  </si>
  <si>
    <t>pazear</t>
  </si>
  <si>
    <t>paziguar</t>
  </si>
  <si>
    <t>pear</t>
  </si>
  <si>
    <t>pecar</t>
  </si>
  <si>
    <t>pechiringar</t>
  </si>
  <si>
    <t>pecorear</t>
  </si>
  <si>
    <t>pedantear</t>
  </si>
  <si>
    <t>pegar</t>
  </si>
  <si>
    <t>peitorrear</t>
  </si>
  <si>
    <t>pejar</t>
  </si>
  <si>
    <t>pelar</t>
  </si>
  <si>
    <t>pelear</t>
  </si>
  <si>
    <t>pelechar</t>
  </si>
  <si>
    <t>peleguear</t>
  </si>
  <si>
    <t>pelotear</t>
  </si>
  <si>
    <t>peludear</t>
  </si>
  <si>
    <t>pendoar</t>
  </si>
  <si>
    <t>pendulear</t>
  </si>
  <si>
    <t>penejar</t>
  </si>
  <si>
    <t>peniscar</t>
  </si>
  <si>
    <t>pensamentear</t>
  </si>
  <si>
    <t>pentear</t>
  </si>
  <si>
    <t>pentelhar</t>
  </si>
  <si>
    <t>penujar</t>
  </si>
  <si>
    <t>peraltear</t>
  </si>
  <si>
    <t>percalçar</t>
  </si>
  <si>
    <t>percingir</t>
  </si>
  <si>
    <t>perder</t>
  </si>
  <si>
    <t>perdoar</t>
  </si>
  <si>
    <t>perecer</t>
  </si>
  <si>
    <t>pererecar</t>
  </si>
  <si>
    <t>perfazer</t>
  </si>
  <si>
    <t>perfeiçoar</t>
  </si>
  <si>
    <t>perfolhear</t>
  </si>
  <si>
    <t>perifrasear</t>
  </si>
  <si>
    <t>perigar</t>
  </si>
  <si>
    <t>perlongar</t>
  </si>
  <si>
    <t>permanecer</t>
  </si>
  <si>
    <t>permear</t>
  </si>
  <si>
    <t>pernear</t>
  </si>
  <si>
    <t>pernejar</t>
  </si>
  <si>
    <t>pernetear</t>
  </si>
  <si>
    <t>perobear</t>
  </si>
  <si>
    <t>perrengar</t>
  </si>
  <si>
    <t>perrenguear</t>
  </si>
  <si>
    <t>perseguir</t>
  </si>
  <si>
    <t>pressentir</t>
  </si>
  <si>
    <t>personificar</t>
  </si>
  <si>
    <t>pertencer</t>
  </si>
  <si>
    <t>pervagar</t>
  </si>
  <si>
    <t>pervencer</t>
  </si>
  <si>
    <t>pescar</t>
  </si>
  <si>
    <t>pescocear</t>
  </si>
  <si>
    <t>pesgar</t>
  </si>
  <si>
    <t>pespegar</t>
  </si>
  <si>
    <t>pespontear</t>
  </si>
  <si>
    <t>pestanear</t>
  </si>
  <si>
    <t>pestanejar</t>
  </si>
  <si>
    <t>pestear</t>
  </si>
  <si>
    <t>petardear</t>
  </si>
  <si>
    <t>petear</t>
  </si>
  <si>
    <t>petecar</t>
  </si>
  <si>
    <t>petegar</t>
  </si>
  <si>
    <t>petequear</t>
  </si>
  <si>
    <t>petiscar</t>
  </si>
  <si>
    <t>petrechar</t>
  </si>
  <si>
    <t>petrificar</t>
  </si>
  <si>
    <t>petrolear</t>
  </si>
  <si>
    <t>piançar</t>
  </si>
  <si>
    <t>picanear</t>
  </si>
  <si>
    <t>picar</t>
  </si>
  <si>
    <t>pigarrear</t>
  </si>
  <si>
    <t>pilotear</t>
  </si>
  <si>
    <t>pimponear</t>
  </si>
  <si>
    <t>pinçar</t>
  </si>
  <si>
    <t>pindocar</t>
  </si>
  <si>
    <t>pindongar</t>
  </si>
  <si>
    <t>pingar</t>
  </si>
  <si>
    <t>pingotear</t>
  </si>
  <si>
    <t>pinguelear</t>
  </si>
  <si>
    <t>pinicar</t>
  </si>
  <si>
    <t>pinotear</t>
  </si>
  <si>
    <t>pintalgar</t>
  </si>
  <si>
    <t>piparotear</t>
  </si>
  <si>
    <t>pipocar</t>
  </si>
  <si>
    <t>pipoquear</t>
  </si>
  <si>
    <t>piquetear</t>
  </si>
  <si>
    <t>pirangar</t>
  </si>
  <si>
    <t>piratear</t>
  </si>
  <si>
    <t>pirilampar</t>
  </si>
  <si>
    <t>pirilampear</t>
  </si>
  <si>
    <t>pirilampejar</t>
  </si>
  <si>
    <t>piriricar</t>
  </si>
  <si>
    <t>pirocar</t>
  </si>
  <si>
    <t>pirraçar</t>
  </si>
  <si>
    <t>pirracear</t>
  </si>
  <si>
    <t>piruetear</t>
  </si>
  <si>
    <t>pisca-piscar</t>
  </si>
  <si>
    <t>piscar</t>
  </si>
  <si>
    <t>pisgar</t>
  </si>
  <si>
    <t>pisoar</t>
  </si>
  <si>
    <t>pisotear</t>
  </si>
  <si>
    <t>pitadear</t>
  </si>
  <si>
    <t>placar</t>
  </si>
  <si>
    <t>planchear</t>
  </si>
  <si>
    <t>planear</t>
  </si>
  <si>
    <t>planejar</t>
  </si>
  <si>
    <t>planger</t>
  </si>
  <si>
    <t>planificar</t>
  </si>
  <si>
    <t>plantear</t>
  </si>
  <si>
    <t>plastificar</t>
  </si>
  <si>
    <t>plebeizar</t>
  </si>
  <si>
    <t>pleitear</t>
  </si>
  <si>
    <t>plicar</t>
  </si>
  <si>
    <t>plugar</t>
  </si>
  <si>
    <t>plumbear</t>
  </si>
  <si>
    <t>plumejar</t>
  </si>
  <si>
    <t>pocar</t>
  </si>
  <si>
    <t>poçuquear</t>
  </si>
  <si>
    <t>poder</t>
  </si>
  <si>
    <t>poer</t>
  </si>
  <si>
    <t>petificar</t>
  </si>
  <si>
    <t>poiar</t>
  </si>
  <si>
    <t>polcar</t>
  </si>
  <si>
    <t>polear</t>
  </si>
  <si>
    <t>polemicar</t>
  </si>
  <si>
    <t>polir</t>
  </si>
  <si>
    <t>politicar</t>
  </si>
  <si>
    <t>poltonear</t>
  </si>
  <si>
    <t>poluir</t>
  </si>
  <si>
    <t>pombear</t>
  </si>
  <si>
    <t>pompear</t>
  </si>
  <si>
    <t>ponçar</t>
  </si>
  <si>
    <t>pongar</t>
  </si>
  <si>
    <t>pontapear</t>
  </si>
  <si>
    <t>pontear</t>
  </si>
  <si>
    <t>pontificar</t>
  </si>
  <si>
    <t>pontoar</t>
  </si>
  <si>
    <t>popocar</t>
  </si>
  <si>
    <t>porejar</t>
  </si>
  <si>
    <t>pororocar</t>
  </si>
  <si>
    <t>portear</t>
  </si>
  <si>
    <t>pospor</t>
  </si>
  <si>
    <t>possear</t>
  </si>
  <si>
    <t>possuir</t>
  </si>
  <si>
    <t>postear</t>
  </si>
  <si>
    <t>postejar</t>
  </si>
  <si>
    <t>postergar</t>
  </si>
  <si>
    <t>potocar</t>
  </si>
  <si>
    <t>potrear</t>
  </si>
  <si>
    <t>povoar</t>
  </si>
  <si>
    <t>pracear</t>
  </si>
  <si>
    <t>pracejar</t>
  </si>
  <si>
    <t>praguejar</t>
  </si>
  <si>
    <t>pranchear</t>
  </si>
  <si>
    <t>prantear</t>
  </si>
  <si>
    <t>pratear</t>
  </si>
  <si>
    <t>praticar</t>
  </si>
  <si>
    <t>prazentear</t>
  </si>
  <si>
    <t>pré-alegar</t>
  </si>
  <si>
    <t>pré-antessaber</t>
  </si>
  <si>
    <t>preaquecer</t>
  </si>
  <si>
    <t>prear</t>
  </si>
  <si>
    <t>precaver</t>
  </si>
  <si>
    <t>precingir</t>
  </si>
  <si>
    <t>precluir</t>
  </si>
  <si>
    <t>predicar</t>
  </si>
  <si>
    <t>predispor</t>
  </si>
  <si>
    <t>predizer</t>
  </si>
  <si>
    <t>preferir</t>
  </si>
  <si>
    <t>prefulgir</t>
  </si>
  <si>
    <t>pregar</t>
  </si>
  <si>
    <t>pregoar</t>
  </si>
  <si>
    <t>preguear</t>
  </si>
  <si>
    <t>preguiçar</t>
  </si>
  <si>
    <t>preguicear</t>
  </si>
  <si>
    <t>preitear</t>
  </si>
  <si>
    <t>preitejar</t>
  </si>
  <si>
    <t>prejudicar</t>
  </si>
  <si>
    <t>prejulgar</t>
  </si>
  <si>
    <t>preluzir</t>
  </si>
  <si>
    <t>prender</t>
  </si>
  <si>
    <t>prepor</t>
  </si>
  <si>
    <t>pré-qualificar</t>
  </si>
  <si>
    <t>pré-saber</t>
  </si>
  <si>
    <t>prescrever</t>
  </si>
  <si>
    <t>presentear</t>
  </si>
  <si>
    <t>pressupor</t>
  </si>
  <si>
    <t>prestimanear</t>
  </si>
  <si>
    <t>pretejar</t>
  </si>
  <si>
    <t>preterir</t>
  </si>
  <si>
    <t>pré-traçar</t>
  </si>
  <si>
    <t>prevalecer</t>
  </si>
  <si>
    <t>pravaricar</t>
  </si>
  <si>
    <t>prevenir</t>
  </si>
  <si>
    <t>prever</t>
  </si>
  <si>
    <t>priscar</t>
  </si>
  <si>
    <t>proar</t>
  </si>
  <si>
    <t>prodigar</t>
  </si>
  <si>
    <t>produzir</t>
  </si>
  <si>
    <t>proejar</t>
  </si>
  <si>
    <t>proferir</t>
  </si>
  <si>
    <t>profligar</t>
  </si>
  <si>
    <t>prognosticar</t>
  </si>
  <si>
    <t>progredir</t>
  </si>
  <si>
    <t>prolificar</t>
  </si>
  <si>
    <t>prolongar</t>
  </si>
  <si>
    <t>promiscuir</t>
  </si>
  <si>
    <t>promulgar</t>
  </si>
  <si>
    <t>prontificar</t>
  </si>
  <si>
    <t>propagar</t>
  </si>
  <si>
    <t>propelir</t>
  </si>
  <si>
    <t>propor</t>
  </si>
  <si>
    <t>prorrogar</t>
  </si>
  <si>
    <t>proscrever</t>
  </si>
  <si>
    <t>prosear</t>
  </si>
  <si>
    <t>prosseguir</t>
  </si>
  <si>
    <t>prostituir</t>
  </si>
  <si>
    <t>proteger</t>
  </si>
  <si>
    <t>protrair</t>
  </si>
  <si>
    <t>provir</t>
  </si>
  <si>
    <t>provocar</t>
  </si>
  <si>
    <t>pruir</t>
  </si>
  <si>
    <t>prurir</t>
  </si>
  <si>
    <t>psicologar</t>
  </si>
  <si>
    <t>publicar</t>
  </si>
  <si>
    <t>puir</t>
  </si>
  <si>
    <t>pulsear</t>
  </si>
  <si>
    <t>punçar</t>
  </si>
  <si>
    <t>pungir</t>
  </si>
  <si>
    <t>punguear</t>
  </si>
  <si>
    <t>purgar</t>
  </si>
  <si>
    <t>purificar</t>
  </si>
  <si>
    <t>purpurear</t>
  </si>
  <si>
    <t>purpurejar</t>
  </si>
  <si>
    <t>putear</t>
  </si>
  <si>
    <t>putrificar</t>
  </si>
  <si>
    <t>ára</t>
  </si>
  <si>
    <t>pára</t>
  </si>
  <si>
    <t>PARIR</t>
  </si>
  <si>
    <t>PARAR</t>
  </si>
  <si>
    <t>PELAR</t>
  </si>
  <si>
    <t>élo</t>
  </si>
  <si>
    <t>élas</t>
  </si>
  <si>
    <t>éla</t>
  </si>
  <si>
    <t>PERDER</t>
  </si>
  <si>
    <t>co</t>
  </si>
  <si>
    <t>ca</t>
  </si>
  <si>
    <t>cas</t>
  </si>
  <si>
    <t>camos</t>
  </si>
  <si>
    <t>cais</t>
  </si>
  <si>
    <t>cam</t>
  </si>
  <si>
    <t>PREVENIR</t>
  </si>
  <si>
    <t>ino</t>
  </si>
  <si>
    <t>ines</t>
  </si>
  <si>
    <t>ine</t>
  </si>
  <si>
    <t>inem</t>
  </si>
  <si>
    <t>ina</t>
  </si>
  <si>
    <t>inas</t>
  </si>
  <si>
    <t>inamos</t>
  </si>
  <si>
    <t>inais</t>
  </si>
  <si>
    <t>inam</t>
  </si>
  <si>
    <t>POLIR</t>
  </si>
  <si>
    <t>ulo</t>
  </si>
  <si>
    <t>ules</t>
  </si>
  <si>
    <t>ule</t>
  </si>
  <si>
    <t>ulem</t>
  </si>
  <si>
    <t>ula</t>
  </si>
  <si>
    <t>ulas</t>
  </si>
  <si>
    <t>ulamos</t>
  </si>
  <si>
    <t>ulais</t>
  </si>
  <si>
    <t>ulam</t>
  </si>
  <si>
    <t>PODER</t>
  </si>
  <si>
    <t>sso</t>
  </si>
  <si>
    <t>ude</t>
  </si>
  <si>
    <t>udeste</t>
  </si>
  <si>
    <t>ôde</t>
  </si>
  <si>
    <t>udemos</t>
  </si>
  <si>
    <t>udestes</t>
  </si>
  <si>
    <t>uderam</t>
  </si>
  <si>
    <t>udera</t>
  </si>
  <si>
    <t>uderas</t>
  </si>
  <si>
    <t>udéramos</t>
  </si>
  <si>
    <t>udéreis</t>
  </si>
  <si>
    <t>ssa</t>
  </si>
  <si>
    <t>ssas</t>
  </si>
  <si>
    <t>ssâmos</t>
  </si>
  <si>
    <t>ssais</t>
  </si>
  <si>
    <t>ssam</t>
  </si>
  <si>
    <t>udesse</t>
  </si>
  <si>
    <t>udesses</t>
  </si>
  <si>
    <t>udessem</t>
  </si>
  <si>
    <t>udésseis</t>
  </si>
  <si>
    <t>udéssemos</t>
  </si>
  <si>
    <t>uder</t>
  </si>
  <si>
    <t>uderes</t>
  </si>
  <si>
    <t>udésemos</t>
  </si>
  <si>
    <t>uderdes</t>
  </si>
  <si>
    <t>uderem</t>
  </si>
  <si>
    <t>cabear</t>
  </si>
  <si>
    <t>cabecear</t>
  </si>
  <si>
    <t>cabortear</t>
  </si>
  <si>
    <t>cabrestear</t>
  </si>
  <si>
    <t>cabritear</t>
  </si>
  <si>
    <t>cacarear</t>
  </si>
  <si>
    <t>cacetear</t>
  </si>
  <si>
    <t>cachear</t>
  </si>
  <si>
    <t>calabrear</t>
  </si>
  <si>
    <t>calabrotear</t>
  </si>
  <si>
    <t>calacear</t>
  </si>
  <si>
    <t>calanquear</t>
  </si>
  <si>
    <t>calcorrear</t>
  </si>
  <si>
    <t>caldear</t>
  </si>
  <si>
    <t>calear</t>
  </si>
  <si>
    <t>calotear</t>
  </si>
  <si>
    <t>cambalear</t>
  </si>
  <si>
    <t>campear</t>
  </si>
  <si>
    <t>canchear</t>
  </si>
  <si>
    <t>canhonear</t>
  </si>
  <si>
    <t>canivetear</t>
  </si>
  <si>
    <t>cantear</t>
  </si>
  <si>
    <t>capatazear</t>
  </si>
  <si>
    <t>capear</t>
  </si>
  <si>
    <t>capenguear</t>
  </si>
  <si>
    <t>capitanear</t>
  </si>
  <si>
    <t>caquear</t>
  </si>
  <si>
    <t>caracolear</t>
  </si>
  <si>
    <t>carchear</t>
  </si>
  <si>
    <t>carear</t>
  </si>
  <si>
    <t>caretear</t>
  </si>
  <si>
    <t>cargosear</t>
  </si>
  <si>
    <t>carmear</t>
  </si>
  <si>
    <t>caronear</t>
  </si>
  <si>
    <t>carpear</t>
  </si>
  <si>
    <t>carpetear</t>
  </si>
  <si>
    <t>carranquear</t>
  </si>
  <si>
    <t>carrapatear</t>
  </si>
  <si>
    <t>carrear</t>
  </si>
  <si>
    <t>cartear</t>
  </si>
  <si>
    <t>casamentear</t>
  </si>
  <si>
    <t>cascatear</t>
  </si>
  <si>
    <t>casear</t>
  </si>
  <si>
    <t>castear</t>
  </si>
  <si>
    <t>catear</t>
  </si>
  <si>
    <t>cavalear</t>
  </si>
  <si>
    <t>cavaquear</t>
  </si>
  <si>
    <t>cavear</t>
  </si>
  <si>
    <t>cear</t>
  </si>
  <si>
    <t>cecear</t>
  </si>
  <si>
    <t>cercear</t>
  </si>
  <si>
    <t>cerdear</t>
  </si>
  <si>
    <t>chacotear</t>
  </si>
  <si>
    <t>chalacear</t>
  </si>
  <si>
    <t>chalrear</t>
  </si>
  <si>
    <t>campirrear</t>
  </si>
  <si>
    <t>chancear</t>
  </si>
  <si>
    <t>changuear</t>
  </si>
  <si>
    <t>chantagear</t>
  </si>
  <si>
    <t>chapear</t>
  </si>
  <si>
    <t>charlatanear</t>
  </si>
  <si>
    <t>charquear</t>
  </si>
  <si>
    <t>charutear</t>
  </si>
  <si>
    <t>chasquear</t>
  </si>
  <si>
    <t>chatear</t>
  </si>
  <si>
    <t>chavear</t>
  </si>
  <si>
    <t>chibantear</t>
  </si>
  <si>
    <t>chibatear</t>
  </si>
  <si>
    <t>chicanear</t>
  </si>
  <si>
    <t>chicotear</t>
  </si>
  <si>
    <t>chilrear</t>
  </si>
  <si>
    <t>chimarrear</t>
  </si>
  <si>
    <t>chimarronear</t>
  </si>
  <si>
    <t>chimbear</t>
  </si>
  <si>
    <t>chinear</t>
  </si>
  <si>
    <t>chiripear</t>
  </si>
  <si>
    <t>chispear</t>
  </si>
  <si>
    <t>chocarrear</t>
  </si>
  <si>
    <t>chuchurrear</t>
  </si>
  <si>
    <t>chufear</t>
  </si>
  <si>
    <t>chulear</t>
  </si>
  <si>
    <t>chumbear</t>
  </si>
  <si>
    <t>chumear</t>
  </si>
  <si>
    <t>churrasquear</t>
  </si>
  <si>
    <t>ciceronear</t>
  </si>
  <si>
    <t>ciganear</t>
  </si>
  <si>
    <t>cladear</t>
  </si>
  <si>
    <t>clarear</t>
  </si>
  <si>
    <t>coscosear</t>
  </si>
  <si>
    <t>cobrear</t>
  </si>
  <si>
    <t>coicear</t>
  </si>
  <si>
    <t>coirear</t>
  </si>
  <si>
    <t>colear</t>
  </si>
  <si>
    <t>colinear</t>
  </si>
  <si>
    <t>colorear</t>
  </si>
  <si>
    <t>colubrear</t>
  </si>
  <si>
    <t>cometear</t>
  </si>
  <si>
    <t>compadrear</t>
  </si>
  <si>
    <t>conchear</t>
  </si>
  <si>
    <t>contornear</t>
  </si>
  <si>
    <t>conrtrabandear</t>
  </si>
  <si>
    <t>contrabracear</t>
  </si>
  <si>
    <t>contrapontear</t>
  </si>
  <si>
    <t>contrastear</t>
  </si>
  <si>
    <t>corcovear</t>
  </si>
  <si>
    <t>cordear</t>
  </si>
  <si>
    <t>cornear</t>
  </si>
  <si>
    <t>cornetear</t>
  </si>
  <si>
    <t>corsear</t>
  </si>
  <si>
    <t>costear</t>
  </si>
  <si>
    <t>coucear</t>
  </si>
  <si>
    <t>courear</t>
  </si>
  <si>
    <t>covear</t>
  </si>
  <si>
    <t>coxear</t>
  </si>
  <si>
    <t>crapulear</t>
  </si>
  <si>
    <t>crasear</t>
  </si>
  <si>
    <t>cristear</t>
  </si>
  <si>
    <t>culatrear</t>
  </si>
  <si>
    <t>curvetear</t>
  </si>
  <si>
    <t>custear</t>
  </si>
  <si>
    <t>caborocar</t>
  </si>
  <si>
    <t>caboucar</t>
  </si>
  <si>
    <t>cabrocar</t>
  </si>
  <si>
    <t>cabrucar</t>
  </si>
  <si>
    <t>caçar</t>
  </si>
  <si>
    <t>cacicar</t>
  </si>
  <si>
    <t>caducar</t>
  </si>
  <si>
    <t>calamocar</t>
  </si>
  <si>
    <t>calçar</t>
  </si>
  <si>
    <t>calcificar</t>
  </si>
  <si>
    <t>capiscar</t>
  </si>
  <si>
    <t>caprificar</t>
  </si>
  <si>
    <t>carduçar</t>
  </si>
  <si>
    <t>cascar</t>
  </si>
  <si>
    <t>caseificar</t>
  </si>
  <si>
    <t>castiçar</t>
  </si>
  <si>
    <t>castificar</t>
  </si>
  <si>
    <t>catucar</t>
  </si>
  <si>
    <t>causticar</t>
  </si>
  <si>
    <t>cavacar</t>
  </si>
  <si>
    <t>cavoucar</t>
  </si>
  <si>
    <t>cavucar</t>
  </si>
  <si>
    <t>centuplicar</t>
  </si>
  <si>
    <t>cercar</t>
  </si>
  <si>
    <t>certificar</t>
  </si>
  <si>
    <t>chaçar</t>
  </si>
  <si>
    <t>chalaçar</t>
  </si>
  <si>
    <t>chambocar</t>
  </si>
  <si>
    <t>chamuscar</t>
  </si>
  <si>
    <t>chapiscar</t>
  </si>
  <si>
    <t>charriscar</t>
  </si>
  <si>
    <t>chavascar</t>
  </si>
  <si>
    <t>checar</t>
  </si>
  <si>
    <t>chincar</t>
  </si>
  <si>
    <t>chocar</t>
  </si>
  <si>
    <t>chuviscar</t>
  </si>
  <si>
    <t>cientificar</t>
  </si>
  <si>
    <t>cocoricar</t>
  </si>
  <si>
    <t>chorococar</t>
  </si>
  <si>
    <t>chuçar</t>
  </si>
  <si>
    <t>chumaçar</t>
  </si>
  <si>
    <t>cincar</t>
  </si>
  <si>
    <t>ciscar</t>
  </si>
  <si>
    <t>clarificar</t>
  </si>
  <si>
    <t>claudicar</t>
  </si>
  <si>
    <t>clicar</t>
  </si>
  <si>
    <t>clinicar</t>
  </si>
  <si>
    <t>cobiçar</t>
  </si>
  <si>
    <t>coçar</t>
  </si>
  <si>
    <t>codificar</t>
  </si>
  <si>
    <t>co-educar</t>
  </si>
  <si>
    <t>coiraçar</t>
  </si>
  <si>
    <t>coisificar</t>
  </si>
  <si>
    <t>colocar</t>
  </si>
  <si>
    <t>complicar</t>
  </si>
  <si>
    <t>comunicar</t>
  </si>
  <si>
    <t>conculcar</t>
  </si>
  <si>
    <t>confiscar</t>
  </si>
  <si>
    <t>congraçar</t>
  </si>
  <si>
    <t>conspurcar</t>
  </si>
  <si>
    <t>contra-atacar</t>
  </si>
  <si>
    <t>contrabalançar</t>
  </si>
  <si>
    <t>contradançar</t>
  </si>
  <si>
    <t>contra-indicar</t>
  </si>
  <si>
    <t>contramarcar</t>
  </si>
  <si>
    <t>convocar</t>
  </si>
  <si>
    <t>coruscar</t>
  </si>
  <si>
    <t>cucar</t>
  </si>
  <si>
    <t>cucuricar</t>
  </si>
  <si>
    <t>copidescar</t>
  </si>
  <si>
    <t>coqueificar</t>
  </si>
  <si>
    <t>coriscar</t>
  </si>
  <si>
    <t>corporificar</t>
  </si>
  <si>
    <t>corricar</t>
  </si>
  <si>
    <t>cousificar</t>
  </si>
  <si>
    <t>criticar</t>
  </si>
  <si>
    <t>crucificar</t>
  </si>
  <si>
    <t>cubicar</t>
  </si>
  <si>
    <t>cutucar</t>
  </si>
  <si>
    <t>cacarejar</t>
  </si>
  <si>
    <t>caquerejar</t>
  </si>
  <si>
    <t>crepusculejar</t>
  </si>
  <si>
    <t>cavalgar</t>
  </si>
  <si>
    <t>caxingar</t>
  </si>
  <si>
    <t>centrifugar</t>
  </si>
  <si>
    <t>chagar</t>
  </si>
  <si>
    <t>cafangar</t>
  </si>
  <si>
    <t>cafungar</t>
  </si>
  <si>
    <t>cagar</t>
  </si>
  <si>
    <t>cangongar</t>
  </si>
  <si>
    <t>cangar</t>
  </si>
  <si>
    <t>capangar</t>
  </si>
  <si>
    <t>capiangar</t>
  </si>
  <si>
    <t>castigar</t>
  </si>
  <si>
    <t>catalogar</t>
  </si>
  <si>
    <t>catingar</t>
  </si>
  <si>
    <t>changar</t>
  </si>
  <si>
    <t>choramingar</t>
  </si>
  <si>
    <t>circunavegar</t>
  </si>
  <si>
    <t>colgar</t>
  </si>
  <si>
    <t>coligar</t>
  </si>
  <si>
    <t>comungar</t>
  </si>
  <si>
    <t>conjugar</t>
  </si>
  <si>
    <t>corrugar</t>
  </si>
  <si>
    <t>cegar</t>
  </si>
  <si>
    <t>cocegar</t>
  </si>
  <si>
    <t>conchegar</t>
  </si>
  <si>
    <t>congregar</t>
  </si>
  <si>
    <t>cahoar</t>
  </si>
  <si>
    <t>caçoar</t>
  </si>
  <si>
    <t>cavaloar</t>
  </si>
  <si>
    <t>cipoar</t>
  </si>
  <si>
    <t>circunvoar</t>
  </si>
  <si>
    <t>confeiçoar</t>
  </si>
  <si>
    <t>consolar</t>
  </si>
  <si>
    <t>contra-arrazoar</t>
  </si>
  <si>
    <t>caber</t>
  </si>
  <si>
    <t>cair</t>
  </si>
  <si>
    <t>carecer</t>
  </si>
  <si>
    <t>carpir</t>
  </si>
  <si>
    <t>casquejar</t>
  </si>
  <si>
    <t>catadupejar</t>
  </si>
  <si>
    <t>centelhar</t>
  </si>
  <si>
    <t>cergir</t>
  </si>
  <si>
    <t>cernir</t>
  </si>
  <si>
    <t>cervejar</t>
  </si>
  <si>
    <t>cerzir</t>
  </si>
  <si>
    <t>chamejar</t>
  </si>
  <si>
    <t>cingir</t>
  </si>
  <si>
    <t>circunfluir</t>
  </si>
  <si>
    <t>circunscrever</t>
  </si>
  <si>
    <t>circunstar</t>
  </si>
  <si>
    <t>circunver</t>
  </si>
  <si>
    <t>ciumar</t>
  </si>
  <si>
    <t>clangorejar</t>
  </si>
  <si>
    <t>clarejar</t>
  </si>
  <si>
    <t>coagir</t>
  </si>
  <si>
    <t>coalescer</t>
  </si>
  <si>
    <t>cobrejar</t>
  </si>
  <si>
    <t>cobrir</t>
  </si>
  <si>
    <t>coerir</t>
  </si>
  <si>
    <t>coligir</t>
  </si>
  <si>
    <t>colorir</t>
  </si>
  <si>
    <t>combalir</t>
  </si>
  <si>
    <t>comboiar</t>
  </si>
  <si>
    <t>comburir</t>
  </si>
  <si>
    <t>comedir</t>
  </si>
  <si>
    <t>cominuir</t>
  </si>
  <si>
    <t>compadecer</t>
  </si>
  <si>
    <t>comparecer</t>
  </si>
  <si>
    <t>compelir</t>
  </si>
  <si>
    <t>competir</t>
  </si>
  <si>
    <t>compor</t>
  </si>
  <si>
    <t>comprazer</t>
  </si>
  <si>
    <t>compungir</t>
  </si>
  <si>
    <t>computar</t>
  </si>
  <si>
    <t>concernir</t>
  </si>
  <si>
    <t>concluir</t>
  </si>
  <si>
    <t>concrescer</t>
  </si>
  <si>
    <t>condizer</t>
  </si>
  <si>
    <t>condoer</t>
  </si>
  <si>
    <t>doer</t>
  </si>
  <si>
    <t>conduzir</t>
  </si>
  <si>
    <t>conferir</t>
  </si>
  <si>
    <t>confluir</t>
  </si>
  <si>
    <t>constranger</t>
  </si>
  <si>
    <t>confranger</t>
  </si>
  <si>
    <t>confugir</t>
  </si>
  <si>
    <t>conhecer</t>
  </si>
  <si>
    <t>conjungir</t>
  </si>
  <si>
    <t>conseguir</t>
  </si>
  <si>
    <t>conselhar</t>
  </si>
  <si>
    <t>consentir</t>
  </si>
  <si>
    <t>constituir</t>
  </si>
  <si>
    <t>ranger</t>
  </si>
  <si>
    <t>constringir</t>
  </si>
  <si>
    <t>consumir</t>
  </si>
  <si>
    <t>contabescer</t>
  </si>
  <si>
    <t>conter</t>
  </si>
  <si>
    <t>contiguar</t>
  </si>
  <si>
    <t>contorcer</t>
  </si>
  <si>
    <t>contradizer</t>
  </si>
  <si>
    <t>contrafazer</t>
  </si>
  <si>
    <t>contra-impelir</t>
  </si>
  <si>
    <t>contrair</t>
  </si>
  <si>
    <t>contrapor</t>
  </si>
  <si>
    <t>contraproduzir</t>
  </si>
  <si>
    <t>contrapropor</t>
  </si>
  <si>
    <t>contravir</t>
  </si>
  <si>
    <t>contribuir</t>
  </si>
  <si>
    <t>convalescer</t>
  </si>
  <si>
    <t>convelir</t>
  </si>
  <si>
    <t>convencer</t>
  </si>
  <si>
    <t>convergir</t>
  </si>
  <si>
    <t>convir</t>
  </si>
  <si>
    <t>copejar</t>
  </si>
  <si>
    <t>coproduzir</t>
  </si>
  <si>
    <t>correger</t>
  </si>
  <si>
    <t>corroer</t>
  </si>
  <si>
    <t>moer</t>
  </si>
  <si>
    <t>cravejar</t>
  </si>
  <si>
    <t>crisalidar</t>
  </si>
  <si>
    <t>cucurbitar</t>
  </si>
  <si>
    <t>cucuritar</t>
  </si>
  <si>
    <t>cuspir</t>
  </si>
  <si>
    <t>ita</t>
  </si>
  <si>
    <t>itas</t>
  </si>
  <si>
    <t>itamos</t>
  </si>
  <si>
    <t>itais</t>
  </si>
  <si>
    <t>itam</t>
  </si>
  <si>
    <t>defectivo 3</t>
  </si>
  <si>
    <t>irna</t>
  </si>
  <si>
    <t>irnam</t>
  </si>
  <si>
    <t>irno</t>
  </si>
  <si>
    <t>irnas</t>
  </si>
  <si>
    <t>irnamos</t>
  </si>
  <si>
    <t>irnais</t>
  </si>
  <si>
    <t>íro</t>
  </si>
  <si>
    <t>COBRIR</t>
  </si>
  <si>
    <t>ubro</t>
  </si>
  <si>
    <t>ubra</t>
  </si>
  <si>
    <t>ubras</t>
  </si>
  <si>
    <t>ubramos</t>
  </si>
  <si>
    <t>ubrais</t>
  </si>
  <si>
    <t>ubram</t>
  </si>
  <si>
    <t>CABER</t>
  </si>
  <si>
    <t>ibo</t>
  </si>
  <si>
    <t>iba</t>
  </si>
  <si>
    <t>ibas</t>
  </si>
  <si>
    <t>ibamos</t>
  </si>
  <si>
    <t>ibais</t>
  </si>
  <si>
    <t>ibam</t>
  </si>
  <si>
    <t>oem</t>
  </si>
  <si>
    <t>Defectivo 5</t>
  </si>
  <si>
    <t>irzo</t>
  </si>
  <si>
    <t>irza</t>
  </si>
  <si>
    <t>irzas</t>
  </si>
  <si>
    <t>irzamos</t>
  </si>
  <si>
    <t>irzais</t>
  </si>
  <si>
    <t>irzam</t>
  </si>
  <si>
    <t>irzes</t>
  </si>
  <si>
    <t>irze</t>
  </si>
  <si>
    <t>irzem</t>
  </si>
  <si>
    <t>CERZIR</t>
  </si>
  <si>
    <t>macabrear</t>
  </si>
  <si>
    <t>macaquear</t>
  </si>
  <si>
    <t>macetear</t>
  </si>
  <si>
    <t>machear</t>
  </si>
  <si>
    <t>macotear</t>
  </si>
  <si>
    <t>madracear</t>
  </si>
  <si>
    <t>malandrear</t>
  </si>
  <si>
    <t>malbaratear</t>
  </si>
  <si>
    <t>malear</t>
  </si>
  <si>
    <t>maluquear</t>
  </si>
  <si>
    <t>mambembear</t>
  </si>
  <si>
    <t>mamparrear</t>
  </si>
  <si>
    <t>manchear</t>
  </si>
  <si>
    <t>manear</t>
  </si>
  <si>
    <t>manetear</t>
  </si>
  <si>
    <t>mangonear</t>
  </si>
  <si>
    <t>mangorrear</t>
  </si>
  <si>
    <t>manguear</t>
  </si>
  <si>
    <t>manosear</t>
  </si>
  <si>
    <t>manquetear</t>
  </si>
  <si>
    <t>mantear</t>
  </si>
  <si>
    <t>manusear</t>
  </si>
  <si>
    <t>mapear</t>
  </si>
  <si>
    <t>marafonear</t>
  </si>
  <si>
    <t>maragatear</t>
  </si>
  <si>
    <t>marear</t>
  </si>
  <si>
    <t>margear</t>
  </si>
  <si>
    <t>mariposear</t>
  </si>
  <si>
    <t>marmorear</t>
  </si>
  <si>
    <t>marombear</t>
  </si>
  <si>
    <t>marotear</t>
  </si>
  <si>
    <t>mascatear</t>
  </si>
  <si>
    <t>massagear</t>
  </si>
  <si>
    <t>mastrear</t>
  </si>
  <si>
    <t>matear</t>
  </si>
  <si>
    <t>matraquear</t>
  </si>
  <si>
    <t>matreirar</t>
  </si>
  <si>
    <t>maturranquear</t>
  </si>
  <si>
    <t>maturranguear</t>
  </si>
  <si>
    <t>mear</t>
  </si>
  <si>
    <t>menear</t>
  </si>
  <si>
    <t>mentorear</t>
  </si>
  <si>
    <t>mestrear</t>
  </si>
  <si>
    <t>miquear</t>
  </si>
  <si>
    <t>miudear</t>
  </si>
  <si>
    <t>mocozear</t>
  </si>
  <si>
    <t>molear</t>
  </si>
  <si>
    <t>molequear</t>
  </si>
  <si>
    <t>montear</t>
  </si>
  <si>
    <t>moquear</t>
  </si>
  <si>
    <t>mordomear</t>
  </si>
  <si>
    <t>mosquear</t>
  </si>
  <si>
    <t>mosquetear</t>
  </si>
  <si>
    <t>musiquear</t>
  </si>
  <si>
    <t>muxoxear</t>
  </si>
  <si>
    <t>maticar</t>
  </si>
  <si>
    <t>macacar</t>
  </si>
  <si>
    <t>maçar</t>
  </si>
  <si>
    <t>maçarocar</t>
  </si>
  <si>
    <t>machucar</t>
  </si>
  <si>
    <t>madeficar</t>
  </si>
  <si>
    <t>madraçar</t>
  </si>
  <si>
    <t>magicar</t>
  </si>
  <si>
    <t>magnificar</t>
  </si>
  <si>
    <t>malocar</t>
  </si>
  <si>
    <t>malucar</t>
  </si>
  <si>
    <t>mancar</t>
  </si>
  <si>
    <t>manducar</t>
  </si>
  <si>
    <t>manocar</t>
  </si>
  <si>
    <t>marcar</t>
  </si>
  <si>
    <t>mariscar</t>
  </si>
  <si>
    <t>mascar</t>
  </si>
  <si>
    <t>massificar</t>
  </si>
  <si>
    <t>matracar</t>
  </si>
  <si>
    <t>matrucar</t>
  </si>
  <si>
    <t>medicar</t>
  </si>
  <si>
    <t>melificar</t>
  </si>
  <si>
    <t>menospreçar</t>
  </si>
  <si>
    <t>mercar</t>
  </si>
  <si>
    <t>matafisicar</t>
  </si>
  <si>
    <t>moscar</t>
  </si>
  <si>
    <t>metalificar</t>
  </si>
  <si>
    <t>metrificar</t>
  </si>
  <si>
    <t>mexericar</t>
  </si>
  <si>
    <t>mexerucar</t>
  </si>
  <si>
    <t>mimicar</t>
  </si>
  <si>
    <t>minhocar</t>
  </si>
  <si>
    <t>ministrificar</t>
  </si>
  <si>
    <t>mirificar</t>
  </si>
  <si>
    <t>mistificar</t>
  </si>
  <si>
    <t>mitificar</t>
  </si>
  <si>
    <t>moçar</t>
  </si>
  <si>
    <t>modificar</t>
  </si>
  <si>
    <t>mojicar</t>
  </si>
  <si>
    <t>molecar</t>
  </si>
  <si>
    <t>monçar</t>
  </si>
  <si>
    <t>mordaçar</t>
  </si>
  <si>
    <t>mordicar</t>
  </si>
  <si>
    <t>mordiscar</t>
  </si>
  <si>
    <t>mortificar</t>
  </si>
  <si>
    <t>multiplicar</t>
  </si>
  <si>
    <t>mumificar</t>
  </si>
  <si>
    <t>mundificar</t>
  </si>
  <si>
    <t>munhecar</t>
  </si>
  <si>
    <t>mupicar</t>
  </si>
  <si>
    <t>mupucar</t>
  </si>
  <si>
    <t>musicar</t>
  </si>
  <si>
    <t>muxicar</t>
  </si>
  <si>
    <t>madrugar</t>
  </si>
  <si>
    <t>mandingar</t>
  </si>
  <si>
    <t>mangar</t>
  </si>
  <si>
    <t>margar</t>
  </si>
  <si>
    <t>mastigar</t>
  </si>
  <si>
    <t>maturrangar</t>
  </si>
  <si>
    <t>mendigar</t>
  </si>
  <si>
    <t>mengar</t>
  </si>
  <si>
    <t>migar</t>
  </si>
  <si>
    <t>mitigar</t>
  </si>
  <si>
    <t>mogangar</t>
  </si>
  <si>
    <t>molengar</t>
  </si>
  <si>
    <t>monologar</t>
  </si>
  <si>
    <t>morcegar</t>
  </si>
  <si>
    <t>morsegar</t>
  </si>
  <si>
    <t>morssegar</t>
  </si>
  <si>
    <t>mostrengar</t>
  </si>
  <si>
    <t>morgar</t>
  </si>
  <si>
    <t>manejar</t>
  </si>
  <si>
    <t>manquejar</t>
  </si>
  <si>
    <t>marejar</t>
  </si>
  <si>
    <t>martelejar</t>
  </si>
  <si>
    <t>matejar</t>
  </si>
  <si>
    <t>matracolejar</t>
  </si>
  <si>
    <t>mercadejar</t>
  </si>
  <si>
    <t>merejar</t>
  </si>
  <si>
    <t>moirejar</t>
  </si>
  <si>
    <t>motejar</t>
  </si>
  <si>
    <t>mourejar</t>
  </si>
  <si>
    <t>murmurejar</t>
  </si>
  <si>
    <t>magoar</t>
  </si>
  <si>
    <t>maldiçoar</t>
  </si>
  <si>
    <t>madurecer</t>
  </si>
  <si>
    <t>manquecer</t>
  </si>
  <si>
    <t>merecer</t>
  </si>
  <si>
    <t>murchecer</t>
  </si>
  <si>
    <t>maisquerer</t>
  </si>
  <si>
    <t>maldizer</t>
  </si>
  <si>
    <t>malfazer</t>
  </si>
  <si>
    <t>malferir</t>
  </si>
  <si>
    <t>malgastar</t>
  </si>
  <si>
    <t>malquerer</t>
  </si>
  <si>
    <t>manter</t>
  </si>
  <si>
    <t>manuscrever</t>
  </si>
  <si>
    <t>manutenir</t>
  </si>
  <si>
    <t>medir</t>
  </si>
  <si>
    <t>mentir</t>
  </si>
  <si>
    <t>minguar</t>
  </si>
  <si>
    <t>minuir</t>
  </si>
  <si>
    <t>mobiliar</t>
  </si>
  <si>
    <t>monir</t>
  </si>
  <si>
    <t>mugir</t>
  </si>
  <si>
    <t>MOSCAR</t>
  </si>
  <si>
    <t>usco</t>
  </si>
  <si>
    <t>uscas</t>
  </si>
  <si>
    <t>usca</t>
  </si>
  <si>
    <t>uscam</t>
  </si>
  <si>
    <t>usque</t>
  </si>
  <si>
    <t>usques</t>
  </si>
  <si>
    <t>usquem</t>
  </si>
  <si>
    <t>ílie</t>
  </si>
  <si>
    <t>ílies</t>
  </si>
  <si>
    <t>íliem</t>
  </si>
  <si>
    <t>ospes</t>
  </si>
  <si>
    <t>ospe</t>
  </si>
  <si>
    <t>ospem</t>
  </si>
  <si>
    <t>INCLUIR</t>
  </si>
  <si>
    <t>relampadear</t>
  </si>
  <si>
    <t>relampaguear</t>
  </si>
  <si>
    <t>relampear</t>
  </si>
  <si>
    <t>rabear</t>
  </si>
  <si>
    <t>rabulear</t>
  </si>
  <si>
    <t>recear</t>
  </si>
  <si>
    <t>ralear</t>
  </si>
  <si>
    <t>ramear</t>
  </si>
  <si>
    <t>rampear</t>
  </si>
  <si>
    <t>raposear</t>
  </si>
  <si>
    <t>rarear</t>
  </si>
  <si>
    <t>rasquetear</t>
  </si>
  <si>
    <t>rastear</t>
  </si>
  <si>
    <t>rastrear</t>
  </si>
  <si>
    <t>ratear</t>
  </si>
  <si>
    <t>ratonear</t>
  </si>
  <si>
    <t>rebenquear</t>
  </si>
  <si>
    <t>recaldear</t>
  </si>
  <si>
    <t>recensear</t>
  </si>
  <si>
    <t>rechear</t>
  </si>
  <si>
    <t>recrear</t>
  </si>
  <si>
    <t>redomonear</t>
  </si>
  <si>
    <t>redondear</t>
  </si>
  <si>
    <t>refalsear</t>
  </si>
  <si>
    <t>refranzear</t>
  </si>
  <si>
    <t>refrear</t>
  </si>
  <si>
    <t>regatear</t>
  </si>
  <si>
    <t>regorjear</t>
  </si>
  <si>
    <t>relancear</t>
  </si>
  <si>
    <t>relotear</t>
  </si>
  <si>
    <t>relumear</t>
  </si>
  <si>
    <t>remanchear</t>
  </si>
  <si>
    <t>remansear</t>
  </si>
  <si>
    <t>remanusear</t>
  </si>
  <si>
    <t>remenear</t>
  </si>
  <si>
    <t>remoquear</t>
  </si>
  <si>
    <t>renguear</t>
  </si>
  <si>
    <t>rentear</t>
  </si>
  <si>
    <t>representear</t>
  </si>
  <si>
    <t>resmonear</t>
  </si>
  <si>
    <t>ressaltear</t>
  </si>
  <si>
    <t>ressemear</t>
  </si>
  <si>
    <t>reviravoltear</t>
  </si>
  <si>
    <t>revoltear</t>
  </si>
  <si>
    <t>revolutear</t>
  </si>
  <si>
    <t>rezonear</t>
  </si>
  <si>
    <t>ricochetear</t>
  </si>
  <si>
    <t>rodear</t>
  </si>
  <si>
    <t>romancear</t>
  </si>
  <si>
    <t>romanear</t>
  </si>
  <si>
    <t>roncear</t>
  </si>
  <si>
    <t>rondear</t>
  </si>
  <si>
    <t>ronquear</t>
  </si>
  <si>
    <t>rosear</t>
  </si>
  <si>
    <t>rosetear</t>
  </si>
  <si>
    <t>rosquear</t>
  </si>
  <si>
    <t>rostear</t>
  </si>
  <si>
    <t>rotear</t>
  </si>
  <si>
    <t>rouxinolear</t>
  </si>
  <si>
    <t>roxear</t>
  </si>
  <si>
    <t>rumbear</t>
  </si>
  <si>
    <t>rancificar</t>
  </si>
  <si>
    <t>rabiscar</t>
  </si>
  <si>
    <t>radicar</t>
  </si>
  <si>
    <t>radiodiagnosticar</t>
  </si>
  <si>
    <t>ramificar</t>
  </si>
  <si>
    <t>rançar</t>
  </si>
  <si>
    <t>rascar</t>
  </si>
  <si>
    <t>ratificar</t>
  </si>
  <si>
    <t>realçar</t>
  </si>
  <si>
    <t>realocar</t>
  </si>
  <si>
    <t>reaplicar</t>
  </si>
  <si>
    <t>rebocar</t>
  </si>
  <si>
    <t>rebolçar</t>
  </si>
  <si>
    <t>rebolcar</t>
  </si>
  <si>
    <t>rebuliçar</t>
  </si>
  <si>
    <t>rebuscar</t>
  </si>
  <si>
    <t>recalcar</t>
  </si>
  <si>
    <t>rechaçar</t>
  </si>
  <si>
    <t>reciprocar</t>
  </si>
  <si>
    <t>reclassificar</t>
  </si>
  <si>
    <t>recolocar</t>
  </si>
  <si>
    <t>recomeçar</t>
  </si>
  <si>
    <t>recongraçar</t>
  </si>
  <si>
    <t>reconvocar</t>
  </si>
  <si>
    <t>recrucificar</t>
  </si>
  <si>
    <t>rectificar</t>
  </si>
  <si>
    <t>reduplicar</t>
  </si>
  <si>
    <t>reedificar</t>
  </si>
  <si>
    <t>reeducar</t>
  </si>
  <si>
    <t>reembarcar</t>
  </si>
  <si>
    <t>reendereçar</t>
  </si>
  <si>
    <t>reenlaçar</t>
  </si>
  <si>
    <t>refincar</t>
  </si>
  <si>
    <t>reforçar</t>
  </si>
  <si>
    <t>refortificar</t>
  </si>
  <si>
    <t>refrescar</t>
  </si>
  <si>
    <t>regaçar</t>
  </si>
  <si>
    <t>retificar</t>
  </si>
  <si>
    <t>reivindicar</t>
  </si>
  <si>
    <t>relançar</t>
  </si>
  <si>
    <t>relocar</t>
  </si>
  <si>
    <t>remaniscar</t>
  </si>
  <si>
    <t>remarcar</t>
  </si>
  <si>
    <t>remenicar</t>
  </si>
  <si>
    <t>remocar</t>
  </si>
  <si>
    <t>remoçar</t>
  </si>
  <si>
    <t>repenicar</t>
  </si>
  <si>
    <t>repicar</t>
  </si>
  <si>
    <t>repiscar</t>
  </si>
  <si>
    <t>replicar</t>
  </si>
  <si>
    <t>republicar</t>
  </si>
  <si>
    <t>repurificar</t>
  </si>
  <si>
    <t>rerratificar</t>
  </si>
  <si>
    <t>resinificar</t>
  </si>
  <si>
    <t>respançar</t>
  </si>
  <si>
    <t>ressacar</t>
  </si>
  <si>
    <t>ressicar</t>
  </si>
  <si>
    <t>ressulcar</t>
  </si>
  <si>
    <t>restucar</t>
  </si>
  <si>
    <t>retocar</t>
  </si>
  <si>
    <t>retoiçar</t>
  </si>
  <si>
    <t>retoricar</t>
  </si>
  <si>
    <t>retoucar</t>
  </si>
  <si>
    <t>retouçar</t>
  </si>
  <si>
    <t>retraçar</t>
  </si>
  <si>
    <t>retrancar</t>
  </si>
  <si>
    <t>retrincar</t>
  </si>
  <si>
    <t>retrucar</t>
  </si>
  <si>
    <t>reunificar</t>
  </si>
  <si>
    <t>reverificar</t>
  </si>
  <si>
    <t>reviçar</t>
  </si>
  <si>
    <t>revivificar</t>
  </si>
  <si>
    <t>revocar</t>
  </si>
  <si>
    <t>revolcar</t>
  </si>
  <si>
    <t>riçar</t>
  </si>
  <si>
    <t>ridicar</t>
  </si>
  <si>
    <t>rinçar</t>
  </si>
  <si>
    <t>riscar</t>
  </si>
  <si>
    <t>rocar</t>
  </si>
  <si>
    <t>roçar</t>
  </si>
  <si>
    <t>roncar</t>
  </si>
  <si>
    <t>roscar</t>
  </si>
  <si>
    <t>rubrificar</t>
  </si>
  <si>
    <t>ruçar</t>
  </si>
  <si>
    <t>russificar</t>
  </si>
  <si>
    <t>rusticar</t>
  </si>
  <si>
    <t>rechegar</t>
  </si>
  <si>
    <t>rangar</t>
  </si>
  <si>
    <t>rasgar</t>
  </si>
  <si>
    <t>recargar</t>
  </si>
  <si>
    <t>recarregar</t>
  </si>
  <si>
    <t>recavalgar</t>
  </si>
  <si>
    <t>reempregar</t>
  </si>
  <si>
    <t>refegar</t>
  </si>
  <si>
    <t>refogar</t>
  </si>
  <si>
    <t>refolgar</t>
  </si>
  <si>
    <t>refregar</t>
  </si>
  <si>
    <t>refugar</t>
  </si>
  <si>
    <t>regougar</t>
  </si>
  <si>
    <t>reguingar</t>
  </si>
  <si>
    <t>relargar</t>
  </si>
  <si>
    <t>relegar</t>
  </si>
  <si>
    <t>religar</t>
  </si>
  <si>
    <t>remangar</t>
  </si>
  <si>
    <t>remastigar</t>
  </si>
  <si>
    <t>renavegar</t>
  </si>
  <si>
    <t>renegar</t>
  </si>
  <si>
    <t>repagar</t>
  </si>
  <si>
    <t>repolegar</t>
  </si>
  <si>
    <t>repolgar</t>
  </si>
  <si>
    <t>repregar</t>
  </si>
  <si>
    <t>repurgar</t>
  </si>
  <si>
    <t>resfolgar</t>
  </si>
  <si>
    <t>resmelengar</t>
  </si>
  <si>
    <t>resmungar</t>
  </si>
  <si>
    <t>respigar</t>
  </si>
  <si>
    <t>respingar</t>
  </si>
  <si>
    <t>ressalgar</t>
  </si>
  <si>
    <t>ressegar</t>
  </si>
  <si>
    <t>revingar</t>
  </si>
  <si>
    <t>revogar</t>
  </si>
  <si>
    <t>rezingar</t>
  </si>
  <si>
    <t>roçagar</t>
  </si>
  <si>
    <t>rocegar</t>
  </si>
  <si>
    <t>rogar</t>
  </si>
  <si>
    <t>rugar</t>
  </si>
  <si>
    <t>rusgar</t>
  </si>
  <si>
    <t>relampadejar</t>
  </si>
  <si>
    <t>relampejar</t>
  </si>
  <si>
    <t>relvejar</t>
  </si>
  <si>
    <t>reverdejar</t>
  </si>
  <si>
    <t>rabejar</t>
  </si>
  <si>
    <t>rabulejar</t>
  </si>
  <si>
    <t>raivejar</t>
  </si>
  <si>
    <t>rastejar</t>
  </si>
  <si>
    <t>realejar</t>
  </si>
  <si>
    <t>remanejar</t>
  </si>
  <si>
    <t>replaejar</t>
  </si>
  <si>
    <t>revoejar</t>
  </si>
  <si>
    <t>rorejar</t>
  </si>
  <si>
    <t>rouquejar</t>
  </si>
  <si>
    <t>rumorejar</t>
  </si>
  <si>
    <t>razoar</t>
  </si>
  <si>
    <t>reabotoar</t>
  </si>
  <si>
    <t>rebolar</t>
  </si>
  <si>
    <t>recoroar</t>
  </si>
  <si>
    <t>regalardoar</t>
  </si>
  <si>
    <t>regoar</t>
  </si>
  <si>
    <t>repovoar</t>
  </si>
  <si>
    <t>ressoar</t>
  </si>
  <si>
    <t>retroar</t>
  </si>
  <si>
    <t>revoar</t>
  </si>
  <si>
    <t>rejuvenescer</t>
  </si>
  <si>
    <t>raivescer</t>
  </si>
  <si>
    <t>rancescer</t>
  </si>
  <si>
    <t>reabastecer</t>
  </si>
  <si>
    <t>readormecer</t>
  </si>
  <si>
    <t>reamanhecer</t>
  </si>
  <si>
    <t>reaparecer</t>
  </si>
  <si>
    <t>reaquecer</t>
  </si>
  <si>
    <t>reconhecer</t>
  </si>
  <si>
    <t>reconvalescer</t>
  </si>
  <si>
    <t>recrescer</t>
  </si>
  <si>
    <t>recrudescer</t>
  </si>
  <si>
    <t>refecer</t>
  </si>
  <si>
    <t>reflorescer</t>
  </si>
  <si>
    <t>remanescer</t>
  </si>
  <si>
    <t>remerecer</t>
  </si>
  <si>
    <t>renascer</t>
  </si>
  <si>
    <t>reparecer</t>
  </si>
  <si>
    <t>repascer</t>
  </si>
  <si>
    <t>resplandecer</t>
  </si>
  <si>
    <t>resplendecer</t>
  </si>
  <si>
    <t>restabelecer</t>
  </si>
  <si>
    <t>retorcer</t>
  </si>
  <si>
    <t>reverdecer</t>
  </si>
  <si>
    <t>robustecer</t>
  </si>
  <si>
    <t>rubescer</t>
  </si>
  <si>
    <t>ruborescer</t>
  </si>
  <si>
    <t>rangir</t>
  </si>
  <si>
    <t>rarefazer</t>
  </si>
  <si>
    <t>reabrir</t>
  </si>
  <si>
    <t>readequar</t>
  </si>
  <si>
    <t>reagir</t>
  </si>
  <si>
    <t>reaver</t>
  </si>
  <si>
    <t>rebolir</t>
  </si>
  <si>
    <t>rebulir</t>
  </si>
  <si>
    <t>recair</t>
  </si>
  <si>
    <t>recingir</t>
  </si>
  <si>
    <t>recluir</t>
  </si>
  <si>
    <t>recobrir</t>
  </si>
  <si>
    <t>recompor</t>
  </si>
  <si>
    <t>reconduzir</t>
  </si>
  <si>
    <t>reconstituir</t>
  </si>
  <si>
    <t>reconstruir</t>
  </si>
  <si>
    <t>reconvir</t>
  </si>
  <si>
    <t>recorrigir</t>
  </si>
  <si>
    <t>redar</t>
  </si>
  <si>
    <t>redarguir</t>
  </si>
  <si>
    <t>redigir</t>
  </si>
  <si>
    <t>redistribuir</t>
  </si>
  <si>
    <t>redizer</t>
  </si>
  <si>
    <t>reduzir</t>
  </si>
  <si>
    <t>eleger</t>
  </si>
  <si>
    <t>reeleger</t>
  </si>
  <si>
    <t>encher</t>
  </si>
  <si>
    <t>reerguer</t>
  </si>
  <si>
    <t>reescrever</t>
  </si>
  <si>
    <t>reexpedir</t>
  </si>
  <si>
    <t>refazer</t>
  </si>
  <si>
    <t>referir</t>
  </si>
  <si>
    <t>refletir</t>
  </si>
  <si>
    <t>refluir</t>
  </si>
  <si>
    <t>refranger</t>
  </si>
  <si>
    <t>refugir</t>
  </si>
  <si>
    <t>refulgir</t>
  </si>
  <si>
    <t>regredir</t>
  </si>
  <si>
    <t>reimpor</t>
  </si>
  <si>
    <t>reinscrever</t>
  </si>
  <si>
    <t>reinserir</t>
  </si>
  <si>
    <t>reintroduzir</t>
  </si>
  <si>
    <t>reinvestir</t>
  </si>
  <si>
    <t>reler</t>
  </si>
  <si>
    <t>relinchar</t>
  </si>
  <si>
    <t>reluzir</t>
  </si>
  <si>
    <t>remediar</t>
  </si>
  <si>
    <t>remedir</t>
  </si>
  <si>
    <t>remir</t>
  </si>
  <si>
    <t>remoer</t>
  </si>
  <si>
    <t>renhir</t>
  </si>
  <si>
    <t>renuir</t>
  </si>
  <si>
    <t>reouvir</t>
  </si>
  <si>
    <t>repechar</t>
  </si>
  <si>
    <t>repedir</t>
  </si>
  <si>
    <t>repelir</t>
  </si>
  <si>
    <t>repetir</t>
  </si>
  <si>
    <t>repolir</t>
  </si>
  <si>
    <t>repor</t>
  </si>
  <si>
    <t>repossuir</t>
  </si>
  <si>
    <t>reproduzir</t>
  </si>
  <si>
    <t>repropor</t>
  </si>
  <si>
    <t>repruir</t>
  </si>
  <si>
    <t>requerer</t>
  </si>
  <si>
    <t>rerranger</t>
  </si>
  <si>
    <t>rescrever</t>
  </si>
  <si>
    <t>resmoer</t>
  </si>
  <si>
    <t>ressaber</t>
  </si>
  <si>
    <t>ressair</t>
  </si>
  <si>
    <t>ressarcir</t>
  </si>
  <si>
    <t>ressaudar</t>
  </si>
  <si>
    <t>ressentir</t>
  </si>
  <si>
    <t>ressequir</t>
  </si>
  <si>
    <t>resservir</t>
  </si>
  <si>
    <t>ressorrir</t>
  </si>
  <si>
    <t>ressurgir</t>
  </si>
  <si>
    <t>restiguir</t>
  </si>
  <si>
    <t>extinguir</t>
  </si>
  <si>
    <t>restituir</t>
  </si>
  <si>
    <t>restringir</t>
  </si>
  <si>
    <t>restrugir</t>
  </si>
  <si>
    <t>retelhar</t>
  </si>
  <si>
    <t>reter</t>
  </si>
  <si>
    <t>retingir</t>
  </si>
  <si>
    <t>retorquir</t>
  </si>
  <si>
    <t>retraduzir</t>
  </si>
  <si>
    <t>retrair</t>
  </si>
  <si>
    <t>retribuir</t>
  </si>
  <si>
    <t>retroagir</t>
  </si>
  <si>
    <t>retrosseguir</t>
  </si>
  <si>
    <t>retrotrair</t>
  </si>
  <si>
    <t>reunir</t>
  </si>
  <si>
    <t>revelir</t>
  </si>
  <si>
    <t>rever</t>
  </si>
  <si>
    <t>revestir</t>
  </si>
  <si>
    <t>revir</t>
  </si>
  <si>
    <t>rinchavelhar</t>
  </si>
  <si>
    <t>ringir</t>
  </si>
  <si>
    <t>roer</t>
  </si>
  <si>
    <t>rugir</t>
  </si>
  <si>
    <t>ruir</t>
  </si>
  <si>
    <t>cheio</t>
  </si>
  <si>
    <t>REQUERER</t>
  </si>
  <si>
    <t>EXTINGUIR</t>
  </si>
  <si>
    <t>REUNIR</t>
  </si>
  <si>
    <t>GREDIR</t>
  </si>
  <si>
    <t>AZER</t>
  </si>
  <si>
    <t>OER</t>
  </si>
  <si>
    <t>ERGUER</t>
  </si>
  <si>
    <t>ANGER</t>
  </si>
  <si>
    <t>debrear</t>
  </si>
  <si>
    <t>defuntear</t>
  </si>
  <si>
    <t>deletrear</t>
  </si>
  <si>
    <t>delinear</t>
  </si>
  <si>
    <t>dentear</t>
  </si>
  <si>
    <t>derrear</t>
  </si>
  <si>
    <t>desafear</t>
  </si>
  <si>
    <t>desafoguear</t>
  </si>
  <si>
    <t>desalhear</t>
  </si>
  <si>
    <t>desapear</t>
  </si>
  <si>
    <t>desarear</t>
  </si>
  <si>
    <t>desarquear</t>
  </si>
  <si>
    <t>desarrear</t>
  </si>
  <si>
    <t>desassenhorear</t>
  </si>
  <si>
    <t>desassorear</t>
  </si>
  <si>
    <t>descantear</t>
  </si>
  <si>
    <t>descodear</t>
  </si>
  <si>
    <t>desembrear</t>
  </si>
  <si>
    <t>desencadear</t>
  </si>
  <si>
    <t>desencorrear</t>
  </si>
  <si>
    <t>desnlear</t>
  </si>
  <si>
    <t>desenxamear</t>
  </si>
  <si>
    <t>desfear</t>
  </si>
  <si>
    <t>desfeitear</t>
  </si>
  <si>
    <t>deslajear</t>
  </si>
  <si>
    <t>deslastrear</t>
  </si>
  <si>
    <t>deslendear</t>
  </si>
  <si>
    <t>desmanear</t>
  </si>
  <si>
    <t>desmarear</t>
  </si>
  <si>
    <t>desmastrear</t>
  </si>
  <si>
    <t>denortear</t>
  </si>
  <si>
    <t>despaletear</t>
  </si>
  <si>
    <t>despear</t>
  </si>
  <si>
    <t>despentear</t>
  </si>
  <si>
    <t>despratear</t>
  </si>
  <si>
    <t>dessaborear</t>
  </si>
  <si>
    <t>dessortear</t>
  </si>
  <si>
    <t>destaquear</t>
  </si>
  <si>
    <t>destopetear</t>
  </si>
  <si>
    <t>devanear</t>
  </si>
  <si>
    <t>discretear</t>
  </si>
  <si>
    <t>disaborear</t>
  </si>
  <si>
    <t>donairear</t>
  </si>
  <si>
    <t>dosear</t>
  </si>
  <si>
    <t>drapear</t>
  </si>
  <si>
    <t>embrear</t>
  </si>
  <si>
    <t>estear</t>
  </si>
  <si>
    <t>emastrear</t>
  </si>
  <si>
    <t>embarrear</t>
  </si>
  <si>
    <t>embostear</t>
  </si>
  <si>
    <t>embravear</t>
  </si>
  <si>
    <t>embustear</t>
  </si>
  <si>
    <t>empestear</t>
  </si>
  <si>
    <t>empirrear</t>
  </si>
  <si>
    <t>enausear</t>
  </si>
  <si>
    <t>encadear</t>
  </si>
  <si>
    <t>encodear</t>
  </si>
  <si>
    <t>encorrear</t>
  </si>
  <si>
    <t>encumear</t>
  </si>
  <si>
    <t>enfear</t>
  </si>
  <si>
    <t>enflorear</t>
  </si>
  <si>
    <t>enfranquear</t>
  </si>
  <si>
    <t>enfrear</t>
  </si>
  <si>
    <t>enlamear</t>
  </si>
  <si>
    <t>enlear</t>
  </si>
  <si>
    <t>enredar</t>
  </si>
  <si>
    <t>enrenquear</t>
  </si>
  <si>
    <t>ensombrear</t>
  </si>
  <si>
    <t>entear</t>
  </si>
  <si>
    <t>entremear</t>
  </si>
  <si>
    <t>entressemear</t>
  </si>
  <si>
    <t>enudear</t>
  </si>
  <si>
    <t>enxadear</t>
  </si>
  <si>
    <t>enxaimear</t>
  </si>
  <si>
    <t>enxamear</t>
  </si>
  <si>
    <t>esbambear</t>
  </si>
  <si>
    <t>esbofetear</t>
  </si>
  <si>
    <t>esbombardear</t>
  </si>
  <si>
    <t>esbrasear</t>
  </si>
  <si>
    <t>escabecear</t>
  </si>
  <si>
    <t>escabrear</t>
  </si>
  <si>
    <t>escadear</t>
  </si>
  <si>
    <t>escamotear</t>
  </si>
  <si>
    <t>escancear</t>
  </si>
  <si>
    <t>escanear</t>
  </si>
  <si>
    <t>escaquear</t>
  </si>
  <si>
    <t>escaramucear</t>
  </si>
  <si>
    <t>escarcear</t>
  </si>
  <si>
    <t>escardear</t>
  </si>
  <si>
    <t>escarear</t>
  </si>
  <si>
    <t>escarpetear</t>
  </si>
  <si>
    <t>escasquear</t>
  </si>
  <si>
    <t>escassear</t>
  </si>
  <si>
    <t>escodear</t>
  </si>
  <si>
    <t>escoicear</t>
  </si>
  <si>
    <t>escopear</t>
  </si>
  <si>
    <t>escopetear</t>
  </si>
  <si>
    <t>escornear</t>
  </si>
  <si>
    <t>escoucear</t>
  </si>
  <si>
    <t>escrapetear</t>
  </si>
  <si>
    <t>escrotear</t>
  </si>
  <si>
    <t>escrupulear</t>
  </si>
  <si>
    <t>esfachear</t>
  </si>
  <si>
    <t>esfaquear</t>
  </si>
  <si>
    <t>esfoguear</t>
  </si>
  <si>
    <t>esfoguetear</t>
  </si>
  <si>
    <t>esfolhear</t>
  </si>
  <si>
    <t>esfomear</t>
  </si>
  <si>
    <t>esfumear</t>
  </si>
  <si>
    <t>esgravatear</t>
  </si>
  <si>
    <t>esmeraldear</t>
  </si>
  <si>
    <t>espacear</t>
  </si>
  <si>
    <t>espaldear</t>
  </si>
  <si>
    <t>espelotear</t>
  </si>
  <si>
    <t>espernear</t>
  </si>
  <si>
    <t>espingardear</t>
  </si>
  <si>
    <t>espinotear</t>
  </si>
  <si>
    <t>espoletear</t>
  </si>
  <si>
    <t>esporear</t>
  </si>
  <si>
    <t>estadear</t>
  </si>
  <si>
    <t>estapear</t>
  </si>
  <si>
    <t>estaquear</t>
  </si>
  <si>
    <t>estiletear</t>
  </si>
  <si>
    <t>estontear</t>
  </si>
  <si>
    <t>estoquear</t>
  </si>
  <si>
    <t>estrear</t>
  </si>
  <si>
    <t>estrondear</t>
  </si>
  <si>
    <t>estropear</t>
  </si>
  <si>
    <t>esverdear</t>
  </si>
  <si>
    <t>desachegar</t>
  </si>
  <si>
    <t>desaconchegar</t>
  </si>
  <si>
    <t>desconchegar</t>
  </si>
  <si>
    <t>delegar</t>
  </si>
  <si>
    <t>denegar</t>
  </si>
  <si>
    <t>derregar</t>
  </si>
  <si>
    <t>desagregar</t>
  </si>
  <si>
    <t>desapegar</t>
  </si>
  <si>
    <t>desassossegar</t>
  </si>
  <si>
    <t>descarregar</t>
  </si>
  <si>
    <t>desempegar</t>
  </si>
  <si>
    <t>desempregar</t>
  </si>
  <si>
    <t>dsencarregar</t>
  </si>
  <si>
    <t>desgregar</t>
  </si>
  <si>
    <t>despegar</t>
  </si>
  <si>
    <t>despregar</t>
  </si>
  <si>
    <t>dessossegar</t>
  </si>
  <si>
    <t>empegar</t>
  </si>
  <si>
    <t>esfolegar</t>
  </si>
  <si>
    <t>espedregar</t>
  </si>
  <si>
    <t>embodegar</t>
  </si>
  <si>
    <t>empregar</t>
  </si>
  <si>
    <t>encarregar</t>
  </si>
  <si>
    <t>ensofregar</t>
  </si>
  <si>
    <t>esbodegar</t>
  </si>
  <si>
    <t>esborregar</t>
  </si>
  <si>
    <t>escorregar</t>
  </si>
  <si>
    <t>esfregar</t>
  </si>
  <si>
    <t>esmurregar</t>
  </si>
  <si>
    <t>esparregar</t>
  </si>
  <si>
    <t>espernegar</t>
  </si>
  <si>
    <t>estorcegar</t>
  </si>
  <si>
    <t>estrafegar</t>
  </si>
  <si>
    <t>delongar</t>
  </si>
  <si>
    <t>derrengar</t>
  </si>
  <si>
    <t>derrogar</t>
  </si>
  <si>
    <t>desabrigar</t>
  </si>
  <si>
    <t>desafogar</t>
  </si>
  <si>
    <t>desalagar</t>
  </si>
  <si>
    <t>desamigar</t>
  </si>
  <si>
    <t>desamolgar</t>
  </si>
  <si>
    <t>desapagar</t>
  </si>
  <si>
    <t>desarraigar</t>
  </si>
  <si>
    <t>desarreigar</t>
  </si>
  <si>
    <t>desarrugar</t>
  </si>
  <si>
    <t>desavagar</t>
  </si>
  <si>
    <t>desbragar</t>
  </si>
  <si>
    <t>descavalgar</t>
  </si>
  <si>
    <t>descomungar</t>
  </si>
  <si>
    <t>desembargar</t>
  </si>
  <si>
    <t>desembarrigar</t>
  </si>
  <si>
    <t>desembriagar</t>
  </si>
  <si>
    <t>desempertigar</t>
  </si>
  <si>
    <t>desempolgar</t>
  </si>
  <si>
    <t>desengasgar</t>
  </si>
  <si>
    <t>desenrugar</t>
  </si>
  <si>
    <t>desenvergar</t>
  </si>
  <si>
    <t>desexcomungar</t>
  </si>
  <si>
    <t>desfadigar</t>
  </si>
  <si>
    <t>desgalgar</t>
  </si>
  <si>
    <t>desligar</t>
  </si>
  <si>
    <t>desnarigar</t>
  </si>
  <si>
    <t>despongar</t>
  </si>
  <si>
    <t>despostigar</t>
  </si>
  <si>
    <t>desraigar</t>
  </si>
  <si>
    <t>desrugar</t>
  </si>
  <si>
    <t>dessalgar</t>
  </si>
  <si>
    <t>dessubjulgar</t>
  </si>
  <si>
    <t>destalingar</t>
  </si>
  <si>
    <t>desvigar</t>
  </si>
  <si>
    <t>desvirgar</t>
  </si>
  <si>
    <t>desvisgar</t>
  </si>
  <si>
    <t>devulgar</t>
  </si>
  <si>
    <t>dialogar</t>
  </si>
  <si>
    <t>ditongar</t>
  </si>
  <si>
    <t>divagar</t>
  </si>
  <si>
    <t>dragar</t>
  </si>
  <si>
    <t>drogar</t>
  </si>
  <si>
    <t>envesgar</t>
  </si>
  <si>
    <t>enxergar</t>
  </si>
  <si>
    <t>embargar</t>
  </si>
  <si>
    <t>emetesgar</t>
  </si>
  <si>
    <t>embriagar</t>
  </si>
  <si>
    <t>empangar</t>
  </si>
  <si>
    <t>empertigar</t>
  </si>
  <si>
    <t>empesgar</t>
  </si>
  <si>
    <t>empocilgar</t>
  </si>
  <si>
    <t>empolgar</t>
  </si>
  <si>
    <t>encangar</t>
  </si>
  <si>
    <t>encarangar</t>
  </si>
  <si>
    <t>encargar</t>
  </si>
  <si>
    <t>encavalgar</t>
  </si>
  <si>
    <t>endomingar</t>
  </si>
  <si>
    <t>enesgar</t>
  </si>
  <si>
    <t>enfogar</t>
  </si>
  <si>
    <t>enfragar</t>
  </si>
  <si>
    <t>engalgar</t>
  </si>
  <si>
    <t>engar</t>
  </si>
  <si>
    <t>engasgar</t>
  </si>
  <si>
    <t>enjangar</t>
  </si>
  <si>
    <t>enjugar</t>
  </si>
  <si>
    <t>enrugar</t>
  </si>
  <si>
    <t>entaleigar</t>
  </si>
  <si>
    <t>envergar</t>
  </si>
  <si>
    <t>enverrugar</t>
  </si>
  <si>
    <t>enxugar</t>
  </si>
  <si>
    <t>epilogar</t>
  </si>
  <si>
    <t>esbarrigar</t>
  </si>
  <si>
    <t>esbrugar</t>
  </si>
  <si>
    <t>escamurrengar</t>
  </si>
  <si>
    <t>esgalgar</t>
  </si>
  <si>
    <t>eslingar</t>
  </si>
  <si>
    <t>esmadrigar</t>
  </si>
  <si>
    <t>esmagar</t>
  </si>
  <si>
    <t>esmurrengar</t>
  </si>
  <si>
    <t>espalhagar</t>
  </si>
  <si>
    <t>espandongar</t>
  </si>
  <si>
    <t>espigar</t>
  </si>
  <si>
    <t>espulgar</t>
  </si>
  <si>
    <t>estringar</t>
  </si>
  <si>
    <t>estomagar</t>
  </si>
  <si>
    <t>estragar</t>
  </si>
  <si>
    <t>estrigar</t>
  </si>
  <si>
    <t>estugar</t>
  </si>
  <si>
    <t>esvidigar</t>
  </si>
  <si>
    <t>excomungar</t>
  </si>
  <si>
    <t>espurgar</t>
  </si>
  <si>
    <t>extravagar</t>
  </si>
  <si>
    <t>damejar</t>
  </si>
  <si>
    <t>dardejar</t>
  </si>
  <si>
    <t>desbravejar</t>
  </si>
  <si>
    <t>descortejar</t>
  </si>
  <si>
    <t>descravejar</t>
  </si>
  <si>
    <t>desejar</t>
  </si>
  <si>
    <t>despejar</t>
  </si>
  <si>
    <t>desvelejar</t>
  </si>
  <si>
    <t>doidejar</t>
  </si>
  <si>
    <t>doudejar</t>
  </si>
  <si>
    <t>drapejar</t>
  </si>
  <si>
    <t>estrelejar</t>
  </si>
  <si>
    <t>encaranguejar</t>
  </si>
  <si>
    <t>encarvoejar</t>
  </si>
  <si>
    <t>encervejar</t>
  </si>
  <si>
    <t>ensejar</t>
  </si>
  <si>
    <t>entejar</t>
  </si>
  <si>
    <t>enverdejar</t>
  </si>
  <si>
    <t>esbrabejar</t>
  </si>
  <si>
    <t>esbracejar</t>
  </si>
  <si>
    <t>esbravejar</t>
  </si>
  <si>
    <t>escurejar</t>
  </si>
  <si>
    <t>espacejar</t>
  </si>
  <si>
    <t>espanejar</t>
  </si>
  <si>
    <t>espenejar</t>
  </si>
  <si>
    <t>espostejar</t>
  </si>
  <si>
    <t>espumejar</t>
  </si>
  <si>
    <t>esquadrejar</t>
  </si>
  <si>
    <t>esquartejar</t>
  </si>
  <si>
    <t>estalejar</t>
  </si>
  <si>
    <t>estralejar</t>
  </si>
  <si>
    <t>estrotejar</t>
  </si>
  <si>
    <t>esvoejar</t>
  </si>
  <si>
    <t>decoar</t>
  </si>
  <si>
    <t>desabalroar</t>
  </si>
  <si>
    <t>desabotoar</t>
  </si>
  <si>
    <t>desacolchoar</t>
  </si>
  <si>
    <t>desacorçoar</t>
  </si>
  <si>
    <t>desacoroçoar</t>
  </si>
  <si>
    <t>desafeiçoar</t>
  </si>
  <si>
    <t>desagaloar</t>
  </si>
  <si>
    <t>desagrilhoar</t>
  </si>
  <si>
    <t>desamontoar</t>
  </si>
  <si>
    <t>desaquinhoar</t>
  </si>
  <si>
    <t>desarrazoar</t>
  </si>
  <si>
    <t>desatordoar</t>
  </si>
  <si>
    <t>desbagoar</t>
  </si>
  <si>
    <t>desboroar</t>
  </si>
  <si>
    <t>descalhoar</t>
  </si>
  <si>
    <t>descorçoar</t>
  </si>
  <si>
    <t>descoroçoar</t>
  </si>
  <si>
    <t>descotoar</t>
  </si>
  <si>
    <t>desempoar</t>
  </si>
  <si>
    <t>desemproar</t>
  </si>
  <si>
    <t>desencantoar</t>
  </si>
  <si>
    <t>desencastoar</t>
  </si>
  <si>
    <t>desencatarroar</t>
  </si>
  <si>
    <t>desencordoar</t>
  </si>
  <si>
    <t>deseevoar</t>
  </si>
  <si>
    <t>desenjoar</t>
  </si>
  <si>
    <t>desenodoar</t>
  </si>
  <si>
    <t>desensaboar</t>
  </si>
  <si>
    <t>desenterroar</t>
  </si>
  <si>
    <t>desentoar</t>
  </si>
  <si>
    <t>desgrilhoar</t>
  </si>
  <si>
    <t>desnodoar</t>
  </si>
  <si>
    <t>despovoar</t>
  </si>
  <si>
    <t>dessarroar</t>
  </si>
  <si>
    <t>dessoar</t>
  </si>
  <si>
    <t>desterroar</t>
  </si>
  <si>
    <t>destoar</t>
  </si>
  <si>
    <t>destorroar</t>
  </si>
  <si>
    <t>doar</t>
  </si>
  <si>
    <t>empendoar</t>
  </si>
  <si>
    <t>ecoar</t>
  </si>
  <si>
    <t>empadroar</t>
  </si>
  <si>
    <t>empoar</t>
  </si>
  <si>
    <t>emproar</t>
  </si>
  <si>
    <t>encamboar</t>
  </si>
  <si>
    <t>encanoar</t>
  </si>
  <si>
    <t>encantoar</t>
  </si>
  <si>
    <t>encanzoar</t>
  </si>
  <si>
    <t>encarvoar</t>
  </si>
  <si>
    <t>encastoar</t>
  </si>
  <si>
    <t>encontroar</t>
  </si>
  <si>
    <t>encordoar</t>
  </si>
  <si>
    <t>enevoar</t>
  </si>
  <si>
    <t>enfestoar</t>
  </si>
  <si>
    <t>enjoar</t>
  </si>
  <si>
    <t>enodoar</t>
  </si>
  <si>
    <t>ensaboar</t>
  </si>
  <si>
    <t>ensoar</t>
  </si>
  <si>
    <t>enterroar</t>
  </si>
  <si>
    <t>entoar</t>
  </si>
  <si>
    <t>entorroar</t>
  </si>
  <si>
    <t>esbagoar</t>
  </si>
  <si>
    <t>esbamboar</t>
  </si>
  <si>
    <t>esbarroar</t>
  </si>
  <si>
    <t>esbordoar</t>
  </si>
  <si>
    <t>esboroar</t>
  </si>
  <si>
    <t>esbroar</t>
  </si>
  <si>
    <t>escachoar</t>
  </si>
  <si>
    <t>escamalhoar</t>
  </si>
  <si>
    <t>escanhoar</t>
  </si>
  <si>
    <t>escarvoar</t>
  </si>
  <si>
    <t>escoar</t>
  </si>
  <si>
    <t>escoroar</t>
  </si>
  <si>
    <t>esladroar</t>
  </si>
  <si>
    <t>espoar</t>
  </si>
  <si>
    <t>estorroar</t>
  </si>
  <si>
    <t>estraçoar</t>
  </si>
  <si>
    <t>decrescer</t>
  </si>
  <si>
    <t>deliquescer</t>
  </si>
  <si>
    <t>denegrecer</t>
  </si>
  <si>
    <t>deperecer</t>
  </si>
  <si>
    <t>desabastecer</t>
  </si>
  <si>
    <t>desadormecer</t>
  </si>
  <si>
    <t>desagradecer</t>
  </si>
  <si>
    <t>desaparecer</t>
  </si>
  <si>
    <t>desaquecer</t>
  </si>
  <si>
    <t>descer</t>
  </si>
  <si>
    <t>desconhecer</t>
  </si>
  <si>
    <t>desconvencer</t>
  </si>
  <si>
    <t>desembravecer</t>
  </si>
  <si>
    <t>desembrutecer</t>
  </si>
  <si>
    <t>desempecer</t>
  </si>
  <si>
    <t>desempobrecer</t>
  </si>
  <si>
    <t>desemudecer</t>
  </si>
  <si>
    <t>desencarecer</t>
  </si>
  <si>
    <t>deseegrecer</t>
  </si>
  <si>
    <t>desenfurecer</t>
  </si>
  <si>
    <t>desengrandecer</t>
  </si>
  <si>
    <t>desengravescer</t>
  </si>
  <si>
    <t>desenlouquecer</t>
  </si>
  <si>
    <t>desenobrecer</t>
  </si>
  <si>
    <t>desenraivecer</t>
  </si>
  <si>
    <t>desenriquecer</t>
  </si>
  <si>
    <t>desenrubescer</t>
  </si>
  <si>
    <t>desensoberbecer</t>
  </si>
  <si>
    <t>desenternecer</t>
  </si>
  <si>
    <t>desentorpecer</t>
  </si>
  <si>
    <t>desentristecer</t>
  </si>
  <si>
    <t>desentumecer</t>
  </si>
  <si>
    <t>desfalecer</t>
  </si>
  <si>
    <t>desfavorecer</t>
  </si>
  <si>
    <t>desflorescer</t>
  </si>
  <si>
    <t>desfortalecer</t>
  </si>
  <si>
    <t>desguarnecer</t>
  </si>
  <si>
    <t>desintumescer</t>
  </si>
  <si>
    <t>desmerecer</t>
  </si>
  <si>
    <t>desnobrecer</t>
  </si>
  <si>
    <t>desobedecer</t>
  </si>
  <si>
    <t>desobscurecer</t>
  </si>
  <si>
    <t>desparecer</t>
  </si>
  <si>
    <t>desperecer</t>
  </si>
  <si>
    <t>destecer</t>
  </si>
  <si>
    <t>destopecer</t>
  </si>
  <si>
    <t>destristecer</t>
  </si>
  <si>
    <t>desvaecer</t>
  </si>
  <si>
    <t>desvanecer</t>
  </si>
  <si>
    <t>desverdecer</t>
  </si>
  <si>
    <t>distorcer</t>
  </si>
  <si>
    <t>encalecer</t>
  </si>
  <si>
    <t>encalvecer</t>
  </si>
  <si>
    <t>encanecer</t>
  </si>
  <si>
    <t>encarecer</t>
  </si>
  <si>
    <t>enceguecer</t>
  </si>
  <si>
    <t>encrudelecer</t>
  </si>
  <si>
    <t>encruecer</t>
  </si>
  <si>
    <t>encruelecer</t>
  </si>
  <si>
    <t>endentecer</t>
  </si>
  <si>
    <t>endoidecer</t>
  </si>
  <si>
    <t>endoudecer</t>
  </si>
  <si>
    <t>endurecer</t>
  </si>
  <si>
    <t>enegrecer</t>
  </si>
  <si>
    <t>enfebrecer</t>
  </si>
  <si>
    <t>enfenecer</t>
  </si>
  <si>
    <t>enflorescer</t>
  </si>
  <si>
    <t>enfraquecer</t>
  </si>
  <si>
    <t>enfroixecer</t>
  </si>
  <si>
    <t>enfrouxecer</t>
  </si>
  <si>
    <t>enfrutecer</t>
  </si>
  <si>
    <t>enfurecer</t>
  </si>
  <si>
    <t>engafecer</t>
  </si>
  <si>
    <t>endradecer</t>
  </si>
  <si>
    <t>engraecer</t>
  </si>
  <si>
    <t>engrandecer</t>
  </si>
  <si>
    <t>engravescer</t>
  </si>
  <si>
    <t>enlanguescer</t>
  </si>
  <si>
    <t>enloirecer</t>
  </si>
  <si>
    <t>enlouquecer</t>
  </si>
  <si>
    <t>enlourecer</t>
  </si>
  <si>
    <t>enobrecer</t>
  </si>
  <si>
    <t>enoitecer</t>
  </si>
  <si>
    <t>enoutecer</t>
  </si>
  <si>
    <t>enraivescer</t>
  </si>
  <si>
    <t>enrarecer</t>
  </si>
  <si>
    <t>enrijecer</t>
  </si>
  <si>
    <t>enriquecer</t>
  </si>
  <si>
    <t>enrouquecer</t>
  </si>
  <si>
    <t>enrubescer</t>
  </si>
  <si>
    <t>enrudecer</t>
  </si>
  <si>
    <t>ensandecer</t>
  </si>
  <si>
    <t>ensarnecer</t>
  </si>
  <si>
    <t>ensoberbecer</t>
  </si>
  <si>
    <t>ensombrecer</t>
  </si>
  <si>
    <t>ensurdecer</t>
  </si>
  <si>
    <t>entalecer</t>
  </si>
  <si>
    <t>entanguecer</t>
  </si>
  <si>
    <t>entardecer</t>
  </si>
  <si>
    <t>entecer</t>
  </si>
  <si>
    <t>entenebrecer</t>
  </si>
  <si>
    <t>entenrecer</t>
  </si>
  <si>
    <t>enternecer</t>
  </si>
  <si>
    <t>entibecer</t>
  </si>
  <si>
    <t>entontecer</t>
  </si>
  <si>
    <t>entorpecer</t>
  </si>
  <si>
    <t>entreconhecer</t>
  </si>
  <si>
    <t>entretecer</t>
  </si>
  <si>
    <t>entrevecer</t>
  </si>
  <si>
    <t>entristecer</t>
  </si>
  <si>
    <t>entronquecer</t>
  </si>
  <si>
    <t>envaidecer</t>
  </si>
  <si>
    <t>envanecer</t>
  </si>
  <si>
    <t>envelhecer</t>
  </si>
  <si>
    <t>enverdecer</t>
  </si>
  <si>
    <t>envermelhecer</t>
  </si>
  <si>
    <t>envilecer</t>
  </si>
  <si>
    <t>erubescer</t>
  </si>
  <si>
    <t>ervecer</t>
  </si>
  <si>
    <t>esbranquecer</t>
  </si>
  <si>
    <t>escadelecer</t>
  </si>
  <si>
    <t>escandelescer</t>
  </si>
  <si>
    <t>escarnecer</t>
  </si>
  <si>
    <t>esclarecer</t>
  </si>
  <si>
    <t>escurecer</t>
  </si>
  <si>
    <t>esfalecer</t>
  </si>
  <si>
    <t>esmaecer</t>
  </si>
  <si>
    <t>esmagrecer</t>
  </si>
  <si>
    <t>esmorecer</t>
  </si>
  <si>
    <t>espairecer</t>
  </si>
  <si>
    <t>espavorecer</t>
  </si>
  <si>
    <t>esplandecer</t>
  </si>
  <si>
    <t>estabelecer</t>
  </si>
  <si>
    <t>estarrecer</t>
  </si>
  <si>
    <t>estorcer</t>
  </si>
  <si>
    <t>estremecer</t>
  </si>
  <si>
    <t>esvaecer</t>
  </si>
  <si>
    <t>esvanecer</t>
  </si>
  <si>
    <t>evencer</t>
  </si>
  <si>
    <t>excrescer</t>
  </si>
  <si>
    <t>exercer</t>
  </si>
  <si>
    <t>decair</t>
  </si>
  <si>
    <t>decompor</t>
  </si>
  <si>
    <t>deduzir</t>
  </si>
  <si>
    <t>defender</t>
  </si>
  <si>
    <t>deferir</t>
  </si>
  <si>
    <t>deflectir</t>
  </si>
  <si>
    <t>defletir</t>
  </si>
  <si>
    <t>defluir</t>
  </si>
  <si>
    <t>dejungir</t>
  </si>
  <si>
    <t>delinquir</t>
  </si>
  <si>
    <t>delir</t>
  </si>
  <si>
    <t>deluzir</t>
  </si>
  <si>
    <t>demolir</t>
  </si>
  <si>
    <t>denegrir</t>
  </si>
  <si>
    <t>igro</t>
  </si>
  <si>
    <t>igra</t>
  </si>
  <si>
    <t>igras</t>
  </si>
  <si>
    <t>igramos</t>
  </si>
  <si>
    <t>igrais</t>
  </si>
  <si>
    <t>igram</t>
  </si>
  <si>
    <t>DENEGRIR</t>
  </si>
  <si>
    <t>igres</t>
  </si>
  <si>
    <t>igre</t>
  </si>
  <si>
    <t>igrem</t>
  </si>
  <si>
    <t>depor</t>
  </si>
  <si>
    <t>derruir</t>
  </si>
  <si>
    <t>desabelhar</t>
  </si>
  <si>
    <t>desabrir</t>
  </si>
  <si>
    <t>desafazer</t>
  </si>
  <si>
    <t>desaguar</t>
  </si>
  <si>
    <t>desajuizar</t>
  </si>
  <si>
    <t>desaparelhar</t>
  </si>
  <si>
    <t>desapoiar</t>
  </si>
  <si>
    <t>desaprazer</t>
  </si>
  <si>
    <t>desapreçar</t>
  </si>
  <si>
    <t>desassemelhar</t>
  </si>
  <si>
    <t>desavexar</t>
  </si>
  <si>
    <t>desavir</t>
  </si>
  <si>
    <t>descaber</t>
  </si>
  <si>
    <t>descair</t>
  </si>
  <si>
    <t>descingir</t>
  </si>
  <si>
    <t>descobrir</t>
  </si>
  <si>
    <t>descolorir</t>
  </si>
  <si>
    <t>descomedir</t>
  </si>
  <si>
    <t>descompor</t>
  </si>
  <si>
    <t>descomprazer</t>
  </si>
  <si>
    <t>desconfranger</t>
  </si>
  <si>
    <t>desconsentir</t>
  </si>
  <si>
    <t>desconvir</t>
  </si>
  <si>
    <t>descrer</t>
  </si>
  <si>
    <t>descrever</t>
  </si>
  <si>
    <t>desdar</t>
  </si>
  <si>
    <t>desdizer</t>
  </si>
  <si>
    <t>desembaular</t>
  </si>
  <si>
    <t>desemparelhar</t>
  </si>
  <si>
    <t>desempeçar</t>
  </si>
  <si>
    <t>desempedernir</t>
  </si>
  <si>
    <t>desemcabeçar</t>
  </si>
  <si>
    <t>desencobrir</t>
  </si>
  <si>
    <t>engolir</t>
  </si>
  <si>
    <t>desengolir</t>
  </si>
  <si>
    <t>desenraizar</t>
  </si>
  <si>
    <t>desentupir</t>
  </si>
  <si>
    <t>entupir</t>
  </si>
  <si>
    <t>desfazer</t>
  </si>
  <si>
    <t>desfechar</t>
  </si>
  <si>
    <t>desferir</t>
  </si>
  <si>
    <t>desflorir</t>
  </si>
  <si>
    <t>desfrangir</t>
  </si>
  <si>
    <t>desfrechar</t>
  </si>
  <si>
    <t>desfruir</t>
  </si>
  <si>
    <t>desgadelhar</t>
  </si>
  <si>
    <t>desguedelhar</t>
  </si>
  <si>
    <t>desimpedir</t>
  </si>
  <si>
    <t>desinfluir</t>
  </si>
  <si>
    <t>desinvestir</t>
  </si>
  <si>
    <t>desjuizar</t>
  </si>
  <si>
    <t>desjungir</t>
  </si>
  <si>
    <t>desluzir</t>
  </si>
  <si>
    <t>desmedir</t>
  </si>
  <si>
    <t>desmentir</t>
  </si>
  <si>
    <t>desmiudar</t>
  </si>
  <si>
    <t>desmobiliar</t>
  </si>
  <si>
    <t>desobstruir</t>
  </si>
  <si>
    <t>desorelhar</t>
  </si>
  <si>
    <t>despargir</t>
  </si>
  <si>
    <t>despavorir</t>
  </si>
  <si>
    <t>despedir</t>
  </si>
  <si>
    <t>despertar</t>
  </si>
  <si>
    <t>despir</t>
  </si>
  <si>
    <t>despolir</t>
  </si>
  <si>
    <t>despoluir</t>
  </si>
  <si>
    <t>despossuir</t>
  </si>
  <si>
    <t>desprazer</t>
  </si>
  <si>
    <t>desprecaver</t>
  </si>
  <si>
    <t>desprevenir</t>
  </si>
  <si>
    <t>desprover</t>
  </si>
  <si>
    <t>desquerer</t>
  </si>
  <si>
    <t>desremediar</t>
  </si>
  <si>
    <t>desrevestir</t>
  </si>
  <si>
    <t>dessaber</t>
  </si>
  <si>
    <t>dessaudar</t>
  </si>
  <si>
    <t>desseguir</t>
  </si>
  <si>
    <t>dessemelhar</t>
  </si>
  <si>
    <t>dessentir</t>
  </si>
  <si>
    <t>desservir</t>
  </si>
  <si>
    <t>dessumir</t>
  </si>
  <si>
    <t>destelhar</t>
  </si>
  <si>
    <t>destingir</t>
  </si>
  <si>
    <t>destituir</t>
  </si>
  <si>
    <t>destorcer</t>
  </si>
  <si>
    <t>destrambelhar</t>
  </si>
  <si>
    <t>destruir</t>
  </si>
  <si>
    <t>desvair</t>
  </si>
  <si>
    <t>desvaler</t>
  </si>
  <si>
    <t>desvestir</t>
  </si>
  <si>
    <t>detergir</t>
  </si>
  <si>
    <t>detrair</t>
  </si>
  <si>
    <t>devenir</t>
  </si>
  <si>
    <t>devir</t>
  </si>
  <si>
    <t>diferir</t>
  </si>
  <si>
    <t>difluir</t>
  </si>
  <si>
    <t>digerir</t>
  </si>
  <si>
    <t>digestir</t>
  </si>
  <si>
    <t>diluir</t>
  </si>
  <si>
    <t>diminuir</t>
  </si>
  <si>
    <t>diruir</t>
  </si>
  <si>
    <t>discernir</t>
  </si>
  <si>
    <t>disferir</t>
  </si>
  <si>
    <t>disjungir</t>
  </si>
  <si>
    <t>disperder</t>
  </si>
  <si>
    <t>dispor</t>
  </si>
  <si>
    <t>dissentir</t>
  </si>
  <si>
    <t>distinguir</t>
  </si>
  <si>
    <t>distrair</t>
  </si>
  <si>
    <t>divergir</t>
  </si>
  <si>
    <t>divertir</t>
  </si>
  <si>
    <t>dormir</t>
  </si>
  <si>
    <t>ENGOLIR</t>
  </si>
  <si>
    <t>DORMIR</t>
  </si>
  <si>
    <t>urmo</t>
  </si>
  <si>
    <t>urma</t>
  </si>
  <si>
    <t>urmas</t>
  </si>
  <si>
    <t>urmamos</t>
  </si>
  <si>
    <t>urmais</t>
  </si>
  <si>
    <t>urmam</t>
  </si>
  <si>
    <t>ENTUPIR</t>
  </si>
  <si>
    <t>opes</t>
  </si>
  <si>
    <t>ope</t>
  </si>
  <si>
    <t>opem</t>
  </si>
  <si>
    <t>ispo</t>
  </si>
  <si>
    <t>ispa</t>
  </si>
  <si>
    <t>ispas</t>
  </si>
  <si>
    <t>ispamos</t>
  </si>
  <si>
    <t>ispais</t>
  </si>
  <si>
    <t>ispam</t>
  </si>
  <si>
    <t>ebulir</t>
  </si>
  <si>
    <t>eclodir</t>
  </si>
  <si>
    <t>eduzir</t>
  </si>
  <si>
    <t>efluir</t>
  </si>
  <si>
    <t>eluir</t>
  </si>
  <si>
    <t>embair</t>
  </si>
  <si>
    <t>embaucar</t>
  </si>
  <si>
    <t>embaular</t>
  </si>
  <si>
    <t>emboizar</t>
  </si>
  <si>
    <t>embotelhar</t>
  </si>
  <si>
    <t>embrechar</t>
  </si>
  <si>
    <t>embuizar</t>
  </si>
  <si>
    <t>emolir</t>
  </si>
  <si>
    <t>emparelhar</t>
  </si>
  <si>
    <t>empeçar</t>
  </si>
  <si>
    <t>empedernir</t>
  </si>
  <si>
    <t>empipocar</t>
  </si>
  <si>
    <t>emputecer</t>
  </si>
  <si>
    <t>encalamechar</t>
  </si>
  <si>
    <t>enciumar</t>
  </si>
  <si>
    <t>encobrir</t>
  </si>
  <si>
    <t>encorrugir</t>
  </si>
  <si>
    <t>ecortelhar</t>
  </si>
  <si>
    <t>encravelhar</t>
  </si>
  <si>
    <t>endechar</t>
  </si>
  <si>
    <t>endereçar</t>
  </si>
  <si>
    <t>enfrutar</t>
  </si>
  <si>
    <t>engadelhar</t>
  </si>
  <si>
    <t>engelhar</t>
  </si>
  <si>
    <t>enrelhar</t>
  </si>
  <si>
    <t>enresmar</t>
  </si>
  <si>
    <t>entanguir</t>
  </si>
  <si>
    <t>entreabrir</t>
  </si>
  <si>
    <t>entrechar</t>
  </si>
  <si>
    <t>entredizer</t>
  </si>
  <si>
    <t>entrefechar</t>
  </si>
  <si>
    <t>entreluzir</t>
  </si>
  <si>
    <t>entreouvir</t>
  </si>
  <si>
    <t>entrepor</t>
  </si>
  <si>
    <t>entrequerer</t>
  </si>
  <si>
    <t>entreter</t>
  </si>
  <si>
    <t>entrever</t>
  </si>
  <si>
    <t>envermelhar</t>
  </si>
  <si>
    <t>envessar</t>
  </si>
  <si>
    <t>enviuvar</t>
  </si>
  <si>
    <t>envolver</t>
  </si>
  <si>
    <t>enxaguar</t>
  </si>
  <si>
    <t>enxerir</t>
  </si>
  <si>
    <t>equivaler</t>
  </si>
  <si>
    <t>erigir</t>
  </si>
  <si>
    <t>esbaforir</t>
  </si>
  <si>
    <t>escapulir</t>
  </si>
  <si>
    <t>escaravelhar</t>
  </si>
  <si>
    <t>escarnir</t>
  </si>
  <si>
    <t>esfazer</t>
  </si>
  <si>
    <t>esgadelhar</t>
  </si>
  <si>
    <t>esguedelhar</t>
  </si>
  <si>
    <t>esguelhar</t>
  </si>
  <si>
    <t>esmechar</t>
  </si>
  <si>
    <t>esmiudar</t>
  </si>
  <si>
    <t>esmoer</t>
  </si>
  <si>
    <t>espargir</t>
  </si>
  <si>
    <t>esparzir</t>
  </si>
  <si>
    <t>espavorir</t>
  </si>
  <si>
    <t>espeçar</t>
  </si>
  <si>
    <t>espelhar</t>
  </si>
  <si>
    <t>espipocar</t>
  </si>
  <si>
    <t>espocar</t>
  </si>
  <si>
    <t>estatuir</t>
  </si>
  <si>
    <t>estrigir</t>
  </si>
  <si>
    <t>estringir</t>
  </si>
  <si>
    <t>estrugir</t>
  </si>
  <si>
    <t>estruir</t>
  </si>
  <si>
    <t>estupefazer</t>
  </si>
  <si>
    <t>esvair</t>
  </si>
  <si>
    <t>evoluir</t>
  </si>
  <si>
    <t>exaurir</t>
  </si>
  <si>
    <t>exceler</t>
  </si>
  <si>
    <t>excelir</t>
  </si>
  <si>
    <t>excluir</t>
  </si>
  <si>
    <t>exigir</t>
  </si>
  <si>
    <t>exinanir</t>
  </si>
  <si>
    <t>expedir</t>
  </si>
  <si>
    <t>expelir</t>
  </si>
  <si>
    <t>explodir</t>
  </si>
  <si>
    <t>expluir</t>
  </si>
  <si>
    <t>expor</t>
  </si>
  <si>
    <t>expressar</t>
  </si>
  <si>
    <t>exprimir</t>
  </si>
  <si>
    <t>expulsar</t>
  </si>
  <si>
    <t>expungir</t>
  </si>
  <si>
    <t>exsurgir</t>
  </si>
  <si>
    <t>extorquir</t>
  </si>
  <si>
    <t>extrair</t>
  </si>
  <si>
    <t>extrapor</t>
  </si>
  <si>
    <t>úco</t>
  </si>
  <si>
    <t>úcas</t>
  </si>
  <si>
    <t>úca</t>
  </si>
  <si>
    <t>úcam</t>
  </si>
  <si>
    <t>úquem</t>
  </si>
  <si>
    <t>úque</t>
  </si>
  <si>
    <t>úques</t>
  </si>
  <si>
    <t>uquemos</t>
  </si>
  <si>
    <t>uqueis</t>
  </si>
  <si>
    <t>EMBAUCAR</t>
  </si>
  <si>
    <t>Defectivo 6</t>
  </si>
  <si>
    <t>Verbos que não constam do dicionário serão tratadas como regulares.</t>
  </si>
  <si>
    <t>aflito</t>
  </si>
  <si>
    <t>reeleito</t>
  </si>
  <si>
    <t>antepago</t>
  </si>
  <si>
    <t>pago</t>
  </si>
  <si>
    <t>pego</t>
  </si>
  <si>
    <t>antepagado</t>
  </si>
  <si>
    <t>pagado</t>
  </si>
  <si>
    <t>pegado</t>
  </si>
  <si>
    <t>Particípio regular</t>
  </si>
  <si>
    <t>Particípio irregular</t>
  </si>
  <si>
    <t>entregado</t>
  </si>
  <si>
    <t>sujeitado</t>
  </si>
  <si>
    <t>avido</t>
  </si>
  <si>
    <t>entregue</t>
  </si>
  <si>
    <t>prendido</t>
  </si>
  <si>
    <t>preso</t>
  </si>
  <si>
    <t>afeito</t>
  </si>
  <si>
    <t>contrafeito</t>
  </si>
  <si>
    <t>desafeito</t>
  </si>
  <si>
    <t>desfeito</t>
  </si>
  <si>
    <t>esfeito</t>
  </si>
  <si>
    <t>estupefeito</t>
  </si>
  <si>
    <t>feito</t>
  </si>
  <si>
    <t>gelifeito</t>
  </si>
  <si>
    <t>liquefeito</t>
  </si>
  <si>
    <t>malfeito</t>
  </si>
  <si>
    <t>perfeito</t>
  </si>
  <si>
    <t>rarefeito</t>
  </si>
  <si>
    <t>refeito</t>
  </si>
  <si>
    <t>satisfeito</t>
  </si>
  <si>
    <t>torrefeito</t>
  </si>
  <si>
    <t>transfeito</t>
  </si>
  <si>
    <t>tumefeito</t>
  </si>
  <si>
    <t>anteposto</t>
  </si>
  <si>
    <t>aposto</t>
  </si>
  <si>
    <t>composto</t>
  </si>
  <si>
    <t>contraposto</t>
  </si>
  <si>
    <t>contraproposto</t>
  </si>
  <si>
    <t>decomposto</t>
  </si>
  <si>
    <t>deposto</t>
  </si>
  <si>
    <t>descomposto</t>
  </si>
  <si>
    <t>disposto</t>
  </si>
  <si>
    <t>entreposto</t>
  </si>
  <si>
    <t>exposto</t>
  </si>
  <si>
    <t>extraposto</t>
  </si>
  <si>
    <t>imposto</t>
  </si>
  <si>
    <t>indisposto</t>
  </si>
  <si>
    <t>interposto</t>
  </si>
  <si>
    <t>justaposto</t>
  </si>
  <si>
    <t>oposto</t>
  </si>
  <si>
    <t>posto</t>
  </si>
  <si>
    <t>posposto</t>
  </si>
  <si>
    <t>predisposto</t>
  </si>
  <si>
    <t>preposto</t>
  </si>
  <si>
    <t>pressuposto</t>
  </si>
  <si>
    <t>proposto</t>
  </si>
  <si>
    <t>recomposto</t>
  </si>
  <si>
    <t>reimposto</t>
  </si>
  <si>
    <t>reposto</t>
  </si>
  <si>
    <t>reproposto</t>
  </si>
  <si>
    <t>sobposto</t>
  </si>
  <si>
    <t>sobreposto</t>
  </si>
  <si>
    <t>sotoposto</t>
  </si>
  <si>
    <t>subposto</t>
  </si>
  <si>
    <t>superposto</t>
  </si>
  <si>
    <t>suposto</t>
  </si>
  <si>
    <t>transposto</t>
  </si>
  <si>
    <t>abluído</t>
  </si>
  <si>
    <t>abnuído</t>
  </si>
  <si>
    <t>afluído</t>
  </si>
  <si>
    <t>aluído</t>
  </si>
  <si>
    <t>apossuído</t>
  </si>
  <si>
    <t>atribuído</t>
  </si>
  <si>
    <t>circunfluído</t>
  </si>
  <si>
    <t>cominuído</t>
  </si>
  <si>
    <t>concluído</t>
  </si>
  <si>
    <t>confluído</t>
  </si>
  <si>
    <t>constituído</t>
  </si>
  <si>
    <t>contribuído</t>
  </si>
  <si>
    <t>defluído</t>
  </si>
  <si>
    <t>derruído</t>
  </si>
  <si>
    <t>desfruído</t>
  </si>
  <si>
    <t>desinfluído</t>
  </si>
  <si>
    <t>desobstruído</t>
  </si>
  <si>
    <t>despoluído</t>
  </si>
  <si>
    <t>despossuído</t>
  </si>
  <si>
    <t>destituído</t>
  </si>
  <si>
    <t>destruído</t>
  </si>
  <si>
    <t>difluído</t>
  </si>
  <si>
    <t>diluído</t>
  </si>
  <si>
    <t>diminuído</t>
  </si>
  <si>
    <t>diruído</t>
  </si>
  <si>
    <t>efluído</t>
  </si>
  <si>
    <t>eluído</t>
  </si>
  <si>
    <t>estatuído</t>
  </si>
  <si>
    <t>estruído</t>
  </si>
  <si>
    <t>evoluído</t>
  </si>
  <si>
    <t>excluído</t>
  </si>
  <si>
    <t>expluído</t>
  </si>
  <si>
    <t>fluído</t>
  </si>
  <si>
    <t>fruído</t>
  </si>
  <si>
    <t>imbuído</t>
  </si>
  <si>
    <t>influído</t>
  </si>
  <si>
    <t>instituído</t>
  </si>
  <si>
    <t>instruído</t>
  </si>
  <si>
    <t>intuído</t>
  </si>
  <si>
    <t>minuído</t>
  </si>
  <si>
    <t>obstruído</t>
  </si>
  <si>
    <t>ocluído</t>
  </si>
  <si>
    <t>poluído</t>
  </si>
  <si>
    <t>possuído</t>
  </si>
  <si>
    <t>promiscuído</t>
  </si>
  <si>
    <t>prostituído</t>
  </si>
  <si>
    <t>recluído</t>
  </si>
  <si>
    <t>reconstituído</t>
  </si>
  <si>
    <t>reconstruído</t>
  </si>
  <si>
    <t>redistribuído</t>
  </si>
  <si>
    <t>refluído</t>
  </si>
  <si>
    <t>renuído</t>
  </si>
  <si>
    <t>repossuído</t>
  </si>
  <si>
    <t>restituído</t>
  </si>
  <si>
    <t>retribuído</t>
  </si>
  <si>
    <t>substituído</t>
  </si>
  <si>
    <t>usufruído</t>
  </si>
  <si>
    <t>zuído</t>
  </si>
  <si>
    <t>intervisto</t>
  </si>
  <si>
    <t>revisto</t>
  </si>
  <si>
    <t>visto</t>
  </si>
  <si>
    <t>contravindo</t>
  </si>
  <si>
    <t>convindo</t>
  </si>
  <si>
    <t>desavindo</t>
  </si>
  <si>
    <t>desconvindo</t>
  </si>
  <si>
    <t>devindo</t>
  </si>
  <si>
    <t>intervindo</t>
  </si>
  <si>
    <t>obvindo</t>
  </si>
  <si>
    <t>provindo</t>
  </si>
  <si>
    <t>reconvindo</t>
  </si>
  <si>
    <t>revindo</t>
  </si>
  <si>
    <t>sobrevindo</t>
  </si>
  <si>
    <t>vindo</t>
  </si>
  <si>
    <t>sobrescrito</t>
  </si>
  <si>
    <t>sujeito</t>
  </si>
  <si>
    <t>surpreendido</t>
  </si>
  <si>
    <t>surpreso</t>
  </si>
  <si>
    <t>ruído</t>
  </si>
  <si>
    <t>embaído</t>
  </si>
  <si>
    <t>incluso</t>
  </si>
  <si>
    <t>incluído</t>
  </si>
  <si>
    <t>advindo</t>
  </si>
  <si>
    <t>antevisto</t>
  </si>
  <si>
    <t>televisto</t>
  </si>
  <si>
    <t>circunvisto</t>
  </si>
  <si>
    <t>entrevisto</t>
  </si>
  <si>
    <t>previsto</t>
  </si>
  <si>
    <t>inserido</t>
  </si>
  <si>
    <t>emergido</t>
  </si>
  <si>
    <t>inserto</t>
  </si>
  <si>
    <t>bendito</t>
  </si>
  <si>
    <t>condito</t>
  </si>
  <si>
    <t>desdito</t>
  </si>
  <si>
    <t>maldito</t>
  </si>
  <si>
    <t>predito</t>
  </si>
  <si>
    <t>envolto</t>
  </si>
  <si>
    <t>reinserido</t>
  </si>
  <si>
    <t>imergido</t>
  </si>
  <si>
    <t>submergido</t>
  </si>
  <si>
    <t>reinserto</t>
  </si>
  <si>
    <t>entredito</t>
  </si>
  <si>
    <t>interdito</t>
  </si>
  <si>
    <t>antedito</t>
  </si>
  <si>
    <t>dito</t>
  </si>
  <si>
    <t>contradito</t>
  </si>
  <si>
    <t>redito</t>
  </si>
  <si>
    <t>volto</t>
  </si>
  <si>
    <t>aceito</t>
  </si>
  <si>
    <t>desperto</t>
  </si>
  <si>
    <t>gasto</t>
  </si>
  <si>
    <t>malgasto</t>
  </si>
  <si>
    <t>defendido</t>
  </si>
  <si>
    <t>envolvido</t>
  </si>
  <si>
    <t>defeso</t>
  </si>
  <si>
    <t>emerso</t>
  </si>
  <si>
    <t>imerso</t>
  </si>
  <si>
    <t>submerso</t>
  </si>
  <si>
    <t>suspendido</t>
  </si>
  <si>
    <t>volvido</t>
  </si>
  <si>
    <t>enchido</t>
  </si>
  <si>
    <t>suspenso</t>
  </si>
  <si>
    <t>adscrito</t>
  </si>
  <si>
    <t>descrito</t>
  </si>
  <si>
    <t>inscrito</t>
  </si>
  <si>
    <t>circunscrito</t>
  </si>
  <si>
    <t>escrito</t>
  </si>
  <si>
    <t>manuscrito</t>
  </si>
  <si>
    <t>prescrito</t>
  </si>
  <si>
    <t>proscrito</t>
  </si>
  <si>
    <t>reescrito</t>
  </si>
  <si>
    <t>reinscrito</t>
  </si>
  <si>
    <t>rescrito</t>
  </si>
  <si>
    <t>subscrito</t>
  </si>
  <si>
    <t>impresso</t>
  </si>
  <si>
    <t>imprimido</t>
  </si>
  <si>
    <t>opresso</t>
  </si>
  <si>
    <t>oprimido</t>
  </si>
  <si>
    <t>supresso</t>
  </si>
  <si>
    <t>suprimido</t>
  </si>
  <si>
    <t>expulsado</t>
  </si>
  <si>
    <t>ganhado</t>
  </si>
  <si>
    <t>gastado</t>
  </si>
  <si>
    <t>pasmado</t>
  </si>
  <si>
    <t>aberto</t>
  </si>
  <si>
    <t>desaberto</t>
  </si>
  <si>
    <t>entreaberto</t>
  </si>
  <si>
    <t>reaberto</t>
  </si>
  <si>
    <t>soaberto</t>
  </si>
  <si>
    <t>aceitado</t>
  </si>
  <si>
    <t>expresso</t>
  </si>
  <si>
    <t>ganho</t>
  </si>
  <si>
    <t>pasmo</t>
  </si>
  <si>
    <t>expressado</t>
  </si>
  <si>
    <t>malgastado</t>
  </si>
  <si>
    <t>expulso</t>
  </si>
  <si>
    <t>enxugado</t>
  </si>
  <si>
    <t>enxuto</t>
  </si>
  <si>
    <t>limpar</t>
  </si>
  <si>
    <t>limpado</t>
  </si>
  <si>
    <t>limpo</t>
  </si>
  <si>
    <t>erigido</t>
  </si>
  <si>
    <t>ereto</t>
  </si>
  <si>
    <t>elegido</t>
  </si>
  <si>
    <t>eleito</t>
  </si>
  <si>
    <t>desenvolver</t>
  </si>
  <si>
    <t>desenvolvido</t>
  </si>
  <si>
    <t>desenvolto</t>
  </si>
  <si>
    <t>acender</t>
  </si>
  <si>
    <t>acendido</t>
  </si>
  <si>
    <t>aceso</t>
  </si>
  <si>
    <t>frigido</t>
  </si>
  <si>
    <t>frito</t>
  </si>
  <si>
    <t>findar</t>
  </si>
  <si>
    <t>findado</t>
  </si>
  <si>
    <t>findo</t>
  </si>
  <si>
    <t>fixar</t>
  </si>
  <si>
    <t>fixado</t>
  </si>
  <si>
    <t>fixo</t>
  </si>
  <si>
    <t>fritar</t>
  </si>
  <si>
    <t>fritado</t>
  </si>
  <si>
    <t>matar</t>
  </si>
  <si>
    <t>matado</t>
  </si>
  <si>
    <t>morto</t>
  </si>
  <si>
    <t>eto</t>
  </si>
  <si>
    <t>DESPROVER</t>
  </si>
  <si>
    <t>ue</t>
  </si>
  <si>
    <t>orto</t>
  </si>
  <si>
    <t>salvar</t>
  </si>
  <si>
    <t>morrer</t>
  </si>
  <si>
    <t>exprimido</t>
  </si>
  <si>
    <t>expelido</t>
  </si>
  <si>
    <t>ulso</t>
  </si>
  <si>
    <t>isentar</t>
  </si>
  <si>
    <t>isentado</t>
  </si>
  <si>
    <t>isento</t>
  </si>
  <si>
    <t>soltar</t>
  </si>
  <si>
    <t>soltado</t>
  </si>
  <si>
    <t>solto</t>
  </si>
  <si>
    <t>benzer</t>
  </si>
  <si>
    <t>benzido</t>
  </si>
  <si>
    <t>bento</t>
  </si>
  <si>
    <t>incorrer</t>
  </si>
  <si>
    <t>urso</t>
  </si>
  <si>
    <t>romper</t>
  </si>
  <si>
    <t>omitir</t>
  </si>
  <si>
    <t>coberto</t>
  </si>
  <si>
    <t>vagado</t>
  </si>
  <si>
    <t>vago</t>
  </si>
  <si>
    <t>anexado</t>
  </si>
  <si>
    <t>anexo</t>
  </si>
  <si>
    <t>anexar</t>
  </si>
  <si>
    <t>assentar</t>
  </si>
  <si>
    <t>assente</t>
  </si>
  <si>
    <t>assentado</t>
  </si>
  <si>
    <t>dispersar</t>
  </si>
  <si>
    <t>distinguido</t>
  </si>
  <si>
    <t>distinto</t>
  </si>
  <si>
    <t>extinguido</t>
  </si>
  <si>
    <t>extinto</t>
  </si>
  <si>
    <t>juntar</t>
  </si>
  <si>
    <t>bemquerer</t>
  </si>
  <si>
    <t>bem-querer</t>
  </si>
  <si>
    <t>bem-querido</t>
  </si>
  <si>
    <t>bem-quisto</t>
  </si>
  <si>
    <t>malquerido</t>
  </si>
  <si>
    <t>malquisto</t>
  </si>
  <si>
    <t>murchar</t>
  </si>
  <si>
    <t>ocultar</t>
  </si>
  <si>
    <t>ocultado</t>
  </si>
  <si>
    <t>oculto</t>
  </si>
  <si>
    <t>omitido</t>
  </si>
  <si>
    <t>omisso</t>
  </si>
  <si>
    <t>rompido</t>
  </si>
  <si>
    <t>roto</t>
  </si>
  <si>
    <t>segurar</t>
  </si>
  <si>
    <t>segurado</t>
  </si>
  <si>
    <t>seguro</t>
  </si>
  <si>
    <t>sepultar</t>
  </si>
  <si>
    <t>sepultado</t>
  </si>
  <si>
    <t>sepulto</t>
  </si>
  <si>
    <t>tingido</t>
  </si>
  <si>
    <t>tinto</t>
  </si>
  <si>
    <t>prover</t>
  </si>
  <si>
    <t>PROVER</t>
  </si>
  <si>
    <t/>
  </si>
  <si>
    <t>Versão 1.2.1</t>
  </si>
  <si>
    <t>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</si>
</sst>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Fill="1" applyBorder="1" applyAlignment="1" applyProtection="1">
      <alignment horizontal="center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7" fillId="0" borderId="0" xfId="0" applyFont="1" applyAlignment="1" applyProtection="1">
      <alignment vertical="center"/>
      <protection hidden="1"/>
    </xf>
    <xf numFmtId="0" fontId="0" fillId="2" borderId="0" xfId="0" applyFill="1" applyProtection="1">
      <protection hidden="1"/>
    </xf>
    <xf numFmtId="0" fontId="3" fillId="3" borderId="0" xfId="0" applyFont="1" applyFill="1" applyAlignment="1" applyProtection="1">
      <alignment horizontal="center" vertical="center" wrapText="1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3" fillId="3" borderId="0" xfId="0" applyFont="1" applyFill="1" applyAlignment="1" applyProtection="1">
      <alignment horizontal="center" wrapText="1"/>
      <protection hidden="1"/>
    </xf>
    <xf numFmtId="0" fontId="0" fillId="4" borderId="0" xfId="0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right" indent="1"/>
      <protection hidden="1"/>
    </xf>
    <xf numFmtId="0" fontId="0" fillId="4" borderId="0" xfId="0" applyFill="1" applyProtection="1">
      <protection hidden="1"/>
    </xf>
    <xf numFmtId="0" fontId="0" fillId="4" borderId="0" xfId="0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left"/>
      <protection hidden="1"/>
    </xf>
    <xf numFmtId="0" fontId="0" fillId="2" borderId="0" xfId="0" applyFill="1" applyAlignment="1" applyProtection="1">
      <alignment horizontal="right"/>
      <protection hidden="1"/>
    </xf>
    <xf numFmtId="0" fontId="2" fillId="2" borderId="0" xfId="0" applyFont="1" applyFill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hidden="1"/>
    </xf>
    <xf numFmtId="0" fontId="2" fillId="2" borderId="0" xfId="0" applyFont="1" applyFill="1" applyAlignment="1" applyProtection="1">
      <alignment horizontal="center"/>
      <protection hidden="1"/>
    </xf>
    <xf numFmtId="9" fontId="0" fillId="2" borderId="0" xfId="0" applyNumberFormat="1" applyFill="1" applyAlignment="1" applyProtection="1">
      <alignment horizontal="left"/>
      <protection hidden="1"/>
    </xf>
    <xf numFmtId="0" fontId="0" fillId="4" borderId="0" xfId="0" applyFill="1" applyAlignment="1" applyProtection="1">
      <alignment horizontal="right"/>
      <protection hidden="1"/>
    </xf>
    <xf numFmtId="0" fontId="7" fillId="0" borderId="0" xfId="0" applyFont="1" applyProtection="1">
      <protection hidden="1"/>
    </xf>
    <xf numFmtId="9" fontId="0" fillId="2" borderId="0" xfId="0" applyNumberFormat="1" applyFill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wrapText="1"/>
      <protection hidden="1"/>
    </xf>
    <xf numFmtId="0" fontId="0" fillId="0" borderId="0" xfId="0" applyAlignment="1" applyProtection="1">
      <protection hidden="1"/>
    </xf>
    <xf numFmtId="0" fontId="0" fillId="0" borderId="0" xfId="0" applyNumberFormat="1" applyProtection="1">
      <protection hidden="1"/>
    </xf>
    <xf numFmtId="0" fontId="0" fillId="0" borderId="0" xfId="0" quotePrefix="1" applyProtection="1">
      <protection hidden="1"/>
    </xf>
    <xf numFmtId="9" fontId="0" fillId="0" borderId="0" xfId="1" applyFont="1" applyProtection="1">
      <protection hidden="1"/>
    </xf>
    <xf numFmtId="0" fontId="0" fillId="0" borderId="0" xfId="0" quotePrefix="1" applyAlignment="1" applyProtection="1">
      <alignment horizontal="center"/>
      <protection hidden="1"/>
    </xf>
    <xf numFmtId="0" fontId="3" fillId="5" borderId="0" xfId="0" applyFont="1" applyFill="1"/>
    <xf numFmtId="0" fontId="1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</cellXfs>
  <cellStyles count="2">
    <cellStyle name="Normal" xfId="0" builtinId="0"/>
    <cellStyle name="Porcentagem" xfId="1" builtinId="5"/>
  </cellStyles>
  <dxfs count="272"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left" vertical="bottom" textRotation="0" wrapText="0" indent="0" justifyLastLine="0" shrinkToFit="0" readingOrder="0"/>
      <protection locked="1" hidden="1"/>
    </dxf>
    <dxf>
      <numFmt numFmtId="0" formatCode="General"/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adames.manosso.nom.br/bitabi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9</xdr:col>
      <xdr:colOff>114300</xdr:colOff>
      <xdr:row>1</xdr:row>
      <xdr:rowOff>345948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6E608-771D-4452-A69F-E2E6F27F8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0"/>
          <a:ext cx="1619250" cy="6412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rregulares" displayName="irregulares" ref="A1:C3528" totalsRowShown="0" headerRowDxfId="271" dataDxfId="270">
  <autoFilter ref="A1:C3528" xr:uid="{00000000-0009-0000-0100-000003000000}"/>
  <sortState xmlns:xlrd2="http://schemas.microsoft.com/office/spreadsheetml/2017/richdata2" ref="A2:C3508">
    <sortCondition ref="A1:A3508"/>
  </sortState>
  <tableColumns count="3">
    <tableColumn id="1" xr3:uid="{00000000-0010-0000-0000-000001000000}" name="Verbo" dataDxfId="269"/>
    <tableColumn id="2" xr3:uid="{00000000-0010-0000-0000-000002000000}" name="Similar a" dataDxfId="268"/>
    <tableColumn id="3" xr3:uid="{00000000-0010-0000-0000-000003000000}" name="Padrão" dataDxfId="267">
      <calculatedColumnFormula>VLOOKUP(irregulares[[#This Row],[Similar a]],padroes[],2,0)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droes" displayName="padroes" ref="A1:EB163" totalsRowCount="1" headerRowDxfId="266" dataDxfId="265" totalsRowDxfId="264">
  <autoFilter ref="A1:EB162" xr:uid="{00000000-0009-0000-0100-000002000000}"/>
  <sortState xmlns:xlrd2="http://schemas.microsoft.com/office/spreadsheetml/2017/richdata2" ref="A2:EB162">
    <sortCondition ref="A1:A162"/>
  </sortState>
  <tableColumns count="132">
    <tableColumn id="1" xr3:uid="{00000000-0010-0000-0100-000001000000}" name="Verbo" totalsRowLabel="Total" dataDxfId="263" totalsRowDxfId="131"/>
    <tableColumn id="2" xr3:uid="{00000000-0010-0000-0100-000002000000}" name="Padrão" dataDxfId="262" totalsRowDxfId="130"/>
    <tableColumn id="3" xr3:uid="{00000000-0010-0000-0100-000003000000}" name="Coluna3" dataDxfId="261" totalsRowDxfId="129"/>
    <tableColumn id="4" xr3:uid="{00000000-0010-0000-0100-000004000000}" name="1" totalsRowFunction="count" dataDxfId="260" totalsRowDxfId="128"/>
    <tableColumn id="5" xr3:uid="{00000000-0010-0000-0100-000005000000}" name="Coluna5" dataDxfId="259" totalsRowDxfId="127"/>
    <tableColumn id="6" xr3:uid="{00000000-0010-0000-0100-000006000000}" name="2" totalsRowFunction="count" dataDxfId="258" totalsRowDxfId="126"/>
    <tableColumn id="7" xr3:uid="{00000000-0010-0000-0100-000007000000}" name="Coluna7" dataDxfId="257" totalsRowDxfId="125"/>
    <tableColumn id="8" xr3:uid="{00000000-0010-0000-0100-000008000000}" name="3" totalsRowFunction="count" dataDxfId="256" totalsRowDxfId="124"/>
    <tableColumn id="9" xr3:uid="{00000000-0010-0000-0100-000009000000}" name="Coluna9" dataDxfId="255" totalsRowDxfId="123"/>
    <tableColumn id="10" xr3:uid="{00000000-0010-0000-0100-00000A000000}" name="4" totalsRowFunction="count" dataDxfId="254" totalsRowDxfId="122"/>
    <tableColumn id="11" xr3:uid="{00000000-0010-0000-0100-00000B000000}" name="Coluna11" dataDxfId="253" totalsRowDxfId="121"/>
    <tableColumn id="12" xr3:uid="{00000000-0010-0000-0100-00000C000000}" name="5" totalsRowFunction="count" dataDxfId="252" totalsRowDxfId="120"/>
    <tableColumn id="13" xr3:uid="{00000000-0010-0000-0100-00000D000000}" name="Coluna13" dataDxfId="251" totalsRowDxfId="119"/>
    <tableColumn id="14" xr3:uid="{00000000-0010-0000-0100-00000E000000}" name="6" totalsRowFunction="count" dataDxfId="250" totalsRowDxfId="118"/>
    <tableColumn id="15" xr3:uid="{00000000-0010-0000-0100-00000F000000}" name="Coluna15" dataDxfId="249" totalsRowDxfId="117"/>
    <tableColumn id="16" xr3:uid="{00000000-0010-0000-0100-000010000000}" name="7" totalsRowFunction="count" dataDxfId="248" totalsRowDxfId="116"/>
    <tableColumn id="17" xr3:uid="{00000000-0010-0000-0100-000011000000}" name="Coluna17" dataDxfId="247" totalsRowDxfId="115"/>
    <tableColumn id="18" xr3:uid="{00000000-0010-0000-0100-000012000000}" name="8" totalsRowFunction="count" dataDxfId="246" totalsRowDxfId="114"/>
    <tableColumn id="19" xr3:uid="{00000000-0010-0000-0100-000013000000}" name="Coluna19" dataDxfId="245" totalsRowDxfId="113"/>
    <tableColumn id="20" xr3:uid="{00000000-0010-0000-0100-000014000000}" name="9" totalsRowFunction="count" dataDxfId="244" totalsRowDxfId="112"/>
    <tableColumn id="21" xr3:uid="{00000000-0010-0000-0100-000015000000}" name="Coluna21" dataDxfId="243" totalsRowDxfId="111"/>
    <tableColumn id="22" xr3:uid="{00000000-0010-0000-0100-000016000000}" name="10" totalsRowFunction="count" dataDxfId="242" totalsRowDxfId="110"/>
    <tableColumn id="23" xr3:uid="{00000000-0010-0000-0100-000017000000}" name="Coluna23" dataDxfId="241" totalsRowDxfId="109"/>
    <tableColumn id="24" xr3:uid="{00000000-0010-0000-0100-000018000000}" name="11" totalsRowFunction="count" dataDxfId="240" totalsRowDxfId="108"/>
    <tableColumn id="25" xr3:uid="{00000000-0010-0000-0100-000019000000}" name="Coluna25" dataDxfId="239" totalsRowDxfId="107"/>
    <tableColumn id="26" xr3:uid="{00000000-0010-0000-0100-00001A000000}" name="12" totalsRowFunction="count" dataDxfId="238" totalsRowDxfId="106"/>
    <tableColumn id="27" xr3:uid="{00000000-0010-0000-0100-00001B000000}" name="Coluna27" dataDxfId="237" totalsRowDxfId="105"/>
    <tableColumn id="28" xr3:uid="{00000000-0010-0000-0100-00001C000000}" name="13" totalsRowFunction="count" dataDxfId="236" totalsRowDxfId="104"/>
    <tableColumn id="29" xr3:uid="{00000000-0010-0000-0100-00001D000000}" name="Coluna29" dataDxfId="235" totalsRowDxfId="103"/>
    <tableColumn id="30" xr3:uid="{00000000-0010-0000-0100-00001E000000}" name="14" totalsRowFunction="count" dataDxfId="234" totalsRowDxfId="102"/>
    <tableColumn id="31" xr3:uid="{00000000-0010-0000-0100-00001F000000}" name="Coluna31" dataDxfId="233" totalsRowDxfId="101"/>
    <tableColumn id="32" xr3:uid="{00000000-0010-0000-0100-000020000000}" name="15" totalsRowFunction="count" dataDxfId="232" totalsRowDxfId="100"/>
    <tableColumn id="33" xr3:uid="{00000000-0010-0000-0100-000021000000}" name="Coluna33" dataDxfId="231" totalsRowDxfId="99"/>
    <tableColumn id="34" xr3:uid="{00000000-0010-0000-0100-000022000000}" name="16" totalsRowFunction="count" dataDxfId="230" totalsRowDxfId="98"/>
    <tableColumn id="35" xr3:uid="{00000000-0010-0000-0100-000023000000}" name="Coluna35" dataDxfId="229" totalsRowDxfId="97"/>
    <tableColumn id="36" xr3:uid="{00000000-0010-0000-0100-000024000000}" name="17" totalsRowFunction="count" dataDxfId="228" totalsRowDxfId="96"/>
    <tableColumn id="37" xr3:uid="{00000000-0010-0000-0100-000025000000}" name="Coluna37" dataDxfId="227" totalsRowDxfId="95"/>
    <tableColumn id="38" xr3:uid="{00000000-0010-0000-0100-000026000000}" name="18" totalsRowFunction="count" dataDxfId="226" totalsRowDxfId="94"/>
    <tableColumn id="39" xr3:uid="{00000000-0010-0000-0100-000027000000}" name="Coluna39" dataDxfId="225" totalsRowDxfId="93"/>
    <tableColumn id="40" xr3:uid="{00000000-0010-0000-0100-000028000000}" name="19" totalsRowFunction="count" dataDxfId="224" totalsRowDxfId="92"/>
    <tableColumn id="41" xr3:uid="{00000000-0010-0000-0100-000029000000}" name="Coluna41" dataDxfId="223" totalsRowDxfId="91"/>
    <tableColumn id="42" xr3:uid="{00000000-0010-0000-0100-00002A000000}" name="20" totalsRowFunction="count" dataDxfId="222" totalsRowDxfId="90"/>
    <tableColumn id="43" xr3:uid="{00000000-0010-0000-0100-00002B000000}" name="Coluna43" dataDxfId="221" totalsRowDxfId="89"/>
    <tableColumn id="44" xr3:uid="{00000000-0010-0000-0100-00002C000000}" name="21" totalsRowFunction="count" dataDxfId="220" totalsRowDxfId="88"/>
    <tableColumn id="45" xr3:uid="{00000000-0010-0000-0100-00002D000000}" name="Coluna45" dataDxfId="219" totalsRowDxfId="87"/>
    <tableColumn id="46" xr3:uid="{00000000-0010-0000-0100-00002E000000}" name="22" totalsRowFunction="count" dataDxfId="218" totalsRowDxfId="86"/>
    <tableColumn id="47" xr3:uid="{00000000-0010-0000-0100-00002F000000}" name="Coluna47" dataDxfId="217" totalsRowDxfId="85"/>
    <tableColumn id="48" xr3:uid="{00000000-0010-0000-0100-000030000000}" name="23" totalsRowFunction="count" dataDxfId="216" totalsRowDxfId="84"/>
    <tableColumn id="49" xr3:uid="{00000000-0010-0000-0100-000031000000}" name="Coluna49" dataDxfId="215" totalsRowDxfId="83"/>
    <tableColumn id="50" xr3:uid="{00000000-0010-0000-0100-000032000000}" name="24" totalsRowFunction="count" dataDxfId="214" totalsRowDxfId="82"/>
    <tableColumn id="51" xr3:uid="{00000000-0010-0000-0100-000033000000}" name="Coluna51" dataDxfId="213" totalsRowDxfId="81"/>
    <tableColumn id="52" xr3:uid="{00000000-0010-0000-0100-000034000000}" name="25" totalsRowFunction="count" dataDxfId="212" totalsRowDxfId="80"/>
    <tableColumn id="53" xr3:uid="{00000000-0010-0000-0100-000035000000}" name="Coluna53" dataDxfId="211" totalsRowDxfId="79"/>
    <tableColumn id="54" xr3:uid="{00000000-0010-0000-0100-000036000000}" name="26" totalsRowFunction="count" dataDxfId="210" totalsRowDxfId="78"/>
    <tableColumn id="55" xr3:uid="{00000000-0010-0000-0100-000037000000}" name="Coluna55" dataDxfId="209" totalsRowDxfId="77"/>
    <tableColumn id="56" xr3:uid="{00000000-0010-0000-0100-000038000000}" name="27" totalsRowFunction="count" dataDxfId="208" totalsRowDxfId="76"/>
    <tableColumn id="57" xr3:uid="{00000000-0010-0000-0100-000039000000}" name="Coluna57" dataDxfId="207" totalsRowDxfId="75"/>
    <tableColumn id="58" xr3:uid="{00000000-0010-0000-0100-00003A000000}" name="28" totalsRowFunction="count" dataDxfId="206" totalsRowDxfId="74"/>
    <tableColumn id="59" xr3:uid="{00000000-0010-0000-0100-00003B000000}" name="Coluna59" dataDxfId="205" totalsRowDxfId="73"/>
    <tableColumn id="60" xr3:uid="{00000000-0010-0000-0100-00003C000000}" name="29" totalsRowFunction="count" dataDxfId="204" totalsRowDxfId="72"/>
    <tableColumn id="61" xr3:uid="{00000000-0010-0000-0100-00003D000000}" name="Coluna61" dataDxfId="203" totalsRowDxfId="71"/>
    <tableColumn id="62" xr3:uid="{00000000-0010-0000-0100-00003E000000}" name="30" totalsRowFunction="count" dataDxfId="202" totalsRowDxfId="70"/>
    <tableColumn id="63" xr3:uid="{00000000-0010-0000-0100-00003F000000}" name="Coluna63" dataDxfId="201" totalsRowDxfId="69"/>
    <tableColumn id="64" xr3:uid="{00000000-0010-0000-0100-000040000000}" name="31" totalsRowFunction="count" dataDxfId="200" totalsRowDxfId="68"/>
    <tableColumn id="65" xr3:uid="{00000000-0010-0000-0100-000041000000}" name="Coluna65" dataDxfId="199" totalsRowDxfId="67"/>
    <tableColumn id="66" xr3:uid="{00000000-0010-0000-0100-000042000000}" name="32" totalsRowFunction="count" dataDxfId="198" totalsRowDxfId="66"/>
    <tableColumn id="67" xr3:uid="{00000000-0010-0000-0100-000043000000}" name="Coluna67" dataDxfId="197" totalsRowDxfId="65"/>
    <tableColumn id="68" xr3:uid="{00000000-0010-0000-0100-000044000000}" name="33" totalsRowFunction="count" dataDxfId="196" totalsRowDxfId="64"/>
    <tableColumn id="69" xr3:uid="{00000000-0010-0000-0100-000045000000}" name="Coluna69" dataDxfId="195" totalsRowDxfId="63"/>
    <tableColumn id="70" xr3:uid="{00000000-0010-0000-0100-000046000000}" name="34" totalsRowFunction="count" dataDxfId="194" totalsRowDxfId="62"/>
    <tableColumn id="71" xr3:uid="{00000000-0010-0000-0100-000047000000}" name="Coluna71" dataDxfId="193" totalsRowDxfId="61"/>
    <tableColumn id="72" xr3:uid="{00000000-0010-0000-0100-000048000000}" name="35" totalsRowFunction="count" dataDxfId="192" totalsRowDxfId="60"/>
    <tableColumn id="73" xr3:uid="{00000000-0010-0000-0100-000049000000}" name="Coluna73" dataDxfId="191" totalsRowDxfId="59"/>
    <tableColumn id="74" xr3:uid="{00000000-0010-0000-0100-00004A000000}" name="36" totalsRowFunction="count" dataDxfId="190" totalsRowDxfId="58"/>
    <tableColumn id="75" xr3:uid="{00000000-0010-0000-0100-00004B000000}" name="Coluna75" dataDxfId="189" totalsRowDxfId="57"/>
    <tableColumn id="76" xr3:uid="{00000000-0010-0000-0100-00004C000000}" name="37" totalsRowFunction="count" dataDxfId="188" totalsRowDxfId="56"/>
    <tableColumn id="77" xr3:uid="{00000000-0010-0000-0100-00004D000000}" name="Coluna77" dataDxfId="187" totalsRowDxfId="55"/>
    <tableColumn id="78" xr3:uid="{00000000-0010-0000-0100-00004E000000}" name="38" totalsRowFunction="count" dataDxfId="186" totalsRowDxfId="54"/>
    <tableColumn id="79" xr3:uid="{00000000-0010-0000-0100-00004F000000}" name="Coluna79" dataDxfId="185" totalsRowDxfId="53"/>
    <tableColumn id="80" xr3:uid="{00000000-0010-0000-0100-000050000000}" name="39" totalsRowFunction="count" dataDxfId="184" totalsRowDxfId="52"/>
    <tableColumn id="81" xr3:uid="{00000000-0010-0000-0100-000051000000}" name="Coluna81" dataDxfId="183" totalsRowDxfId="51"/>
    <tableColumn id="82" xr3:uid="{00000000-0010-0000-0100-000052000000}" name="40" totalsRowFunction="count" dataDxfId="182" totalsRowDxfId="50"/>
    <tableColumn id="83" xr3:uid="{00000000-0010-0000-0100-000053000000}" name="Coluna83" dataDxfId="181" totalsRowDxfId="49"/>
    <tableColumn id="84" xr3:uid="{00000000-0010-0000-0100-000054000000}" name="41" totalsRowFunction="count" dataDxfId="180" totalsRowDxfId="48"/>
    <tableColumn id="85" xr3:uid="{00000000-0010-0000-0100-000055000000}" name="Coluna85" dataDxfId="179" totalsRowDxfId="47"/>
    <tableColumn id="86" xr3:uid="{00000000-0010-0000-0100-000056000000}" name="42" totalsRowFunction="count" dataDxfId="178" totalsRowDxfId="46"/>
    <tableColumn id="87" xr3:uid="{00000000-0010-0000-0100-000057000000}" name="Coluna87" dataDxfId="177" totalsRowDxfId="45"/>
    <tableColumn id="88" xr3:uid="{00000000-0010-0000-0100-000058000000}" name="43" totalsRowFunction="count" dataDxfId="176" totalsRowDxfId="44"/>
    <tableColumn id="89" xr3:uid="{00000000-0010-0000-0100-000059000000}" name="Coluna89" dataDxfId="175" totalsRowDxfId="43"/>
    <tableColumn id="90" xr3:uid="{00000000-0010-0000-0100-00005A000000}" name="44" totalsRowFunction="count" dataDxfId="174" totalsRowDxfId="42"/>
    <tableColumn id="91" xr3:uid="{00000000-0010-0000-0100-00005B000000}" name="Coluna91" dataDxfId="173" totalsRowDxfId="41"/>
    <tableColumn id="92" xr3:uid="{00000000-0010-0000-0100-00005C000000}" name="45" totalsRowFunction="count" dataDxfId="172" totalsRowDxfId="40"/>
    <tableColumn id="93" xr3:uid="{00000000-0010-0000-0100-00005D000000}" name="Coluna93" dataDxfId="171" totalsRowDxfId="39"/>
    <tableColumn id="94" xr3:uid="{00000000-0010-0000-0100-00005E000000}" name="46" totalsRowFunction="count" dataDxfId="170" totalsRowDxfId="38"/>
    <tableColumn id="95" xr3:uid="{00000000-0010-0000-0100-00005F000000}" name="Coluna95" dataDxfId="169" totalsRowDxfId="37"/>
    <tableColumn id="96" xr3:uid="{00000000-0010-0000-0100-000060000000}" name="47" totalsRowFunction="count" dataDxfId="168" totalsRowDxfId="36"/>
    <tableColumn id="97" xr3:uid="{00000000-0010-0000-0100-000061000000}" name="Coluna97" dataDxfId="167" totalsRowDxfId="35"/>
    <tableColumn id="98" xr3:uid="{00000000-0010-0000-0100-000062000000}" name="48" totalsRowFunction="count" dataDxfId="166" totalsRowDxfId="34"/>
    <tableColumn id="99" xr3:uid="{00000000-0010-0000-0100-000063000000}" name="Coluna99" dataDxfId="165" totalsRowDxfId="33"/>
    <tableColumn id="100" xr3:uid="{00000000-0010-0000-0100-000064000000}" name="49" totalsRowFunction="count" dataDxfId="164" totalsRowDxfId="32"/>
    <tableColumn id="101" xr3:uid="{00000000-0010-0000-0100-000065000000}" name="Coluna101" dataDxfId="163" totalsRowDxfId="31"/>
    <tableColumn id="102" xr3:uid="{00000000-0010-0000-0100-000066000000}" name="50" totalsRowFunction="count" dataDxfId="162" totalsRowDxfId="30"/>
    <tableColumn id="103" xr3:uid="{00000000-0010-0000-0100-000067000000}" name="Coluna103" dataDxfId="161" totalsRowDxfId="29"/>
    <tableColumn id="104" xr3:uid="{00000000-0010-0000-0100-000068000000}" name="51" totalsRowFunction="count" dataDxfId="160" totalsRowDxfId="28"/>
    <tableColumn id="105" xr3:uid="{00000000-0010-0000-0100-000069000000}" name="Coluna105" dataDxfId="159" totalsRowDxfId="27"/>
    <tableColumn id="106" xr3:uid="{00000000-0010-0000-0100-00006A000000}" name="52" totalsRowFunction="count" dataDxfId="158" totalsRowDxfId="26"/>
    <tableColumn id="107" xr3:uid="{00000000-0010-0000-0100-00006B000000}" name="Coluna107" dataDxfId="157" totalsRowDxfId="25"/>
    <tableColumn id="108" xr3:uid="{00000000-0010-0000-0100-00006C000000}" name="53" totalsRowFunction="count" dataDxfId="156" totalsRowDxfId="24"/>
    <tableColumn id="109" xr3:uid="{00000000-0010-0000-0100-00006D000000}" name="Coluna109" dataDxfId="155" totalsRowDxfId="23"/>
    <tableColumn id="110" xr3:uid="{00000000-0010-0000-0100-00006E000000}" name="54" totalsRowFunction="count" dataDxfId="154" totalsRowDxfId="22"/>
    <tableColumn id="111" xr3:uid="{00000000-0010-0000-0100-00006F000000}" name="Coluna111" dataDxfId="153" totalsRowDxfId="21"/>
    <tableColumn id="112" xr3:uid="{00000000-0010-0000-0100-000070000000}" name="55" totalsRowFunction="count" dataDxfId="152" totalsRowDxfId="20"/>
    <tableColumn id="113" xr3:uid="{00000000-0010-0000-0100-000071000000}" name="Coluna113" dataDxfId="151" totalsRowDxfId="19"/>
    <tableColumn id="114" xr3:uid="{00000000-0010-0000-0100-000072000000}" name="56" totalsRowFunction="count" dataDxfId="150" totalsRowDxfId="18"/>
    <tableColumn id="115" xr3:uid="{00000000-0010-0000-0100-000073000000}" name="Coluna115" dataDxfId="149" totalsRowDxfId="17"/>
    <tableColumn id="116" xr3:uid="{00000000-0010-0000-0100-000074000000}" name="57" totalsRowFunction="count" dataDxfId="148" totalsRowDxfId="16"/>
    <tableColumn id="117" xr3:uid="{00000000-0010-0000-0100-000075000000}" name="Coluna117" dataDxfId="147" totalsRowDxfId="15"/>
    <tableColumn id="118" xr3:uid="{00000000-0010-0000-0100-000076000000}" name="58" totalsRowFunction="count" dataDxfId="146" totalsRowDxfId="14"/>
    <tableColumn id="119" xr3:uid="{00000000-0010-0000-0100-000077000000}" name="Coluna119" dataDxfId="145" totalsRowDxfId="13"/>
    <tableColumn id="120" xr3:uid="{00000000-0010-0000-0100-000078000000}" name="59" totalsRowFunction="count" dataDxfId="144" totalsRowDxfId="12"/>
    <tableColumn id="121" xr3:uid="{00000000-0010-0000-0100-000079000000}" name="Coluna121" dataDxfId="143" totalsRowDxfId="11"/>
    <tableColumn id="122" xr3:uid="{00000000-0010-0000-0100-00007A000000}" name="60" totalsRowFunction="count" dataDxfId="142" totalsRowDxfId="10"/>
    <tableColumn id="123" xr3:uid="{00000000-0010-0000-0100-00007B000000}" name="Coluna123" dataDxfId="141" totalsRowDxfId="9"/>
    <tableColumn id="124" xr3:uid="{00000000-0010-0000-0100-00007C000000}" name="61" totalsRowFunction="count" dataDxfId="140" totalsRowDxfId="8"/>
    <tableColumn id="125" xr3:uid="{00000000-0010-0000-0100-00007D000000}" name="Coluna125" dataDxfId="139" totalsRowDxfId="7"/>
    <tableColumn id="127" xr3:uid="{00000000-0010-0000-0100-00007F000000}" name="Coluna126" dataDxfId="138" totalsRowDxfId="6"/>
    <tableColumn id="126" xr3:uid="{00000000-0010-0000-0100-00007E000000}" name="62" totalsRowFunction="count" dataDxfId="137" totalsRowDxfId="5"/>
    <tableColumn id="131" xr3:uid="{00000000-0010-0000-0100-000083000000}" name="Coluna128" dataDxfId="136" totalsRowDxfId="4"/>
    <tableColumn id="132" xr3:uid="{00000000-0010-0000-0100-000084000000}" name="63" totalsRowFunction="count" dataDxfId="135" totalsRowDxfId="3"/>
    <tableColumn id="133" xr3:uid="{00000000-0010-0000-0100-000085000000}" name="Coluna130" dataDxfId="134" totalsRowDxfId="2"/>
    <tableColumn id="134" xr3:uid="{00000000-0010-0000-0100-000086000000}" name="64" totalsRowFunction="count" dataDxfId="133" totalsRowDxfId="1"/>
    <tableColumn id="129" xr3:uid="{00000000-0010-0000-0100-000081000000}" name="Observações" totalsRowFunction="count" dataDxfId="13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6"/>
  <sheetViews>
    <sheetView showGridLines="0" tabSelected="1" workbookViewId="0">
      <selection activeCell="B3" sqref="B3"/>
    </sheetView>
  </sheetViews>
  <sheetFormatPr defaultRowHeight="15" x14ac:dyDescent="0.25"/>
  <cols>
    <col min="1" max="1" width="18.140625" style="2" customWidth="1"/>
    <col min="2" max="2" width="18.5703125" style="2" customWidth="1"/>
    <col min="3" max="3" width="4.85546875" style="2" customWidth="1"/>
    <col min="4" max="4" width="25.140625" style="2" hidden="1" customWidth="1"/>
    <col min="5" max="5" width="13.7109375" style="2" hidden="1" customWidth="1"/>
    <col min="6" max="6" width="12" style="2" bestFit="1" customWidth="1"/>
    <col min="7" max="7" width="16.42578125" style="2" customWidth="1"/>
    <col min="8" max="8" width="4" style="2" bestFit="1" customWidth="1"/>
    <col min="9" max="9" width="2.140625" style="3" customWidth="1"/>
    <col min="10" max="10" width="7" style="4" customWidth="1"/>
    <col min="11" max="11" width="17.7109375" style="2" customWidth="1"/>
    <col min="12" max="13" width="2.28515625" style="3" bestFit="1" customWidth="1"/>
    <col min="14" max="15" width="0" style="2" hidden="1" customWidth="1"/>
    <col min="16" max="16" width="4.85546875" style="2" bestFit="1" customWidth="1"/>
    <col min="17" max="17" width="17.7109375" style="2" customWidth="1"/>
    <col min="18" max="19" width="2.28515625" style="2" bestFit="1" customWidth="1"/>
    <col min="20" max="21" width="0" style="2" hidden="1" customWidth="1"/>
    <col min="22" max="22" width="4.85546875" style="2" bestFit="1" customWidth="1"/>
    <col min="23" max="23" width="17.7109375" style="2" customWidth="1"/>
    <col min="24" max="25" width="2.28515625" style="2" bestFit="1" customWidth="1"/>
    <col min="26" max="27" width="0" style="2" hidden="1" customWidth="1"/>
    <col min="28" max="28" width="4.85546875" style="2" bestFit="1" customWidth="1"/>
    <col min="29" max="29" width="17.7109375" style="2" customWidth="1"/>
    <col min="30" max="31" width="2.28515625" style="3" bestFit="1" customWidth="1"/>
    <col min="32" max="33" width="9.140625" style="2" hidden="1" customWidth="1"/>
    <col min="34" max="34" width="4.85546875" style="2" bestFit="1" customWidth="1"/>
    <col min="35" max="35" width="22.7109375" style="2" customWidth="1"/>
    <col min="36" max="37" width="2.28515625" style="3" bestFit="1" customWidth="1"/>
    <col min="38" max="39" width="9.140625" style="2" hidden="1" customWidth="1"/>
    <col min="40" max="40" width="4.85546875" style="2" bestFit="1" customWidth="1"/>
    <col min="41" max="41" width="22.7109375" style="2" customWidth="1"/>
    <col min="42" max="43" width="2.28515625" style="3" bestFit="1" customWidth="1"/>
    <col min="44" max="45" width="9.140625" style="2" hidden="1" customWidth="1"/>
    <col min="46" max="46" width="4.85546875" style="2" bestFit="1" customWidth="1"/>
    <col min="47" max="47" width="22.7109375" style="2" customWidth="1"/>
    <col min="48" max="49" width="2.28515625" style="3" bestFit="1" customWidth="1"/>
    <col min="50" max="51" width="9.140625" style="2" hidden="1" customWidth="1"/>
    <col min="52" max="52" width="4.85546875" style="2" bestFit="1" customWidth="1"/>
    <col min="53" max="53" width="17.7109375" style="2" customWidth="1"/>
    <col min="54" max="55" width="2.28515625" style="3" bestFit="1" customWidth="1"/>
    <col min="56" max="57" width="9.140625" style="2" hidden="1" customWidth="1"/>
    <col min="58" max="58" width="4.85546875" style="2" bestFit="1" customWidth="1"/>
    <col min="59" max="59" width="17.7109375" style="2" customWidth="1"/>
    <col min="60" max="61" width="2.28515625" style="3" bestFit="1" customWidth="1"/>
    <col min="62" max="63" width="9.140625" style="2" hidden="1" customWidth="1"/>
    <col min="64" max="64" width="4.85546875" style="2" bestFit="1" customWidth="1"/>
    <col min="65" max="65" width="17.7109375" style="2" customWidth="1"/>
    <col min="66" max="67" width="2.28515625" style="3" bestFit="1" customWidth="1"/>
    <col min="68" max="69" width="9.140625" style="2" hidden="1" customWidth="1"/>
    <col min="70" max="70" width="9.140625" style="2"/>
    <col min="71" max="71" width="15.7109375" style="2" customWidth="1"/>
    <col min="72" max="16384" width="9.140625" style="2"/>
  </cols>
  <sheetData>
    <row r="1" spans="1:69" ht="23.25" customHeight="1" x14ac:dyDescent="0.3">
      <c r="A1" s="36" t="s">
        <v>266</v>
      </c>
      <c r="B1" s="36"/>
      <c r="C1" s="36"/>
      <c r="K1" s="5" t="s">
        <v>858</v>
      </c>
    </row>
    <row r="2" spans="1:69" ht="44.25" customHeight="1" x14ac:dyDescent="0.25">
      <c r="A2" s="6"/>
      <c r="B2" s="6"/>
      <c r="C2" s="6"/>
      <c r="K2" s="7" t="s">
        <v>288</v>
      </c>
      <c r="L2" s="7"/>
      <c r="M2" s="8"/>
      <c r="N2" s="9" t="s">
        <v>295</v>
      </c>
      <c r="O2" s="9" t="s">
        <v>300</v>
      </c>
      <c r="P2" s="9"/>
      <c r="Q2" s="7" t="s">
        <v>734</v>
      </c>
      <c r="R2" s="7"/>
      <c r="S2" s="7"/>
      <c r="T2" s="9" t="s">
        <v>295</v>
      </c>
      <c r="U2" s="9" t="s">
        <v>300</v>
      </c>
      <c r="V2" s="9"/>
      <c r="W2" s="7" t="s">
        <v>626</v>
      </c>
      <c r="X2" s="7"/>
      <c r="Y2" s="7"/>
      <c r="Z2" s="9" t="s">
        <v>295</v>
      </c>
      <c r="AA2" s="9" t="s">
        <v>300</v>
      </c>
      <c r="AB2" s="9"/>
      <c r="AC2" s="7" t="s">
        <v>759</v>
      </c>
      <c r="AD2" s="7"/>
      <c r="AE2" s="7"/>
      <c r="AF2" s="9" t="s">
        <v>295</v>
      </c>
      <c r="AG2" s="9" t="s">
        <v>300</v>
      </c>
      <c r="AH2" s="9"/>
      <c r="AI2" s="7" t="s">
        <v>764</v>
      </c>
      <c r="AJ2" s="7"/>
      <c r="AK2" s="7"/>
      <c r="AL2" s="9" t="s">
        <v>295</v>
      </c>
      <c r="AM2" s="9" t="s">
        <v>300</v>
      </c>
      <c r="AN2" s="9"/>
      <c r="AO2" s="7" t="s">
        <v>765</v>
      </c>
      <c r="AP2" s="7"/>
      <c r="AQ2" s="7"/>
      <c r="AR2" s="9" t="s">
        <v>295</v>
      </c>
      <c r="AS2" s="9" t="s">
        <v>300</v>
      </c>
      <c r="AT2" s="9"/>
      <c r="AU2" s="7" t="s">
        <v>766</v>
      </c>
      <c r="AV2" s="7"/>
      <c r="AW2" s="7"/>
      <c r="AX2" s="9" t="s">
        <v>295</v>
      </c>
      <c r="AY2" s="9" t="s">
        <v>300</v>
      </c>
      <c r="AZ2" s="9"/>
      <c r="BA2" s="7" t="s">
        <v>767</v>
      </c>
      <c r="BB2" s="7"/>
      <c r="BC2" s="7"/>
      <c r="BD2" s="9" t="s">
        <v>295</v>
      </c>
      <c r="BE2" s="9" t="s">
        <v>300</v>
      </c>
      <c r="BF2" s="9"/>
      <c r="BG2" s="7" t="s">
        <v>773</v>
      </c>
      <c r="BH2" s="7"/>
      <c r="BI2" s="7"/>
      <c r="BJ2" s="9" t="s">
        <v>295</v>
      </c>
      <c r="BK2" s="9" t="s">
        <v>300</v>
      </c>
      <c r="BL2" s="9"/>
      <c r="BM2" s="7" t="s">
        <v>779</v>
      </c>
      <c r="BN2" s="7"/>
      <c r="BO2" s="7"/>
      <c r="BP2" s="2" t="s">
        <v>295</v>
      </c>
      <c r="BQ2" s="2" t="s">
        <v>300</v>
      </c>
    </row>
    <row r="3" spans="1:69" x14ac:dyDescent="0.25">
      <c r="A3" s="10" t="s">
        <v>236</v>
      </c>
      <c r="B3" s="1" t="s">
        <v>305</v>
      </c>
      <c r="C3" s="6"/>
      <c r="D3" s="4" t="s">
        <v>289</v>
      </c>
      <c r="E3" s="3" t="str">
        <f>LOWER(TRIM(B3))</f>
        <v>haver</v>
      </c>
      <c r="F3" s="11" t="s">
        <v>591</v>
      </c>
      <c r="G3" s="12" t="str">
        <f>E7</f>
        <v>haver</v>
      </c>
      <c r="H3" s="3"/>
      <c r="J3" s="13" t="s">
        <v>280</v>
      </c>
      <c r="K3" s="14" t="str">
        <f>IFERROR(N3&amp;O3,"")</f>
        <v>hei</v>
      </c>
      <c r="L3" s="15" t="str">
        <f>IFERROR(IF(VLOOKUP(E9,padroes[],4,0)="","","I"),"")</f>
        <v>I</v>
      </c>
      <c r="M3" s="15" t="str">
        <f>IFERROR(IF(VLOOKUP($E$9,padroes[],3,0)&lt;&gt;"","A",""),"")</f>
        <v>A</v>
      </c>
      <c r="N3" s="2" t="str">
        <f>IF(VLOOKUP($E$9,padroes[],3,0)&lt;&gt;"",LEFT(E7,E5-2-VLOOKUP($E$9,padroes[],3,0)),LEFT(E7,E5-2))</f>
        <v>h</v>
      </c>
      <c r="O3" s="2" t="str">
        <f>IFERROR(IF(VLOOKUP($E$9,padroes[],4,0)="",VLOOKUP($E$10,padroes[],4,0),VLOOKUP($E$9,padroes[],4,0)),"")</f>
        <v>ei</v>
      </c>
      <c r="Q3" s="12" t="str">
        <f>IFERROR(T3&amp;U3,"")</f>
        <v>houve</v>
      </c>
      <c r="R3" s="15" t="str">
        <f>IFERROR(IF(VLOOKUP($E$9,padroes[],16,0)="","","I"),"")</f>
        <v>I</v>
      </c>
      <c r="S3" s="15" t="str">
        <f>IFERROR(IF(VLOOKUP($E$9,padroes[],15,0)&lt;&gt;"","A",""),"")</f>
        <v>A</v>
      </c>
      <c r="T3" s="2" t="str">
        <f>IF(VLOOKUP($E$9,padroes[],15,0)&lt;&gt;"",LEFT($E$7,$E$5-2-VLOOKUP($E$9,padroes[],15,0)),LEFT($E$7,$E$5-2))</f>
        <v>h</v>
      </c>
      <c r="U3" s="2" t="str">
        <f>IFERROR(IF(VLOOKUP($E$9,padroes[],16,0)="",VLOOKUP($E$10,padroes[],16,0),VLOOKUP($E$9,padroes[],16,0)),"")</f>
        <v>ouve</v>
      </c>
      <c r="W3" s="12" t="str">
        <f>IFERROR(Z3&amp;AA3,"")</f>
        <v>havia</v>
      </c>
      <c r="X3" s="15" t="str">
        <f>IFERROR(IF(VLOOKUP($E$9,padroes[],28,0)="","","I"),"")</f>
        <v/>
      </c>
      <c r="Y3" s="15" t="str">
        <f>IFERROR(IF(VLOOKUP($E$9,padroes[],27,0)&lt;&gt;"","A",""),"")</f>
        <v/>
      </c>
      <c r="Z3" s="2" t="str">
        <f>IF(VLOOKUP($E$9,padroes[],27,0)&lt;&gt;"",LEFT($E$7,$E$5-2-VLOOKUP($E$9,padroes[],27,0)),LEFT($E$7,$E$5-2))</f>
        <v>hav</v>
      </c>
      <c r="AA3" s="2" t="str">
        <f>IFERROR(IF(VLOOKUP($E$9,padroes[],28,0)="",VLOOKUP($E$10,padroes[],28,0),VLOOKUP($E$9,padroes[],28,0)),"")</f>
        <v>ia</v>
      </c>
      <c r="AC3" s="12" t="str">
        <f t="shared" ref="AC3:AC8" si="0">IFERROR(AF3&amp;AG3,"")</f>
        <v>houvera</v>
      </c>
      <c r="AD3" s="15" t="str">
        <f>IFERROR(IF(VLOOKUP($E$9,padroes[],40,0)="","","I"),"")</f>
        <v>I</v>
      </c>
      <c r="AE3" s="15" t="str">
        <f>IFERROR(IF(VLOOKUP($E$9,padroes[],39,0)&lt;&gt;"","A",""),"")</f>
        <v>A</v>
      </c>
      <c r="AF3" s="2" t="str">
        <f>IF(VLOOKUP($E$9,padroes[],39,0)&lt;&gt;"",LEFT($E$7,$E$5-2-VLOOKUP($E$9,padroes[],39,0)),LEFT($E$7,$E$5-2))</f>
        <v>h</v>
      </c>
      <c r="AG3" s="2" t="str">
        <f>IFERROR(IF(VLOOKUP($E$9,padroes[],40,0)="",VLOOKUP($E$10,padroes[],40,0),VLOOKUP($E$9,padroes[],40,0)),"")</f>
        <v>ouvera</v>
      </c>
      <c r="AI3" s="12" t="str">
        <f>IFERROR(AL3&amp;AM3,"")</f>
        <v>haverei</v>
      </c>
      <c r="AJ3" s="15" t="str">
        <f>IFERROR(IF(VLOOKUP($E$9,padroes[],52,0)="","","I"),"")</f>
        <v/>
      </c>
      <c r="AK3" s="15" t="str">
        <f>IFERROR(IF(VLOOKUP($E$9,padroes[],51,0)&lt;&gt;"","A",""),"")</f>
        <v/>
      </c>
      <c r="AL3" s="2" t="str">
        <f>IF(VLOOKUP($E$9,padroes[],51,0)&lt;&gt;"",LEFT($E$7,$E$5-2-VLOOKUP($E$9,padroes[],51,0)),LEFT($E$7,$E$5-2))</f>
        <v>hav</v>
      </c>
      <c r="AM3" s="2" t="str">
        <f>IFERROR(IF(VLOOKUP($E$9,padroes[],52,0)="",VLOOKUP($E$10,padroes[],52,0),VLOOKUP($E$9,padroes[],52,0)),"")</f>
        <v>erei</v>
      </c>
      <c r="AO3" s="12" t="str">
        <f>IFERROR(AR3&amp;AS3,"")</f>
        <v>haveria</v>
      </c>
      <c r="AP3" s="15" t="str">
        <f>IFERROR(IF(VLOOKUP($E$9,padroes[],64,0)="","","I"),"")</f>
        <v/>
      </c>
      <c r="AQ3" s="15" t="str">
        <f>IFERROR(IF(VLOOKUP($E$9,padroes[],63,0)&lt;&gt;"","A",""),"")</f>
        <v/>
      </c>
      <c r="AR3" s="2" t="str">
        <f>IF(VLOOKUP($E$9,padroes[],63,0)&lt;&gt;"",LEFT($E$7,$E$5-2-VLOOKUP($E$9,padroes[],63,0)),LEFT($E$7,$E$5-2))</f>
        <v>hav</v>
      </c>
      <c r="AS3" s="2" t="str">
        <f>IFERROR(IF(VLOOKUP($E$9,padroes[],64,0)="",VLOOKUP($E$10,padroes[],64,0),VLOOKUP($E$9,padroes[],64,0)),"")</f>
        <v>eria</v>
      </c>
      <c r="AU3" s="12" t="str">
        <f>IFERROR(AX3&amp;AY3,"")</f>
        <v>haja</v>
      </c>
      <c r="AV3" s="15" t="str">
        <f>IFERROR(IF(VLOOKUP($E$9,padroes[],76,0)="","","I"),"")</f>
        <v>I</v>
      </c>
      <c r="AW3" s="15" t="str">
        <f>IFERROR(IF(VLOOKUP($E$9,padroes[],75,0)&lt;&gt;"","A",""),"")</f>
        <v>A</v>
      </c>
      <c r="AX3" s="2" t="str">
        <f>IF(VLOOKUP($E$9,padroes[],75,0)&lt;&gt;"",LEFT($E$7,$E$5-2-VLOOKUP($E$9,padroes[],75,0)),LEFT($E$7,$E$5-2))</f>
        <v>ha</v>
      </c>
      <c r="AY3" s="2" t="str">
        <f>IFERROR(IF(VLOOKUP($E$9,padroes[],76,0)="",VLOOKUP($E$10,padroes[],76,0),VLOOKUP($E$9,padroes[],76,0)),"")</f>
        <v>ja</v>
      </c>
      <c r="BA3" s="12" t="str">
        <f>IFERROR(BD3&amp;BE3,"")</f>
        <v>houvesse</v>
      </c>
      <c r="BB3" s="15" t="str">
        <f>IFERROR(IF(VLOOKUP($E$9,padroes[],88,0)="","","I"),"")</f>
        <v>I</v>
      </c>
      <c r="BC3" s="15" t="str">
        <f>IFERROR(IF(VLOOKUP($E$9,padroes[],87,0)&lt;&gt;"","A",""),"")</f>
        <v>A</v>
      </c>
      <c r="BD3" s="2" t="str">
        <f>IF(VLOOKUP($E$9,padroes[],87,0)&lt;&gt;"",LEFT($E$7,$E$5-2-VLOOKUP($E$9,padroes[],87,0)),LEFT($E$7,$E$5-2))</f>
        <v>h</v>
      </c>
      <c r="BE3" s="2" t="str">
        <f>IFERROR(IF(VLOOKUP($E$9,padroes[],88,0)="",VLOOKUP($E$10,padroes[],88,0),VLOOKUP($E$9,padroes[],88,0)),"")</f>
        <v>ouvesse</v>
      </c>
      <c r="BG3" s="12" t="str">
        <f>IFERROR(BJ3&amp;BK3,"")</f>
        <v>houver</v>
      </c>
      <c r="BH3" s="15" t="str">
        <f>IFERROR(IF(VLOOKUP($E$9,padroes[],100,0)="","","I"),"")</f>
        <v>I</v>
      </c>
      <c r="BI3" s="15" t="str">
        <f>IFERROR(IF(VLOOKUP($E$9,padroes[],99,0)&lt;&gt;"","A",""),"")</f>
        <v>A</v>
      </c>
      <c r="BJ3" s="2" t="str">
        <f>IF(VLOOKUP($E$9,padroes[],99,0)&lt;&gt;"",LEFT($E$7,$E$5-2-VLOOKUP($E$9,padroes[],99,0)),LEFT($E$7,$E$5-2))</f>
        <v>h</v>
      </c>
      <c r="BK3" s="2" t="str">
        <f>IFERROR(IF(VLOOKUP($E$9,padroes[],100,0)="",VLOOKUP($E$10,padroes[],100,0),VLOOKUP($E$9,padroes[],100,0)),"")</f>
        <v>ouver</v>
      </c>
      <c r="BM3" s="12" t="str">
        <f>IFERROR(BP3&amp;BQ3,"")</f>
        <v>haver</v>
      </c>
      <c r="BN3" s="15" t="str">
        <f>IFERROR(IF(VLOOKUP($E$9,padroes[],112,0)="","","I"),"")</f>
        <v/>
      </c>
      <c r="BO3" s="15" t="str">
        <f>IFERROR(IF(VLOOKUP($E$9,padroes[],111,0)&lt;&gt;"","A",""),"")</f>
        <v/>
      </c>
      <c r="BP3" s="2" t="str">
        <f>IF(VLOOKUP($E$9,padroes[],111,0)&lt;&gt;"",LEFT($E$7,$E$5-2-VLOOKUP($E$9,padroes[],111,0)),LEFT($E$7,$E$5-2))</f>
        <v>hav</v>
      </c>
      <c r="BQ3" s="2" t="str">
        <f>IFERROR(IF(VLOOKUP($E$9,padroes[],112,0)="",VLOOKUP($E$10,padroes[],100,0),VLOOKUP($E$9,padroes[],112,0)),"")</f>
        <v>er</v>
      </c>
    </row>
    <row r="4" spans="1:69" x14ac:dyDescent="0.25">
      <c r="A4" s="37" t="str">
        <f>IF(E6="não é verbo","Isso não parece verbo. Ex.: cantar, vender, partir.","")</f>
        <v/>
      </c>
      <c r="B4" s="37"/>
      <c r="C4" s="37"/>
      <c r="D4" s="4" t="s">
        <v>290</v>
      </c>
      <c r="E4" s="3" t="str">
        <f>RIGHT(E3,2)</f>
        <v>er</v>
      </c>
      <c r="F4" s="16"/>
      <c r="G4" s="17"/>
      <c r="H4" s="3"/>
      <c r="J4" s="13" t="s">
        <v>281</v>
      </c>
      <c r="K4" s="14" t="str">
        <f t="shared" ref="K4:K8" si="1">IFERROR(N4&amp;O4,"")</f>
        <v>hás</v>
      </c>
      <c r="L4" s="15" t="str">
        <f>IFERROR(IF(VLOOKUP(E9,padroes[],6,0)="","","I"),"")</f>
        <v>I</v>
      </c>
      <c r="M4" s="15" t="str">
        <f>IFERROR(IF(VLOOKUP($E$9,padroes[],5,0)&lt;&gt;"","A",""),"")</f>
        <v>A</v>
      </c>
      <c r="N4" s="2" t="str">
        <f>IF(VLOOKUP($E$9,padroes[],5,0)&lt;&gt;"",LEFT(E7,E5-2-VLOOKUP($E$9,padroes[],5,0)),LEFT(E7,E5-2))</f>
        <v>h</v>
      </c>
      <c r="O4" s="2" t="str">
        <f>IFERROR(IF(VLOOKUP($E$9,padroes[],6,0)="",VLOOKUP($E$10,padroes[],6,0),VLOOKUP($E$9,padroes[],6,0)),"")</f>
        <v>ás</v>
      </c>
      <c r="Q4" s="12" t="str">
        <f t="shared" ref="Q4:Q8" si="2">IFERROR(T4&amp;U4,"")</f>
        <v>houveste</v>
      </c>
      <c r="R4" s="15" t="str">
        <f>IFERROR(IF(VLOOKUP($E$9,padroes[],18,0)="","","I"),"")</f>
        <v>I</v>
      </c>
      <c r="S4" s="15" t="str">
        <f>IFERROR(IF(VLOOKUP($E$9,padroes[],17,0)&lt;&gt;"","A",""),"")</f>
        <v>A</v>
      </c>
      <c r="T4" s="2" t="str">
        <f>IF(VLOOKUP($E$9,padroes[],17,0)&lt;&gt;"",LEFT($E$7,$E$5-2-VLOOKUP($E$9,padroes[],17,0)),LEFT($E$7,$E$5-2))</f>
        <v>h</v>
      </c>
      <c r="U4" s="2" t="str">
        <f>IFERROR(IF(VLOOKUP($E$9,padroes[],18,0)="",VLOOKUP($E$10,padroes[],18,0),VLOOKUP($E$9,padroes[],18,0)),"")</f>
        <v>ouveste</v>
      </c>
      <c r="W4" s="12" t="str">
        <f t="shared" ref="W4:W8" si="3">IFERROR(Z4&amp;AA4,"")</f>
        <v>havias</v>
      </c>
      <c r="X4" s="15" t="str">
        <f>IFERROR(IF(VLOOKUP($E$9,padroes[],30,0)="","","I"),"")</f>
        <v/>
      </c>
      <c r="Y4" s="15" t="str">
        <f>IFERROR(IF(VLOOKUP($E$9,padroes[],29,0)&lt;&gt;"","A",""),"")</f>
        <v/>
      </c>
      <c r="Z4" s="2" t="str">
        <f>IF(VLOOKUP($E$9,padroes[],29,0)&lt;&gt;"",LEFT($E$7,$E$5-2-VLOOKUP($E$9,padroes[],29,0)),LEFT($E$7,$E$5-2))</f>
        <v>hav</v>
      </c>
      <c r="AA4" s="2" t="str">
        <f>IFERROR(IF(VLOOKUP($E$9,padroes[],30,0)="",VLOOKUP($E$10,padroes[],30,0),VLOOKUP($E$9,padroes[],30,0)),"")</f>
        <v>ias</v>
      </c>
      <c r="AC4" s="12" t="str">
        <f t="shared" si="0"/>
        <v>houveras</v>
      </c>
      <c r="AD4" s="15" t="str">
        <f>IFERROR(IF(VLOOKUP($E$9,padroes[],42,0)="","","I"),"")</f>
        <v>I</v>
      </c>
      <c r="AE4" s="15" t="str">
        <f>IFERROR(IF(VLOOKUP($E$9,padroes[],41,0)&lt;&gt;"","A",""),"")</f>
        <v>A</v>
      </c>
      <c r="AF4" s="2" t="str">
        <f>IF(VLOOKUP($E$9,padroes[],41,0)&lt;&gt;"",LEFT($E$7,$E$5-2-VLOOKUP($E$9,padroes[],41,0)),LEFT($E$7,$E$5-2))</f>
        <v>h</v>
      </c>
      <c r="AG4" s="2" t="str">
        <f>IFERROR(IF(VLOOKUP($E$9,padroes[],42,0)="",VLOOKUP($E$10,padroes[],42,0),VLOOKUP($E$9,padroes[],42,0)),"")</f>
        <v>ouveras</v>
      </c>
      <c r="AI4" s="12" t="str">
        <f t="shared" ref="AI4:AI8" si="4">IFERROR(AL4&amp;AM4,"")</f>
        <v>haverás</v>
      </c>
      <c r="AJ4" s="15" t="str">
        <f>IFERROR(IF(VLOOKUP($E$9,padroes[],54,0)="","","I"),"")</f>
        <v/>
      </c>
      <c r="AK4" s="15" t="str">
        <f>IFERROR(IF(VLOOKUP($E$9,padroes[],53,0)&lt;&gt;"","A",""),"")</f>
        <v/>
      </c>
      <c r="AL4" s="2" t="str">
        <f>IF(VLOOKUP($E$9,padroes[],53,0)&lt;&gt;"",LEFT($E$7,$E$5-2-VLOOKUP($E$9,padroes[],53,0)),LEFT($E$7,$E$5-2))</f>
        <v>hav</v>
      </c>
      <c r="AM4" s="2" t="str">
        <f>IFERROR(IF(VLOOKUP($E$9,padroes[],54,0)="",VLOOKUP($E$10,padroes[],54,0),VLOOKUP($E$9,padroes[],54,0)),"")</f>
        <v>erás</v>
      </c>
      <c r="AO4" s="12" t="str">
        <f t="shared" ref="AO4:AO8" si="5">IFERROR(AR4&amp;AS4,"")</f>
        <v>haverias</v>
      </c>
      <c r="AP4" s="15" t="str">
        <f>IFERROR(IF(VLOOKUP($E$9,padroes[],66,0)="","","I"),"")</f>
        <v/>
      </c>
      <c r="AQ4" s="15" t="str">
        <f>IFERROR(IF(VLOOKUP($E$9,padroes[],65,0)&lt;&gt;"","A",""),"")</f>
        <v/>
      </c>
      <c r="AR4" s="2" t="str">
        <f>IF(VLOOKUP($E$9,padroes[],65,0)&lt;&gt;"",LEFT($E$7,$E$5-2-VLOOKUP($E$9,padroes[],65,0)),LEFT($E$7,$E$5-2))</f>
        <v>hav</v>
      </c>
      <c r="AS4" s="2" t="str">
        <f>IFERROR(IF(VLOOKUP($E$9,padroes[],66,0)="",VLOOKUP($E$10,padroes[],66,0),VLOOKUP($E$9,padroes[],66,0)),"")</f>
        <v>erias</v>
      </c>
      <c r="AU4" s="12" t="str">
        <f t="shared" ref="AU4:AU8" si="6">IFERROR(AX4&amp;AY4,"")</f>
        <v>hajas</v>
      </c>
      <c r="AV4" s="15" t="str">
        <f>IFERROR(IF(VLOOKUP($E$9,padroes[],78,0)="","","I"),"")</f>
        <v>I</v>
      </c>
      <c r="AW4" s="15" t="str">
        <f>IFERROR(IF(VLOOKUP($E$9,padroes[],77,0)&lt;&gt;"","A",""),"")</f>
        <v>A</v>
      </c>
      <c r="AX4" s="2" t="str">
        <f>IF(VLOOKUP($E$9,padroes[],77,0)&lt;&gt;"",LEFT($E$7,$E$5-2-VLOOKUP($E$9,padroes[],77,0)),LEFT($E$7,$E$5-2))</f>
        <v>ha</v>
      </c>
      <c r="AY4" s="2" t="str">
        <f>IFERROR(IF(VLOOKUP($E$9,padroes[],78,0)="",VLOOKUP($E$10,padroes[],78,0),VLOOKUP($E$9,padroes[],78,0)),"")</f>
        <v>jas</v>
      </c>
      <c r="BA4" s="12" t="str">
        <f t="shared" ref="BA4:BA8" si="7">IFERROR(BD4&amp;BE4,"")</f>
        <v>houvesses</v>
      </c>
      <c r="BB4" s="15" t="str">
        <f>IFERROR(IF(VLOOKUP($E$9,padroes[],90,0)="","","I"),"")</f>
        <v>I</v>
      </c>
      <c r="BC4" s="15" t="str">
        <f>IFERROR(IF(VLOOKUP($E$9,padroes[],89,0)&lt;&gt;"","A",""),"")</f>
        <v>A</v>
      </c>
      <c r="BD4" s="2" t="str">
        <f>IF(VLOOKUP($E$9,padroes[],89,0)&lt;&gt;"",LEFT($E$7,$E$5-2-VLOOKUP($E$9,padroes[],89,0)),LEFT($E$7,$E$5-2))</f>
        <v>h</v>
      </c>
      <c r="BE4" s="2" t="str">
        <f>IFERROR(IF(VLOOKUP($E$9,padroes[],90,0)="",VLOOKUP($E$10,padroes[],90,0),VLOOKUP($E$9,padroes[],90,0)),"")</f>
        <v>ouvesses</v>
      </c>
      <c r="BG4" s="12" t="str">
        <f t="shared" ref="BG4:BG8" si="8">IFERROR(BJ4&amp;BK4,"")</f>
        <v>houveres</v>
      </c>
      <c r="BH4" s="15" t="str">
        <f>IFERROR(IF(VLOOKUP($E$9,padroes[],102,0)="","","I"),"")</f>
        <v>I</v>
      </c>
      <c r="BI4" s="15" t="str">
        <f>IFERROR(IF(VLOOKUP($E$9,padroes[],101,0)&lt;&gt;"","A",""),"")</f>
        <v>A</v>
      </c>
      <c r="BJ4" s="2" t="str">
        <f>IF(VLOOKUP($E$9,padroes[],101,0)&lt;&gt;"",LEFT($E$7,$E$5-2-VLOOKUP($E$9,padroes[],101,0)),LEFT($E$7,$E$5-2))</f>
        <v>h</v>
      </c>
      <c r="BK4" s="2" t="str">
        <f>IFERROR(IF(VLOOKUP($E$9,padroes[],102,0)="",VLOOKUP($E$10,padroes[],102,0),VLOOKUP($E$9,padroes[],102,0)),"")</f>
        <v>ouveres</v>
      </c>
      <c r="BM4" s="12" t="str">
        <f t="shared" ref="BM4:BM8" si="9">IFERROR(BP4&amp;BQ4,"")</f>
        <v>haveres</v>
      </c>
      <c r="BN4" s="15" t="str">
        <f>IFERROR(IF(VLOOKUP($E$9,padroes[],114,0)="","","I"),"")</f>
        <v/>
      </c>
      <c r="BO4" s="15" t="str">
        <f>IFERROR(IF(VLOOKUP($E$9,padroes[],113,0)&lt;&gt;"","A",""),"")</f>
        <v/>
      </c>
      <c r="BP4" s="2" t="str">
        <f>IF(VLOOKUP($E$9,padroes[],113,0)&lt;&gt;"",LEFT($E$7,$E$5-2-VLOOKUP($E$9,padroes[],113,0)),LEFT($E$7,$E$5-2))</f>
        <v>hav</v>
      </c>
      <c r="BQ4" s="2" t="str">
        <f>IFERROR(IF(VLOOKUP($E$9,padroes[],114,0)="",VLOOKUP($E$10,padroes[],102,0),VLOOKUP($E$9,padroes[],114,0)),"")</f>
        <v>eres</v>
      </c>
    </row>
    <row r="5" spans="1:69" x14ac:dyDescent="0.25">
      <c r="A5" s="6"/>
      <c r="B5" s="6"/>
      <c r="C5" s="6"/>
      <c r="D5" s="4" t="s">
        <v>291</v>
      </c>
      <c r="E5" s="3">
        <f>LEN(E3)</f>
        <v>5</v>
      </c>
      <c r="F5" s="11" t="s">
        <v>592</v>
      </c>
      <c r="G5" s="12" t="str">
        <f>IFERROR(IF(VLOOKUP($E$9,padroes[],123,0)&lt;&gt;"",LEFT(E7,E5-2-VLOOKUP($E$9,padroes[],123,0)),LEFT(E7,E5-2))&amp; IFERROR(IF(VLOOKUP($E$9,padroes[],124,0)="",VLOOKUP($E$10,padroes[],124,0),VLOOKUP($E$9,padroes[],124,0)),""),"")</f>
        <v>havendo</v>
      </c>
      <c r="H5" s="3"/>
      <c r="J5" s="13" t="s">
        <v>282</v>
      </c>
      <c r="K5" s="14" t="str">
        <f t="shared" si="1"/>
        <v>há</v>
      </c>
      <c r="L5" s="15" t="str">
        <f>IFERROR(IF(VLOOKUP(E9,padroes[],8,0)="","","I"),"")</f>
        <v>I</v>
      </c>
      <c r="M5" s="15" t="str">
        <f>IFERROR(IF(VLOOKUP($E$9,padroes[],7,0)&lt;&gt;"","A",""),"")</f>
        <v>A</v>
      </c>
      <c r="N5" s="2" t="str">
        <f>IF(VLOOKUP($E$9,padroes[],7,0)&lt;&gt;"",LEFT(E7,E5-2-VLOOKUP($E$9,padroes[],7,0)),LEFT(E7,E5-2))</f>
        <v>h</v>
      </c>
      <c r="O5" s="2" t="str">
        <f>IFERROR(IF(VLOOKUP($E$9,padroes[],8,0)="",VLOOKUP($E$10,padroes[],8,0),VLOOKUP($E$9,padroes[],8,0)),"")</f>
        <v>á</v>
      </c>
      <c r="Q5" s="12" t="str">
        <f t="shared" si="2"/>
        <v>houve</v>
      </c>
      <c r="R5" s="15" t="str">
        <f>IFERROR(IF(VLOOKUP($E$9,padroes[],20,0)="","","I"),"")</f>
        <v>I</v>
      </c>
      <c r="S5" s="15" t="str">
        <f>IFERROR(IF(VLOOKUP($E$9,padroes[],19,0)&lt;&gt;"","A",""),"")</f>
        <v>A</v>
      </c>
      <c r="T5" s="2" t="str">
        <f>IF(VLOOKUP($E$9,padroes[],19,0)&lt;&gt;"",LEFT($E$7,$E$5-2-VLOOKUP($E$9,padroes[],19,0)),LEFT($E$7,$E$5-2))</f>
        <v>h</v>
      </c>
      <c r="U5" s="2" t="str">
        <f>IFERROR(IF(VLOOKUP($E$9,padroes[],20,0)="",VLOOKUP($E$10,padroes[],20,0),VLOOKUP($E$9,padroes[],20,0)),"")</f>
        <v>ouve</v>
      </c>
      <c r="W5" s="12" t="str">
        <f t="shared" si="3"/>
        <v>havia</v>
      </c>
      <c r="X5" s="15" t="str">
        <f>IFERROR(IF(VLOOKUP($E$9,padroes[],32,0)="","","I"),"")</f>
        <v/>
      </c>
      <c r="Y5" s="15" t="str">
        <f>IFERROR(IF(VLOOKUP($E$9,padroes[],31,0)&lt;&gt;"","A",""),"")</f>
        <v/>
      </c>
      <c r="Z5" s="2" t="str">
        <f>IF(VLOOKUP($E$9,padroes[],31,0)&lt;&gt;"",LEFT($E$7,$E$5-2-VLOOKUP($E$9,padroes[],31,0)),LEFT($E$7,$E$5-2))</f>
        <v>hav</v>
      </c>
      <c r="AA5" s="2" t="str">
        <f>IFERROR(IF(VLOOKUP($E$9,padroes[],32,0)="",VLOOKUP($E$10,padroes[],32,0),VLOOKUP($E$9,padroes[],32,0)),"")</f>
        <v>ia</v>
      </c>
      <c r="AC5" s="12" t="str">
        <f t="shared" si="0"/>
        <v>houvera</v>
      </c>
      <c r="AD5" s="15" t="str">
        <f>IFERROR(IF(VLOOKUP($E$9,padroes[],44,0)="","","I"),"")</f>
        <v>I</v>
      </c>
      <c r="AE5" s="15" t="str">
        <f>IFERROR(IF(VLOOKUP($E$9,padroes[],43,0)&lt;&gt;"","A",""),"")</f>
        <v>A</v>
      </c>
      <c r="AF5" s="2" t="str">
        <f>IF(VLOOKUP($E$9,padroes[],43,0)&lt;&gt;"",LEFT($E$7,$E$5-2-VLOOKUP($E$9,padroes[],43,0)),LEFT($E$7,$E$5-2))</f>
        <v>h</v>
      </c>
      <c r="AG5" s="2" t="str">
        <f>IFERROR(IF(VLOOKUP($E$9,padroes[],44,0)="",VLOOKUP($E$10,padroes[],44,0),VLOOKUP($E$9,padroes[],44,0)),"")</f>
        <v>ouvera</v>
      </c>
      <c r="AI5" s="12" t="str">
        <f t="shared" si="4"/>
        <v>haverá</v>
      </c>
      <c r="AJ5" s="15" t="str">
        <f>IFERROR(IF(VLOOKUP($E$9,padroes[],56,0)="","","I"),"")</f>
        <v/>
      </c>
      <c r="AK5" s="15" t="str">
        <f>IFERROR(IF(VLOOKUP($E$9,padroes[],55,0)&lt;&gt;"","A",""),"")</f>
        <v/>
      </c>
      <c r="AL5" s="2" t="str">
        <f>IF(VLOOKUP($E$9,padroes[],55,0)&lt;&gt;"",LEFT($E$7,$E$5-2-VLOOKUP($E$9,padroes[],55,0)),LEFT($E$7,$E$5-2))</f>
        <v>hav</v>
      </c>
      <c r="AM5" s="2" t="str">
        <f>IFERROR(IF(VLOOKUP($E$9,padroes[],56,0)="",VLOOKUP($E$10,padroes[],56,0),VLOOKUP($E$9,padroes[],56,0)),"")</f>
        <v>erá</v>
      </c>
      <c r="AO5" s="12" t="str">
        <f t="shared" si="5"/>
        <v>haveria</v>
      </c>
      <c r="AP5" s="15" t="str">
        <f>IFERROR(IF(VLOOKUP($E$9,padroes[],68,0)="","","I"),"")</f>
        <v/>
      </c>
      <c r="AQ5" s="15" t="str">
        <f>IFERROR(IF(VLOOKUP($E$9,padroes[],67,0)&lt;&gt;"","A",""),"")</f>
        <v/>
      </c>
      <c r="AR5" s="2" t="str">
        <f>IF(VLOOKUP($E$9,padroes[],67,0)&lt;&gt;"",LEFT($E$7,$E$5-2-VLOOKUP($E$9,padroes[],67,0)),LEFT($E$7,$E$5-2))</f>
        <v>hav</v>
      </c>
      <c r="AS5" s="2" t="str">
        <f>IFERROR(IF(VLOOKUP($E$9,padroes[],68,0)="",VLOOKUP($E$10,padroes[],68,0),VLOOKUP($E$9,padroes[],68,0)),"")</f>
        <v>eria</v>
      </c>
      <c r="AU5" s="12" t="str">
        <f t="shared" si="6"/>
        <v>haja</v>
      </c>
      <c r="AV5" s="15" t="str">
        <f>IFERROR(IF(VLOOKUP($E$9,padroes[],80,0)="","","I"),"")</f>
        <v>I</v>
      </c>
      <c r="AW5" s="15" t="str">
        <f>IFERROR(IF(VLOOKUP($E$9,padroes[],79,0)&lt;&gt;"","A",""),"")</f>
        <v>A</v>
      </c>
      <c r="AX5" s="2" t="str">
        <f>IF(VLOOKUP($E$9,padroes[],79,0)&lt;&gt;"",LEFT($E$7,$E$5-2-VLOOKUP($E$9,padroes[],79,0)),LEFT($E$7,$E$5-2))</f>
        <v>ha</v>
      </c>
      <c r="AY5" s="2" t="str">
        <f>IFERROR(IF(VLOOKUP($E$9,padroes[],80,0)="",VLOOKUP($E$10,padroes[],80,0),VLOOKUP($E$9,padroes[],80,0)),"")</f>
        <v>ja</v>
      </c>
      <c r="BA5" s="12" t="str">
        <f t="shared" si="7"/>
        <v>houvesse</v>
      </c>
      <c r="BB5" s="15" t="str">
        <f>IFERROR(IF(VLOOKUP($E$9,padroes[],92,0)="","","I"),"")</f>
        <v>I</v>
      </c>
      <c r="BC5" s="15" t="str">
        <f>IFERROR(IF(VLOOKUP($E$9,padroes[],91,0)&lt;&gt;"","A",""),"")</f>
        <v>A</v>
      </c>
      <c r="BD5" s="2" t="str">
        <f>IF(VLOOKUP($E$9,padroes[],91,0)&lt;&gt;"",LEFT($E$7,$E$5-2-VLOOKUP($E$9,padroes[],91,0)),LEFT($E$7,$E$5-2))</f>
        <v>h</v>
      </c>
      <c r="BE5" s="2" t="str">
        <f>IFERROR(IF(VLOOKUP($E$9,padroes[],92,0)="",VLOOKUP($E$10,padroes[],92,0),VLOOKUP($E$9,padroes[],92,0)),"")</f>
        <v>ouvesse</v>
      </c>
      <c r="BG5" s="12" t="str">
        <f t="shared" si="8"/>
        <v>houver</v>
      </c>
      <c r="BH5" s="15" t="str">
        <f>IFERROR(IF(VLOOKUP($E$9,padroes[],104,0)="","","I"),"")</f>
        <v>I</v>
      </c>
      <c r="BI5" s="15" t="str">
        <f>IFERROR(IF(VLOOKUP($E$9,padroes[],103,0)&lt;&gt;"","A",""),"")</f>
        <v>A</v>
      </c>
      <c r="BJ5" s="2" t="str">
        <f>IF(VLOOKUP($E$9,padroes[],103,0)&lt;&gt;"",LEFT($E$7,$E$5-2-VLOOKUP($E$9,padroes[],103,0)),LEFT($E$7,$E$5-2))</f>
        <v>h</v>
      </c>
      <c r="BK5" s="2" t="str">
        <f>IFERROR(IF(VLOOKUP($E$9,padroes[],104,0)="",VLOOKUP($E$10,padroes[],104,0),VLOOKUP($E$9,padroes[],104,0)),"")</f>
        <v>ouver</v>
      </c>
      <c r="BM5" s="12" t="str">
        <f t="shared" si="9"/>
        <v>haver</v>
      </c>
      <c r="BN5" s="15" t="str">
        <f>IFERROR(IF(VLOOKUP($E$9,padroes[],116,0)="","","I"),"")</f>
        <v/>
      </c>
      <c r="BO5" s="15" t="str">
        <f>IFERROR(IF(VLOOKUP($E$9,padroes[],115,0)&lt;&gt;"","A",""),"")</f>
        <v/>
      </c>
      <c r="BP5" s="2" t="str">
        <f>IF(VLOOKUP($E$9,padroes[],115,0)&lt;&gt;"",LEFT($E$7,$E$5-2-VLOOKUP($E$9,padroes[],115,0)),LEFT($E$7,$E$5-2))</f>
        <v>hav</v>
      </c>
      <c r="BQ5" s="2" t="str">
        <f>IFERROR(IF(VLOOKUP($E$9,padroes[],116,0)="",VLOOKUP($E$10,padroes[],104,0),VLOOKUP($E$9,padroes[],116,0)),"")</f>
        <v>er</v>
      </c>
    </row>
    <row r="6" spans="1:69" x14ac:dyDescent="0.25">
      <c r="A6" s="18" t="s">
        <v>238</v>
      </c>
      <c r="B6" s="19" t="str">
        <f>IF(E9="não é verbo","",IF(E9="xxxxx","",E9))</f>
        <v>haver</v>
      </c>
      <c r="C6" s="6"/>
      <c r="D6" s="4" t="s">
        <v>292</v>
      </c>
      <c r="E6" s="3" t="str">
        <f>IF(AND(E16=TRUE(),OR(E17=TRUE(),E18=TRUE(),E19=TRUE())),"verbo", "não é verbo")</f>
        <v>verbo</v>
      </c>
      <c r="F6" s="16"/>
      <c r="G6" s="17"/>
      <c r="H6" s="3"/>
      <c r="J6" s="13" t="s">
        <v>283</v>
      </c>
      <c r="K6" s="14" t="str">
        <f t="shared" si="1"/>
        <v>havemos</v>
      </c>
      <c r="L6" s="15" t="str">
        <f>IFERROR(IF(VLOOKUP(E9,padroes[],10,0)="","","I"),"")</f>
        <v/>
      </c>
      <c r="M6" s="15" t="str">
        <f>IFERROR(IF(VLOOKUP($E$9,padroes[],9,0)&lt;&gt;"","A",""),"")</f>
        <v/>
      </c>
      <c r="N6" s="2" t="str">
        <f>IF(VLOOKUP($E$9,padroes[],9,0)&lt;&gt;"",LEFT(E7,E5-2-VLOOKUP($E$9,padroes[],9,0)),LEFT(E7,E5-2))</f>
        <v>hav</v>
      </c>
      <c r="O6" s="2" t="str">
        <f>IFERROR(IF(VLOOKUP($E$9,padroes[],10,0)="",VLOOKUP($E$10,padroes[],10,0),VLOOKUP($E$9,padroes[],10,0)),"")</f>
        <v>emos</v>
      </c>
      <c r="Q6" s="12" t="str">
        <f t="shared" si="2"/>
        <v>houvemos</v>
      </c>
      <c r="R6" s="15" t="str">
        <f>IFERROR(IF(VLOOKUP($E$9,padroes[],22,0)="","","I"),"")</f>
        <v>I</v>
      </c>
      <c r="S6" s="15" t="str">
        <f>IFERROR(IF(VLOOKUP($E$9,padroes[],21,0)&lt;&gt;"","A",""),"")</f>
        <v>A</v>
      </c>
      <c r="T6" s="2" t="str">
        <f>IF(VLOOKUP($E$9,padroes[],21,0)&lt;&gt;"",LEFT($E$7,$E$5-2-VLOOKUP($E$9,padroes[],21,0)),LEFT($E$7,$E$5-2))</f>
        <v>h</v>
      </c>
      <c r="U6" s="2" t="str">
        <f>IFERROR(IF(VLOOKUP($E$9,padroes[],22,0)="",VLOOKUP($E$10,padroes[],22,0),VLOOKUP($E$9,padroes[],22,0)),"")</f>
        <v>ouvemos</v>
      </c>
      <c r="W6" s="12" t="str">
        <f t="shared" si="3"/>
        <v>havíamos</v>
      </c>
      <c r="X6" s="15" t="str">
        <f>IFERROR(IF(VLOOKUP($E$9,padroes[],34,0)="","","I"),"")</f>
        <v/>
      </c>
      <c r="Y6" s="15" t="str">
        <f>IFERROR(IF(VLOOKUP($E$9,padroes[],33,0)&lt;&gt;"","A",""),"")</f>
        <v/>
      </c>
      <c r="Z6" s="2" t="str">
        <f>IF(VLOOKUP($E$9,padroes[],33,0)&lt;&gt;"",LEFT($E$7,$E$5-2-VLOOKUP($E$9,padroes[],33,0)),LEFT($E$7,$E$5-2))</f>
        <v>hav</v>
      </c>
      <c r="AA6" s="2" t="str">
        <f>IFERROR(IF(VLOOKUP($E$9,padroes[],34,0)="",VLOOKUP($E$10,padroes[],34,0),VLOOKUP($E$9,padroes[],34,0)),"")</f>
        <v>íamos</v>
      </c>
      <c r="AC6" s="12" t="str">
        <f t="shared" si="0"/>
        <v>houvéramos</v>
      </c>
      <c r="AD6" s="15" t="str">
        <f>IFERROR(IF(VLOOKUP($E$9,padroes[],46,0)="","","I"),"")</f>
        <v>I</v>
      </c>
      <c r="AE6" s="15" t="str">
        <f>IFERROR(IF(VLOOKUP($E$9,padroes[],45,0)&lt;&gt;"","A",""),"")</f>
        <v>A</v>
      </c>
      <c r="AF6" s="2" t="str">
        <f>IF(VLOOKUP($E$9,padroes[],45,0)&lt;&gt;"",LEFT($E$7,$E$5-2-VLOOKUP($E$9,padroes[],45,0)),LEFT($E$7,$E$5-2))</f>
        <v>h</v>
      </c>
      <c r="AG6" s="2" t="str">
        <f>IFERROR(IF(VLOOKUP($E$9,padroes[],46,0)="",VLOOKUP($E$10,padroes[],46,0),VLOOKUP($E$9,padroes[],46,0)),"")</f>
        <v>ouvéramos</v>
      </c>
      <c r="AI6" s="12" t="str">
        <f t="shared" si="4"/>
        <v>haveremos</v>
      </c>
      <c r="AJ6" s="15" t="str">
        <f>IFERROR(IF(VLOOKUP($E$9,padroes[],58,0)="","","I"),"")</f>
        <v/>
      </c>
      <c r="AK6" s="15" t="str">
        <f>IFERROR(IF(VLOOKUP($E$9,padroes[],55,0)&lt;&gt;"","A",""),"")</f>
        <v/>
      </c>
      <c r="AL6" s="2" t="str">
        <f>IF(VLOOKUP($E$9,padroes[],57,0)&lt;&gt;"",LEFT($E$7,$E$5-2-VLOOKUP($E$9,padroes[],57,0)),LEFT($E$7,$E$5-2))</f>
        <v>hav</v>
      </c>
      <c r="AM6" s="2" t="str">
        <f>IFERROR(IF(VLOOKUP($E$9,padroes[],58,0)="",VLOOKUP($E$10,padroes[],58,0),VLOOKUP($E$9,padroes[],58,0)),"")</f>
        <v>eremos</v>
      </c>
      <c r="AO6" s="12" t="str">
        <f t="shared" si="5"/>
        <v>haveríamos</v>
      </c>
      <c r="AP6" s="15" t="str">
        <f>IFERROR(IF(VLOOKUP($E$9,padroes[],70,0)="","","I"),"")</f>
        <v/>
      </c>
      <c r="AQ6" s="15" t="str">
        <f>IFERROR(IF(VLOOKUP($E$9,padroes[],69,0)&lt;&gt;"","A",""),"")</f>
        <v/>
      </c>
      <c r="AR6" s="2" t="str">
        <f>IF(VLOOKUP($E$9,padroes[],69,0)&lt;&gt;"",LEFT($E$7,$E$5-2-VLOOKUP($E$9,padroes[],69,0)),LEFT($E$7,$E$5-2))</f>
        <v>hav</v>
      </c>
      <c r="AS6" s="2" t="str">
        <f>IFERROR(IF(VLOOKUP($E$9,padroes[],70,0)="",VLOOKUP($E$10,padroes[],70,0),VLOOKUP($E$9,padroes[],70,0)),"")</f>
        <v>eríamos</v>
      </c>
      <c r="AU6" s="12" t="str">
        <f t="shared" si="6"/>
        <v>hajamos</v>
      </c>
      <c r="AV6" s="15" t="str">
        <f>IFERROR(IF(VLOOKUP($E$9,padroes[],82,0)="","","I"),"")</f>
        <v>I</v>
      </c>
      <c r="AW6" s="15" t="str">
        <f>IFERROR(IF(VLOOKUP($E$9,padroes[],81,0)&lt;&gt;"","A",""),"")</f>
        <v>A</v>
      </c>
      <c r="AX6" s="2" t="str">
        <f>IF(VLOOKUP($E$9,padroes[],81,0)&lt;&gt;"",LEFT($E$7,$E$5-2-VLOOKUP($E$9,padroes[],81,0)),LEFT($E$7,$E$5-2))</f>
        <v>ha</v>
      </c>
      <c r="AY6" s="2" t="str">
        <f>IFERROR(IF(VLOOKUP($E$9,padroes[],82,0)="",VLOOKUP($E$10,padroes[],82,0),VLOOKUP($E$9,padroes[],82,0)),"")</f>
        <v>jamos</v>
      </c>
      <c r="BA6" s="12" t="str">
        <f t="shared" si="7"/>
        <v>houvéssemos</v>
      </c>
      <c r="BB6" s="15" t="str">
        <f>IFERROR(IF(VLOOKUP($E$9,padroes[],94,0)="","","I"),"")</f>
        <v>I</v>
      </c>
      <c r="BC6" s="15" t="str">
        <f>IFERROR(IF(VLOOKUP($E$9,padroes[],93,0)&lt;&gt;"","A",""),"")</f>
        <v>A</v>
      </c>
      <c r="BD6" s="2" t="str">
        <f>IF(VLOOKUP($E$9,padroes[],93,0)&lt;&gt;"",LEFT($E$7,$E$5-2-VLOOKUP($E$9,padroes[],93,0)),LEFT($E$7,$E$5-2))</f>
        <v>h</v>
      </c>
      <c r="BE6" s="2" t="str">
        <f>IFERROR(IF(VLOOKUP($E$9,padroes[],94,0)="",VLOOKUP($E$10,padroes[],94,0),VLOOKUP($E$9,padroes[],94,0)),"")</f>
        <v>ouvéssemos</v>
      </c>
      <c r="BG6" s="12" t="str">
        <f t="shared" si="8"/>
        <v>houvermos</v>
      </c>
      <c r="BH6" s="15" t="str">
        <f>IFERROR(IF(VLOOKUP($E$9,padroes[],106,0)="","","I"),"")</f>
        <v>I</v>
      </c>
      <c r="BI6" s="15" t="str">
        <f>IFERROR(IF(VLOOKUP($E$9,padroes[],105,0)&lt;&gt;"","A",""),"")</f>
        <v>A</v>
      </c>
      <c r="BJ6" s="2" t="str">
        <f>IF(VLOOKUP($E$9,padroes[],105,0)&lt;&gt;"",LEFT($E$7,$E$5-2-VLOOKUP($E$9,padroes[],105,0)),LEFT($E$7,$E$5-2))</f>
        <v>h</v>
      </c>
      <c r="BK6" s="2" t="str">
        <f>IFERROR(IF(VLOOKUP($E$9,padroes[],106,0)="",VLOOKUP($E$10,padroes[],106,0),VLOOKUP($E$9,padroes[],106,0)),"")</f>
        <v>ouvermos</v>
      </c>
      <c r="BM6" s="12" t="str">
        <f t="shared" si="9"/>
        <v>havermos</v>
      </c>
      <c r="BN6" s="15" t="str">
        <f>IFERROR(IF(VLOOKUP($E$9,padroes[],118,0)="","","I"),"")</f>
        <v/>
      </c>
      <c r="BO6" s="15" t="str">
        <f>IFERROR(IF(VLOOKUP($E$9,padroes[],117,0)&lt;&gt;"","A",""),"")</f>
        <v/>
      </c>
      <c r="BP6" s="2" t="str">
        <f>IF(VLOOKUP($E$9,padroes[],117,0)&lt;&gt;"",LEFT($E$7,$E$5-2-VLOOKUP($E$9,padroes[],117,0)),LEFT($E$7,$E$5-2))</f>
        <v>hav</v>
      </c>
      <c r="BQ6" s="2" t="str">
        <f>IFERROR(IF(VLOOKUP($E$9,padroes[],118,0)="",VLOOKUP($E$10,padroes[],106,0),VLOOKUP($E$9,padroes[],118,0)),"")</f>
        <v>ermos</v>
      </c>
    </row>
    <row r="7" spans="1:69" x14ac:dyDescent="0.25">
      <c r="A7" s="18" t="s">
        <v>237</v>
      </c>
      <c r="B7" s="6" t="str">
        <f>IFERROR(IF(E9="xxxxx",VLOOKUP(E10,padroes[],2,0),VLOOKUP(E9,padroes[],2,0)),"")</f>
        <v>HAVER</v>
      </c>
      <c r="C7" s="6"/>
      <c r="D7" s="4" t="s">
        <v>293</v>
      </c>
      <c r="E7" s="3" t="str">
        <f>IF(E6="verbo",E3,"")</f>
        <v>haver</v>
      </c>
      <c r="F7" s="11" t="s">
        <v>593</v>
      </c>
      <c r="G7" s="12" t="str">
        <f>IFERROR(IF(VLOOKUP($E$9,padroes[],125,0)=1,"",LEFT(E7,E5-2) &amp; VLOOKUP($E$10,padroes[],127,0)),"")</f>
        <v>havido</v>
      </c>
      <c r="H7" s="15" t="str">
        <f>IF(G7&lt;&gt;"","R","")</f>
        <v>R</v>
      </c>
      <c r="J7" s="13" t="s">
        <v>284</v>
      </c>
      <c r="K7" s="14" t="str">
        <f t="shared" si="1"/>
        <v>haveis</v>
      </c>
      <c r="L7" s="15" t="str">
        <f>IFERROR(IF(VLOOKUP(E9,padroes[],12,0)="","","I"),"")</f>
        <v/>
      </c>
      <c r="M7" s="15" t="str">
        <f>IFERROR(IF(VLOOKUP($E$9,padroes[],11,0)&lt;&gt;"","A",""),"")</f>
        <v/>
      </c>
      <c r="N7" s="2" t="str">
        <f>IF(VLOOKUP($E$9,padroes[],11,0)&lt;&gt;"",LEFT(E7,E5-2-VLOOKUP($E$9,padroes[],11,0)),LEFT(E7,E5-2))</f>
        <v>hav</v>
      </c>
      <c r="O7" s="2" t="str">
        <f>IFERROR(IF(VLOOKUP($E$9,padroes[],12,0)="",VLOOKUP($E$10,padroes[],12,0),VLOOKUP($E$9,padroes[],12,0)),"")</f>
        <v>eis</v>
      </c>
      <c r="Q7" s="12" t="str">
        <f t="shared" si="2"/>
        <v>houvestes</v>
      </c>
      <c r="R7" s="15" t="str">
        <f>IFERROR(IF(VLOOKUP($E$9,padroes[],24,0)="","","I"),"")</f>
        <v>I</v>
      </c>
      <c r="S7" s="15" t="str">
        <f>IFERROR(IF(VLOOKUP($E$9,padroes[],23,0)&lt;&gt;"","A",""),"")</f>
        <v>A</v>
      </c>
      <c r="T7" s="2" t="str">
        <f>IF(VLOOKUP($E$9,padroes[],23,0)&lt;&gt;"",LEFT(E7,$E$5-2-VLOOKUP($E$9,padroes[],23,0)),LEFT($E$7,$E$5-2))</f>
        <v>h</v>
      </c>
      <c r="U7" s="2" t="str">
        <f>IFERROR(IF(VLOOKUP($E$9,padroes[],24,0)="",VLOOKUP($E$10,padroes[],24,0),VLOOKUP($E$9,padroes[],24,0)),"")</f>
        <v>ouvestes</v>
      </c>
      <c r="W7" s="12" t="str">
        <f t="shared" si="3"/>
        <v>havíeis</v>
      </c>
      <c r="X7" s="15" t="str">
        <f>IFERROR(IF(VLOOKUP($E$9,padroes[],36,0)="","","I"),"")</f>
        <v/>
      </c>
      <c r="Y7" s="15" t="str">
        <f>IFERROR(IF(VLOOKUP($E$9,padroes[],35,0)&lt;&gt;"","A",""),"")</f>
        <v/>
      </c>
      <c r="Z7" s="2" t="str">
        <f>IF(VLOOKUP($E$9,padroes[],35,0)&lt;&gt;"",LEFT(L7,$E$5-2-VLOOKUP($E$9,padroes[],35,0)),LEFT($E$7,$E$5-2))</f>
        <v>hav</v>
      </c>
      <c r="AA7" s="2" t="str">
        <f>IFERROR(IF(VLOOKUP($E$9,padroes[],36,0)="",VLOOKUP($E$10,padroes[],36,0),VLOOKUP($E$9,padroes[],36,0)),"")</f>
        <v>íeis</v>
      </c>
      <c r="AC7" s="12" t="str">
        <f t="shared" si="0"/>
        <v>houvéreis</v>
      </c>
      <c r="AD7" s="15" t="str">
        <f>IFERROR(IF(VLOOKUP($E$9,padroes[],48,0)="","","I"),"")</f>
        <v>I</v>
      </c>
      <c r="AE7" s="15" t="str">
        <f>IFERROR(IF(VLOOKUP($E$9,padroes[],47,0)&lt;&gt;"","A",""),"")</f>
        <v>A</v>
      </c>
      <c r="AF7" s="2" t="str">
        <f>IF(VLOOKUP($E$9,padroes[],47,0)&lt;&gt;"",LEFT($E$7,$E$5-2-VLOOKUP($E$9,padroes[],47,0)),LEFT($E$7,$E$5-2))</f>
        <v>h</v>
      </c>
      <c r="AG7" s="2" t="str">
        <f>IFERROR(IF(VLOOKUP($E$9,padroes[],48,0)="",VLOOKUP($E$10,padroes[],48,0),VLOOKUP($E$9,padroes[],48,0)),"")</f>
        <v>ouvéreis</v>
      </c>
      <c r="AI7" s="12" t="str">
        <f t="shared" si="4"/>
        <v>havereis</v>
      </c>
      <c r="AJ7" s="15" t="str">
        <f>IFERROR(IF(VLOOKUP($E$9,padroes[],60,0)="","","I"),"")</f>
        <v/>
      </c>
      <c r="AK7" s="15" t="str">
        <f>IFERROR(IF(VLOOKUP($E$9,padroes[],59,0)&lt;&gt;"","A",""),"")</f>
        <v/>
      </c>
      <c r="AL7" s="2" t="str">
        <f>IF(VLOOKUP($E$9,padroes[],59,0)&lt;&gt;"",LEFT($E$7,$E$5-2-VLOOKUP($E$9,padroes[],59,0)),LEFT($E$7,$E$5-2))</f>
        <v>hav</v>
      </c>
      <c r="AM7" s="2" t="str">
        <f>IFERROR(IF(VLOOKUP($E$9,padroes[],60,0)="",VLOOKUP($E$10,padroes[],60,0),VLOOKUP($E$9,padroes[],60,0)),"")</f>
        <v>ereis</v>
      </c>
      <c r="AO7" s="12" t="str">
        <f t="shared" si="5"/>
        <v>haveríeis</v>
      </c>
      <c r="AP7" s="15" t="str">
        <f>IFERROR(IF(VLOOKUP($E$9,padroes[],72,0)="","","I"),"")</f>
        <v/>
      </c>
      <c r="AQ7" s="15" t="str">
        <f>IFERROR(IF(VLOOKUP($E$9,padroes[],71,0)&lt;&gt;"","A",""),"")</f>
        <v/>
      </c>
      <c r="AR7" s="2" t="str">
        <f>IF(VLOOKUP($E$9,padroes[],71,0)&lt;&gt;"",LEFT($E$7,$E$5-2-VLOOKUP($E$9,padroes[],71,0)),LEFT($E$7,$E$5-2))</f>
        <v>hav</v>
      </c>
      <c r="AS7" s="2" t="str">
        <f>IFERROR(IF(VLOOKUP($E$9,padroes[],72,0)="",VLOOKUP($E$10,padroes[],72,0),VLOOKUP($E$9,padroes[],72,0)),"")</f>
        <v>eríeis</v>
      </c>
      <c r="AU7" s="12" t="str">
        <f t="shared" si="6"/>
        <v>hajais</v>
      </c>
      <c r="AV7" s="15" t="str">
        <f>IFERROR(IF(VLOOKUP($E$9,padroes[],84,0)="","","I"),"")</f>
        <v>I</v>
      </c>
      <c r="AW7" s="15" t="str">
        <f>IFERROR(IF(VLOOKUP($E$9,padroes[],83,0)&lt;&gt;"","A",""),"")</f>
        <v>A</v>
      </c>
      <c r="AX7" s="2" t="str">
        <f>IF(VLOOKUP($E$9,padroes[],83,0)&lt;&gt;"",LEFT($E$7,$E$5-2-VLOOKUP($E$9,padroes[],83,0)),LEFT($E$7,$E$5-2))</f>
        <v>ha</v>
      </c>
      <c r="AY7" s="2" t="str">
        <f>IFERROR(IF(VLOOKUP($E$9,padroes[],84,0)="",VLOOKUP($E$10,padroes[],84,0),VLOOKUP($E$9,padroes[],84,0)),"")</f>
        <v>jais</v>
      </c>
      <c r="BA7" s="12" t="str">
        <f t="shared" si="7"/>
        <v>houvésseis</v>
      </c>
      <c r="BB7" s="15" t="str">
        <f>IFERROR(IF(VLOOKUP($E$9,padroes[],96,0)="","","I"),"")</f>
        <v>I</v>
      </c>
      <c r="BC7" s="15" t="str">
        <f>IFERROR(IF(VLOOKUP($E$9,padroes[],95,0)&lt;&gt;"","A",""),"")</f>
        <v>A</v>
      </c>
      <c r="BD7" s="2" t="str">
        <f>IF(VLOOKUP($E$9,padroes[],95,0)&lt;&gt;"",LEFT($E$7,$E$5-2-VLOOKUP($E$9,padroes[],95,0)),LEFT($E$7,$E$5-2))</f>
        <v>h</v>
      </c>
      <c r="BE7" s="2" t="str">
        <f>IFERROR(IF(VLOOKUP($E$9,padroes[],96,0)="",VLOOKUP($E$10,padroes[],96,0),VLOOKUP($E$9,padroes[],96,0)),"")</f>
        <v>ouvésseis</v>
      </c>
      <c r="BG7" s="12" t="str">
        <f t="shared" si="8"/>
        <v>houverdes</v>
      </c>
      <c r="BH7" s="15" t="str">
        <f>IFERROR(IF(VLOOKUP($E$9,padroes[],108,0)="","","I"),"")</f>
        <v>I</v>
      </c>
      <c r="BI7" s="15" t="str">
        <f>IFERROR(IF(VLOOKUP($E$9,padroes[],107,0)&lt;&gt;"","A",""),"")</f>
        <v>A</v>
      </c>
      <c r="BJ7" s="2" t="str">
        <f>IF(VLOOKUP($E$9,padroes[],107,0)&lt;&gt;"",LEFT($E$7,$E$5-2-VLOOKUP($E$9,padroes[],107,0)),LEFT($E$7,$E$5-2))</f>
        <v>h</v>
      </c>
      <c r="BK7" s="2" t="str">
        <f>IFERROR(IF(VLOOKUP($E$9,padroes[],108,0)="",VLOOKUP($E$10,padroes[],108,0),VLOOKUP($E$9,padroes[],108,0)),"")</f>
        <v>ouverdes</v>
      </c>
      <c r="BM7" s="12" t="str">
        <f t="shared" si="9"/>
        <v>haverdes</v>
      </c>
      <c r="BN7" s="15" t="str">
        <f>IFERROR(IF(VLOOKUP($E$9,padroes[],120,0)="","","I"),"")</f>
        <v/>
      </c>
      <c r="BO7" s="15" t="str">
        <f>IFERROR(IF(VLOOKUP($E$9,padroes[],119,0)&lt;&gt;"","A",""),"")</f>
        <v/>
      </c>
      <c r="BP7" s="2" t="str">
        <f>IF(VLOOKUP($E$9,padroes[],119,0)&lt;&gt;"",LEFT(BB7,$E$5-2-VLOOKUP($E$9,padroes[],119,0)),LEFT($E$7,$E$5-2))</f>
        <v>hav</v>
      </c>
      <c r="BQ7" s="2" t="str">
        <f>IFERROR(IF(VLOOKUP($E$9,padroes[],120,0)="",VLOOKUP($E$10,padroes[],108,0),VLOOKUP($E$9,padroes[],120,0)),"")</f>
        <v>erdes</v>
      </c>
    </row>
    <row r="8" spans="1:69" x14ac:dyDescent="0.25">
      <c r="A8" s="6"/>
      <c r="B8" s="6"/>
      <c r="C8" s="6"/>
      <c r="D8" s="4" t="s">
        <v>294</v>
      </c>
      <c r="E8" s="3" t="str">
        <f>IFERROR(IF(E6="não é verbo",E6,VLOOKUP(E7,irregulares[],2,0)), "não localizado")</f>
        <v>haver</v>
      </c>
      <c r="F8" s="20"/>
      <c r="G8" s="12" t="str">
        <f>IFERROR(IF(VLOOKUP($E$9,padroes[],127,0)&lt;&gt;"",LEFT($E$7,$E$5-2-VLOOKUP(E9,padroes[],126,0))&amp;VLOOKUP($E$9,padroes[],127,0),""),"")</f>
        <v/>
      </c>
      <c r="H8" s="15" t="str">
        <f>IF(G8&lt;&gt;"","I","")</f>
        <v/>
      </c>
      <c r="J8" s="13" t="s">
        <v>285</v>
      </c>
      <c r="K8" s="14" t="str">
        <f t="shared" si="1"/>
        <v>hão</v>
      </c>
      <c r="L8" s="15" t="str">
        <f>IFERROR(IF(VLOOKUP(E9,padroes[],14,0)="","","I"),"")</f>
        <v>I</v>
      </c>
      <c r="M8" s="15" t="str">
        <f>IFERROR(IF(VLOOKUP($E$9,padroes[],13,0)&lt;&gt;"","A",""),"")</f>
        <v>A</v>
      </c>
      <c r="N8" s="2" t="str">
        <f>IF(VLOOKUP($E$9,padroes[],13,0)&lt;&gt;"",LEFT(E7,E5-2-VLOOKUP($E$9,padroes[],13,0)),LEFT(E7,E5-2))</f>
        <v>h</v>
      </c>
      <c r="O8" s="2" t="str">
        <f>IFERROR(IF(VLOOKUP($E$9,padroes[],14,0)="",VLOOKUP($E$10,padroes[],14,0),VLOOKUP($E$9,padroes[],14,0)),"")</f>
        <v>ão</v>
      </c>
      <c r="Q8" s="12" t="str">
        <f t="shared" si="2"/>
        <v>houveram</v>
      </c>
      <c r="R8" s="15" t="str">
        <f>IFERROR(IF(VLOOKUP($E$9,padroes[],26,0)="","","I"),"")</f>
        <v>I</v>
      </c>
      <c r="S8" s="15" t="str">
        <f>IFERROR(IF(VLOOKUP($E$9,padroes[],25,0)&lt;&gt;"","A",""),"")</f>
        <v>A</v>
      </c>
      <c r="T8" s="2" t="str">
        <f>IF(VLOOKUP($E$9,padroes[],25,0)&lt;&gt;"",LEFT($E$7,$E$5-2-VLOOKUP($E$9,padroes[],25,0)),LEFT($E$7,$E$5-2))</f>
        <v>h</v>
      </c>
      <c r="U8" s="2" t="str">
        <f>IFERROR(IF(VLOOKUP($E$9,padroes[],26,0)="",VLOOKUP($E$10,padroes[],26,0),VLOOKUP($E$9,padroes[],26,0)),"")</f>
        <v>ouveram</v>
      </c>
      <c r="W8" s="12" t="str">
        <f t="shared" si="3"/>
        <v>haviam</v>
      </c>
      <c r="X8" s="15" t="str">
        <f>IFERROR(IF(VLOOKUP($E$9,padroes[],38,0)="","","I"),"")</f>
        <v/>
      </c>
      <c r="Y8" s="15" t="str">
        <f>IFERROR(IF(VLOOKUP($E$9,padroes[],37,0)&lt;&gt;"","A",""),"")</f>
        <v/>
      </c>
      <c r="Z8" s="2" t="str">
        <f>IF(VLOOKUP($E$9,padroes[],37,0)&lt;&gt;"",LEFT($E$7,$E$5-2-VLOOKUP($E$9,padroes[],37,0)),LEFT($E$7,$E$5-2))</f>
        <v>hav</v>
      </c>
      <c r="AA8" s="2" t="str">
        <f>IFERROR(IF(VLOOKUP($E$9,padroes[],38,0)="",VLOOKUP($E$10,padroes[],38,0),VLOOKUP($E$9,padroes[],38,0)),"")</f>
        <v>iam</v>
      </c>
      <c r="AC8" s="12" t="str">
        <f t="shared" si="0"/>
        <v>houveram</v>
      </c>
      <c r="AD8" s="15" t="str">
        <f>IFERROR(IF(VLOOKUP($E$9,padroes[],50,0)="","","I"),"")</f>
        <v>I</v>
      </c>
      <c r="AE8" s="15" t="str">
        <f>IFERROR(IF(VLOOKUP($E$9,padroes[],49,0)&lt;&gt;"","A",""),"")</f>
        <v>A</v>
      </c>
      <c r="AF8" s="2" t="str">
        <f>IF(VLOOKUP($E$9,padroes[],49,0)&lt;&gt;"",LEFT($E$7,$E$5-2-VLOOKUP($E$9,padroes[],49,0)),LEFT($E$7,$E$5-2))</f>
        <v>h</v>
      </c>
      <c r="AG8" s="2" t="str">
        <f>IFERROR(IF(VLOOKUP($E$9,padroes[],50,0)="",VLOOKUP($E$10,padroes[],50,0),VLOOKUP($E$9,padroes[],50,0)),"")</f>
        <v>ouveram</v>
      </c>
      <c r="AI8" s="12" t="str">
        <f t="shared" si="4"/>
        <v>haverão</v>
      </c>
      <c r="AJ8" s="15" t="str">
        <f>IFERROR(IF(VLOOKUP($E$9,padroes[],62,0)="","","I"),"")</f>
        <v/>
      </c>
      <c r="AK8" s="15" t="str">
        <f>IFERROR(IF(VLOOKUP($E$9,padroes[],61,0)&lt;&gt;"","A",""),"")</f>
        <v/>
      </c>
      <c r="AL8" s="2" t="str">
        <f>IF(VLOOKUP($E$9,padroes[],61,0)&lt;&gt;"",LEFT($E$7,$E$5-2-VLOOKUP($E$9,padroes[],61,0)),LEFT($E$7,$E$5-2))</f>
        <v>hav</v>
      </c>
      <c r="AM8" s="2" t="str">
        <f>IFERROR(IF(VLOOKUP($E$9,padroes[],62,0)="",VLOOKUP($E$10,padroes[],62,0),VLOOKUP($E$9,padroes[],62,0)),"")</f>
        <v>erão</v>
      </c>
      <c r="AO8" s="12" t="str">
        <f t="shared" si="5"/>
        <v>haveriam</v>
      </c>
      <c r="AP8" s="15" t="str">
        <f>IFERROR(IF(VLOOKUP($E$9,padroes[],74,0)="","","I"),"")</f>
        <v/>
      </c>
      <c r="AQ8" s="15" t="str">
        <f>IFERROR(IF(VLOOKUP($E$9,padroes[],73,0)&lt;&gt;"","A",""),"")</f>
        <v/>
      </c>
      <c r="AR8" s="2" t="str">
        <f>IF(VLOOKUP($E$9,padroes[],73,0)&lt;&gt;"",LEFT($E$7,$E$5-2-VLOOKUP($E$9,padroes[],73,0)),LEFT($E$7,$E$5-2))</f>
        <v>hav</v>
      </c>
      <c r="AS8" s="2" t="str">
        <f>IFERROR(IF(VLOOKUP($E$9,padroes[],74,0)="",VLOOKUP($E$10,padroes[],74,0),VLOOKUP($E$9,padroes[],74,0)),"")</f>
        <v>eriam</v>
      </c>
      <c r="AU8" s="12" t="str">
        <f t="shared" si="6"/>
        <v>hajam</v>
      </c>
      <c r="AV8" s="15" t="str">
        <f>IFERROR(IF(VLOOKUP($E$9,padroes[],86,0)="","","I"),"")</f>
        <v>I</v>
      </c>
      <c r="AW8" s="15" t="str">
        <f>IFERROR(IF(VLOOKUP($E$9,padroes[],85,0)&lt;&gt;"","A",""),"")</f>
        <v>A</v>
      </c>
      <c r="AX8" s="2" t="str">
        <f>IF(VLOOKUP($E$9,padroes[],85,0)&lt;&gt;"",LEFT($E$7,$E$5-2-VLOOKUP($E$9,padroes[],85,0)),LEFT($E$7,$E$5-2))</f>
        <v>ha</v>
      </c>
      <c r="AY8" s="2" t="str">
        <f>IFERROR(IF(VLOOKUP($E$9,padroes[],86,0)="",VLOOKUP($E$10,padroes[],86,0),VLOOKUP($E$9,padroes[],86,0)),"")</f>
        <v>jam</v>
      </c>
      <c r="BA8" s="12" t="str">
        <f t="shared" si="7"/>
        <v>houvessem</v>
      </c>
      <c r="BB8" s="15" t="str">
        <f>IFERROR(IF(VLOOKUP($E$9,padroes[],98,0)="","","I"),"")</f>
        <v>I</v>
      </c>
      <c r="BC8" s="15" t="str">
        <f>IFERROR(IF(VLOOKUP($E$9,padroes[],97,0)&lt;&gt;"","A",""),"")</f>
        <v>A</v>
      </c>
      <c r="BD8" s="2" t="str">
        <f>IF(VLOOKUP($E$9,padroes[],97,0)&lt;&gt;"",LEFT($E$7,$E$5-2-VLOOKUP($E$9,padroes[],97,0)),LEFT($E$7,$E$5-2))</f>
        <v>h</v>
      </c>
      <c r="BE8" s="2" t="str">
        <f>IFERROR(IF(VLOOKUP($E$9,padroes[],98,0)="",VLOOKUP($E$10,padroes[],98,0),VLOOKUP($E$9,padroes[],98,0)),"")</f>
        <v>ouvessem</v>
      </c>
      <c r="BG8" s="12" t="str">
        <f t="shared" si="8"/>
        <v>houverem</v>
      </c>
      <c r="BH8" s="15" t="str">
        <f>IFERROR(IF(VLOOKUP($E$9,padroes[],110,0)="","","I"),"")</f>
        <v>I</v>
      </c>
      <c r="BI8" s="15" t="str">
        <f>IFERROR(IF(VLOOKUP($E$9,padroes[],109,0)&lt;&gt;"","A",""),"")</f>
        <v>A</v>
      </c>
      <c r="BJ8" s="2" t="str">
        <f>IF(VLOOKUP($E$9,padroes[],109,0)&lt;&gt;"",LEFT($E$7,$E$5-2-VLOOKUP($E$9,padroes[],109,0)),LEFT($E$7,$E$5-2))</f>
        <v>h</v>
      </c>
      <c r="BK8" s="2" t="str">
        <f>IFERROR(IF(VLOOKUP($E$9,padroes[],110,0)="",VLOOKUP($E$10,padroes[],110,0),VLOOKUP($E$9,padroes[],110,0)),"")</f>
        <v>ouverem</v>
      </c>
      <c r="BM8" s="12" t="str">
        <f t="shared" si="9"/>
        <v>haverem</v>
      </c>
      <c r="BN8" s="15" t="str">
        <f>IFERROR(IF(VLOOKUP($E$9,padroes[],122,0)="","","I"),"")</f>
        <v/>
      </c>
      <c r="BO8" s="15" t="str">
        <f>IFERROR(IF(VLOOKUP($E$9,padroes[],121,0)&lt;&gt;"","A",""),"")</f>
        <v/>
      </c>
      <c r="BP8" s="2" t="str">
        <f>IF(VLOOKUP($E$9,padroes[],121,0)&lt;&gt;"",LEFT($E$7,$E$5-2-VLOOKUP($E$9,padroes[],121,0)),LEFT($E$7,$E$5-2))</f>
        <v>hav</v>
      </c>
      <c r="BQ8" s="2" t="str">
        <f>IFERROR(IF(VLOOKUP($E$9,padroes[],122,0)="",VLOOKUP($E$10,padroes[],110,0),VLOOKUP($E$9,padroes[],122,0)),"")</f>
        <v>erem</v>
      </c>
    </row>
    <row r="9" spans="1:69" x14ac:dyDescent="0.25">
      <c r="A9" s="6"/>
      <c r="B9" s="21" t="s">
        <v>265</v>
      </c>
      <c r="C9" s="6"/>
      <c r="D9" s="4" t="s">
        <v>587</v>
      </c>
      <c r="E9" s="3" t="str">
        <f>IF(E8="não localizado","xxxxx",E8)</f>
        <v>haver</v>
      </c>
      <c r="G9" s="17"/>
      <c r="K9" s="22"/>
      <c r="L9" s="22"/>
    </row>
    <row r="10" spans="1:69" x14ac:dyDescent="0.25">
      <c r="A10" s="18" t="s">
        <v>286</v>
      </c>
      <c r="B10" s="23">
        <f>COUNTIF(L3:L8,"I")+COUNTIF(R3:R8,"I")+COUNTIF(X3:X8,"I")+COUNTIF(AD3:AD8,"I")+COUNTIF(AJ3:AJ8,"I")+COUNTIF(AP3:AP8,"I")+COUNTIF(AV3:AV8,"I")+COUNTIF(BB3:BB8,"I")+COUNTIF(BH3:BH8,"I")+COUNTIF(BN3:BN8,"I")++COUNTIF(I10:I11,"I")</f>
        <v>34</v>
      </c>
      <c r="C10" s="24">
        <f>B10/61</f>
        <v>0.55737704918032782</v>
      </c>
      <c r="D10" s="4" t="s">
        <v>588</v>
      </c>
      <c r="E10" s="3" t="str">
        <f>IF(E4="ar","xxxar",IF(E4="er","xxxer","xxxir"))</f>
        <v>xxxer</v>
      </c>
      <c r="F10" s="11" t="s">
        <v>594</v>
      </c>
      <c r="G10" s="25" t="str">
        <f>IFERROR(IF(VLOOKUP(E9,padroes[],129,0)&lt;&gt;"",VLOOKUP(E9,padroes[],129,0),LEFT(K4,LEN(K4)-1-VLOOKUP(E9,padroes[],128,0))),"")</f>
        <v>há</v>
      </c>
      <c r="H10" s="12" t="s">
        <v>281</v>
      </c>
      <c r="I10" s="15" t="str">
        <f>IFERROR(IF(VLOOKUP($E$9,padroes[],129,0)="","","I"),"")</f>
        <v/>
      </c>
    </row>
    <row r="11" spans="1:69" x14ac:dyDescent="0.25">
      <c r="A11" s="18" t="s">
        <v>287</v>
      </c>
      <c r="B11" s="23">
        <f>COUNTIF(M3:M8,"A")+COUNTIF(S3:S8,"A")+COUNTIF(Y3:Y8,"A")+COUNTIF(AE3:AE8,"A")+COUNTIF(AK3:AK8,"A")+COUNTIF(AQ3:AQ8,"A")+COUNTIF(AW3:AW8,"A")+COUNTIF(BC3:BC8,"A")+COUNTIF(BI3:BI8,"A")+COUNTIF(BO3:BO8,"A")+COUNTBLANK(G10:G11)</f>
        <v>34</v>
      </c>
      <c r="C11" s="24">
        <f>B11/61</f>
        <v>0.55737704918032782</v>
      </c>
      <c r="G11" s="25" t="str">
        <f>IFERROR(IF(VLOOKUP(E9,padroes[],131,0)&lt;&gt;"",VLOOKUP(E9,padroes[],131,0),LEFT(K7,LEN(K7)-1-VLOOKUP(E9,padroes[],130,0))),"")</f>
        <v>havei</v>
      </c>
      <c r="H11" s="12" t="s">
        <v>284</v>
      </c>
      <c r="I11" s="15" t="str">
        <f>IFERROR(IF(VLOOKUP($E$9,padroes[],131,0)="","","I"),"")</f>
        <v/>
      </c>
    </row>
    <row r="12" spans="1:69" ht="15.75" x14ac:dyDescent="0.25">
      <c r="A12" s="18" t="s">
        <v>852</v>
      </c>
      <c r="B12" s="23">
        <f>COUNTBLANK(K3:K8)+COUNTBLANK(Q3:Q8)+COUNTBLANK(W3:W8)+COUNTBLANK(AC3:AC8)+COUNTBLANK(AI3:AI8)+COUNTBLANK(AO3:AO8)+COUNTBLANK(AU3:AU8)+COUNTBLANK(BA3:BA8)+COUNTBLANK(BG3:BG8)+COUNTBLANK(BM3:BM8)</f>
        <v>0</v>
      </c>
      <c r="C12" s="24">
        <f>B12/61</f>
        <v>0</v>
      </c>
      <c r="D12" s="4"/>
      <c r="E12" s="3"/>
      <c r="K12" s="26" t="s">
        <v>853</v>
      </c>
    </row>
    <row r="13" spans="1:69" x14ac:dyDescent="0.25">
      <c r="A13" s="18" t="s">
        <v>590</v>
      </c>
      <c r="B13" s="23" t="str">
        <f>IF(G8&lt;&gt;"","Sim","Não")</f>
        <v>Não</v>
      </c>
      <c r="C13" s="27"/>
      <c r="E13" s="2" t="str">
        <f>IFERROR(IF(VLOOKUP($E$9,padroes[],127,0)&lt;&gt;"",LEFT(E7,E5-2-VLOOKUP($E$7,padroes[],127,0)),LEFT(E7,E5-2))&amp; IFERROR(IF(VLOOKUP($E$9,padroes[],128,0)="",VLOOKUP($E$10,padroes[],128,0),VLOOKUP($E$7,padroes[],128,0)),""),"")</f>
        <v>hav</v>
      </c>
      <c r="K13" s="28" t="s">
        <v>855</v>
      </c>
    </row>
    <row r="14" spans="1:69" ht="57.75" customHeight="1" x14ac:dyDescent="0.25">
      <c r="A14" s="38" t="str">
        <f>IFERROR(IF(VLOOKUP(E9,padroes[],132,0)&lt;&gt;0,VLOOKUP(E9,padroes[],132,0),""),"")</f>
        <v/>
      </c>
      <c r="B14" s="38"/>
      <c r="C14" s="38"/>
      <c r="G14" s="29" t="s">
        <v>4638</v>
      </c>
      <c r="K14" s="7" t="s">
        <v>854</v>
      </c>
      <c r="L14" s="7"/>
      <c r="M14" s="7"/>
      <c r="Q14" s="7" t="s">
        <v>856</v>
      </c>
      <c r="R14" s="7"/>
      <c r="S14" s="7"/>
      <c r="W14" s="7" t="s">
        <v>857</v>
      </c>
      <c r="X14" s="7"/>
      <c r="Y14" s="7"/>
      <c r="AC14" s="7" t="s">
        <v>861</v>
      </c>
      <c r="AD14" s="7"/>
      <c r="AE14" s="7"/>
      <c r="AI14" s="7" t="s">
        <v>888</v>
      </c>
      <c r="AJ14" s="7"/>
      <c r="AK14" s="7"/>
      <c r="AO14" s="7" t="s">
        <v>889</v>
      </c>
      <c r="AP14" s="7"/>
      <c r="AQ14" s="7"/>
      <c r="AU14" s="7" t="s">
        <v>890</v>
      </c>
      <c r="AV14" s="7"/>
      <c r="AW14" s="7"/>
    </row>
    <row r="15" spans="1:69" x14ac:dyDescent="0.25">
      <c r="A15" s="18"/>
      <c r="B15" s="18"/>
      <c r="C15" s="18"/>
      <c r="E15" s="2" t="str">
        <f>IF(AND(E16=TRUE(),OR(E17=TRUE(),E18=TRUE(),E19=TRUE())),"verbo", "não é verbo")</f>
        <v>verbo</v>
      </c>
      <c r="K15" s="14" t="str">
        <f>"tem " &amp; IF($G$7&lt;&gt;"", $G$7,$G$8)</f>
        <v>tem havido</v>
      </c>
      <c r="L15" s="14"/>
      <c r="M15" s="14"/>
      <c r="Q15" s="14" t="str">
        <f>"está " &amp; $G$5</f>
        <v>está havendo</v>
      </c>
      <c r="R15" s="14"/>
      <c r="S15" s="14"/>
      <c r="W15" s="14" t="str">
        <f>"é " &amp; IF(G8&lt;&gt;"",G8,G7)</f>
        <v>é havido</v>
      </c>
      <c r="X15" s="14"/>
      <c r="Y15" s="14"/>
      <c r="AC15" s="14" t="str">
        <f>"vai " &amp; $G$3</f>
        <v>vai haver</v>
      </c>
      <c r="AD15" s="14"/>
      <c r="AE15" s="14"/>
      <c r="AI15" s="14" t="str">
        <f>"pode estar " &amp; $G$5</f>
        <v>pode estar havendo</v>
      </c>
      <c r="AJ15" s="14"/>
      <c r="AK15" s="14"/>
      <c r="AO15" s="14" t="str">
        <f>"tem sido " &amp; $G$7</f>
        <v>tem sido havido</v>
      </c>
      <c r="AP15" s="14"/>
      <c r="AQ15" s="14"/>
      <c r="AU15" s="14" t="str">
        <f>"está sendo " &amp; $G$7</f>
        <v>está sendo havido</v>
      </c>
      <c r="AV15" s="14"/>
      <c r="AW15" s="14"/>
    </row>
    <row r="16" spans="1:69" x14ac:dyDescent="0.25">
      <c r="D16" s="4" t="s">
        <v>825</v>
      </c>
      <c r="E16" s="2" t="b">
        <f>OR("ar"=E4,"er"=E4,"ir"=E4,"pôr"=RIGHT(E3,3),"por"=RIGHT(E3,3))</f>
        <v>1</v>
      </c>
      <c r="K16" s="14"/>
      <c r="L16" s="14"/>
      <c r="M16" s="14"/>
      <c r="Q16" s="14" t="str">
        <f>"esteve " &amp; $G$5</f>
        <v>esteve havendo</v>
      </c>
      <c r="R16" s="14"/>
      <c r="S16" s="14"/>
      <c r="W16" s="14" t="str">
        <f>"foi " &amp; IF(G8&lt;&gt;"",G8,G7)</f>
        <v>foi havido</v>
      </c>
      <c r="X16" s="14"/>
      <c r="Y16" s="14"/>
      <c r="AC16" s="14" t="str">
        <f>"foi " &amp; $G$3</f>
        <v>foi haver</v>
      </c>
      <c r="AD16" s="14"/>
      <c r="AE16" s="14"/>
      <c r="AI16" s="14" t="str">
        <f>"pôde estar " &amp; $G$5</f>
        <v>pôde estar havendo</v>
      </c>
      <c r="AJ16" s="14"/>
      <c r="AK16" s="14"/>
      <c r="AO16" s="14"/>
      <c r="AP16" s="14"/>
      <c r="AQ16" s="14"/>
      <c r="AU16" s="14" t="str">
        <f>"esteve sendo " &amp; $G$7</f>
        <v>esteve sendo havido</v>
      </c>
      <c r="AV16" s="14"/>
      <c r="AW16" s="14"/>
    </row>
    <row r="17" spans="1:49" x14ac:dyDescent="0.25">
      <c r="A17" s="30"/>
      <c r="D17" s="4" t="s">
        <v>826</v>
      </c>
      <c r="E17" s="2" t="b">
        <f>AND(RIGHT(E3,3)="por",E5&gt;3)</f>
        <v>0</v>
      </c>
      <c r="K17" s="14" t="str">
        <f>"tinha " &amp; IF($G$7&lt;&gt;"", $G$7,$G$8)</f>
        <v>tinha havido</v>
      </c>
      <c r="L17" s="14"/>
      <c r="M17" s="14"/>
      <c r="Q17" s="14" t="str">
        <f>"estava " &amp; $G$5</f>
        <v>estava havendo</v>
      </c>
      <c r="R17" s="14"/>
      <c r="S17" s="14"/>
      <c r="W17" s="14" t="str">
        <f>"era " &amp; IF(G8&lt;&gt;"",G8,G7)</f>
        <v>era havido</v>
      </c>
      <c r="X17" s="14"/>
      <c r="Y17" s="14"/>
      <c r="AC17" s="14" t="str">
        <f>"ia " &amp; $G$3</f>
        <v>ia haver</v>
      </c>
      <c r="AD17" s="14"/>
      <c r="AE17" s="14"/>
      <c r="AI17" s="14" t="str">
        <f>"podia estar " &amp; $G$5</f>
        <v>podia estar havendo</v>
      </c>
      <c r="AJ17" s="14"/>
      <c r="AK17" s="14"/>
      <c r="AO17" s="14" t="str">
        <f>"tinha sido " &amp; $G$7</f>
        <v>tinha sido havido</v>
      </c>
      <c r="AP17" s="14"/>
      <c r="AQ17" s="14"/>
      <c r="AU17" s="14" t="str">
        <f>"estava sendo " &amp; $G$7</f>
        <v>estava sendo havido</v>
      </c>
      <c r="AV17" s="14"/>
      <c r="AW17" s="14"/>
    </row>
    <row r="18" spans="1:49" x14ac:dyDescent="0.25">
      <c r="D18" s="4" t="s">
        <v>827</v>
      </c>
      <c r="E18" s="2" t="b">
        <f>E4="ir"</f>
        <v>0</v>
      </c>
      <c r="K18" s="14"/>
      <c r="L18" s="14"/>
      <c r="M18" s="14"/>
      <c r="Q18" s="14" t="str">
        <f>"estivera " &amp; $G$5</f>
        <v>estivera havendo</v>
      </c>
      <c r="R18" s="14"/>
      <c r="S18" s="14"/>
      <c r="W18" s="14" t="str">
        <f>"fora " &amp; IF(G8&lt;&gt;"",G8,G7)</f>
        <v>fora havido</v>
      </c>
      <c r="X18" s="14"/>
      <c r="Y18" s="14"/>
      <c r="AC18" s="14" t="str">
        <f>"fora " &amp; $G$3</f>
        <v>fora haver</v>
      </c>
      <c r="AD18" s="14"/>
      <c r="AE18" s="14"/>
      <c r="AI18" s="14" t="str">
        <f>"pudera estar " &amp; $G$5</f>
        <v>pudera estar havendo</v>
      </c>
      <c r="AJ18" s="14"/>
      <c r="AK18" s="14"/>
      <c r="AO18" s="14"/>
      <c r="AP18" s="14"/>
      <c r="AQ18" s="14"/>
      <c r="AU18" s="14" t="str">
        <f>"estivera sendo " &amp; $G$7</f>
        <v>estivera sendo havido</v>
      </c>
      <c r="AV18" s="14"/>
      <c r="AW18" s="14"/>
    </row>
    <row r="19" spans="1:49" x14ac:dyDescent="0.25">
      <c r="D19" s="4" t="s">
        <v>828</v>
      </c>
      <c r="E19" s="2" t="b">
        <f>AND(E5&gt;=3,OR("ar"=E4,"er"=E4,"ir"=E4,"pôr"=RIGHT(E3,3)))</f>
        <v>1</v>
      </c>
      <c r="K19" s="14" t="str">
        <f>"terá " &amp; IF($G$7&lt;&gt;"", $G$7,$G$8)</f>
        <v>terá havido</v>
      </c>
      <c r="L19" s="14"/>
      <c r="M19" s="14"/>
      <c r="Q19" s="14" t="str">
        <f>"estará " &amp; $G$5</f>
        <v>estará havendo</v>
      </c>
      <c r="R19" s="14"/>
      <c r="S19" s="14"/>
      <c r="W19" s="14" t="str">
        <f>"será " &amp; IF(G8&lt;&gt;"",G8,G7)</f>
        <v>será havido</v>
      </c>
      <c r="X19" s="14"/>
      <c r="Y19" s="14"/>
      <c r="AC19" s="14" t="str">
        <f>"irá " &amp; $G$3</f>
        <v>irá haver</v>
      </c>
      <c r="AD19" s="14"/>
      <c r="AE19" s="14"/>
      <c r="AI19" s="14" t="str">
        <f>"poderá estar " &amp; $G$5</f>
        <v>poderá estar havendo</v>
      </c>
      <c r="AJ19" s="14"/>
      <c r="AK19" s="14"/>
      <c r="AO19" s="14" t="str">
        <f>"terá sido " &amp; $G$7</f>
        <v>terá sido havido</v>
      </c>
      <c r="AP19" s="14"/>
      <c r="AQ19" s="14"/>
      <c r="AU19" s="14" t="str">
        <f>"estará sendo " &amp; $G$7</f>
        <v>estará sendo havido</v>
      </c>
      <c r="AV19" s="14"/>
      <c r="AW19" s="14"/>
    </row>
    <row r="20" spans="1:49" x14ac:dyDescent="0.25">
      <c r="D20" s="4"/>
      <c r="K20" s="14" t="str">
        <f>"teria " &amp; IF($G$7&lt;&gt;"", $G$7,$G$8)</f>
        <v>teria havido</v>
      </c>
      <c r="L20" s="14"/>
      <c r="M20" s="14"/>
      <c r="Q20" s="14" t="str">
        <f>"estaria " &amp; $G$5</f>
        <v>estaria havendo</v>
      </c>
      <c r="R20" s="14"/>
      <c r="S20" s="14"/>
      <c r="W20" s="14" t="str">
        <f>"seria " &amp; IF(G8&lt;&gt;"",G8,G7)</f>
        <v>seria havido</v>
      </c>
      <c r="X20" s="14"/>
      <c r="Y20" s="14"/>
      <c r="AC20" s="14" t="str">
        <f>"iria " &amp; $G$3</f>
        <v>iria haver</v>
      </c>
      <c r="AD20" s="14"/>
      <c r="AE20" s="14"/>
      <c r="AI20" s="14" t="str">
        <f>"poderia estar " &amp; $G$5</f>
        <v>poderia estar havendo</v>
      </c>
      <c r="AJ20" s="14"/>
      <c r="AK20" s="14"/>
      <c r="AO20" s="14" t="str">
        <f>"teria sido " &amp; $G$7</f>
        <v>teria sido havido</v>
      </c>
      <c r="AP20" s="14"/>
      <c r="AQ20" s="14"/>
      <c r="AU20" s="14" t="str">
        <f>"estaria sendo " &amp; $G$7</f>
        <v>estaria sendo havido</v>
      </c>
      <c r="AV20" s="14"/>
      <c r="AW20" s="14"/>
    </row>
    <row r="21" spans="1:49" x14ac:dyDescent="0.25">
      <c r="D21" s="4"/>
      <c r="K21" s="14" t="str">
        <f>"tenha " &amp;  IF($G$7&lt;&gt;"", $G$7,$G$8)</f>
        <v>tenha havido</v>
      </c>
      <c r="L21" s="14"/>
      <c r="M21" s="14"/>
      <c r="Q21" s="14" t="str">
        <f>"esteja " &amp; $G$5</f>
        <v>esteja havendo</v>
      </c>
      <c r="R21" s="14"/>
      <c r="S21" s="14"/>
      <c r="W21" s="14" t="str">
        <f>"seja " &amp; IF(G8&lt;&gt;"",G8,G7)</f>
        <v>seja havido</v>
      </c>
      <c r="X21" s="14"/>
      <c r="Y21" s="14"/>
      <c r="AC21" s="14" t="str">
        <f>"vá " &amp; $G$3</f>
        <v>vá haver</v>
      </c>
      <c r="AD21" s="14"/>
      <c r="AE21" s="14"/>
      <c r="AI21" s="14" t="str">
        <f>"possa estar " &amp; $G$5</f>
        <v>possa estar havendo</v>
      </c>
      <c r="AJ21" s="14"/>
      <c r="AK21" s="14"/>
      <c r="AO21" s="14" t="str">
        <f>"tenha sido " &amp; $G$7</f>
        <v>tenha sido havido</v>
      </c>
      <c r="AP21" s="14"/>
      <c r="AQ21" s="14"/>
      <c r="AU21" s="14" t="str">
        <f>"esteja sendo " &amp; $G$7</f>
        <v>esteja sendo havido</v>
      </c>
      <c r="AV21" s="14"/>
      <c r="AW21" s="14"/>
    </row>
    <row r="22" spans="1:49" x14ac:dyDescent="0.25">
      <c r="D22" s="4"/>
      <c r="K22" s="14" t="str">
        <f>"tivesse " &amp;  IF($G$7&lt;&gt;"", $G$7,$G$8)</f>
        <v>tivesse havido</v>
      </c>
      <c r="L22" s="14"/>
      <c r="M22" s="14"/>
      <c r="Q22" s="14" t="str">
        <f>"estivesse " &amp; $G$5</f>
        <v>estivesse havendo</v>
      </c>
      <c r="R22" s="14"/>
      <c r="S22" s="14"/>
      <c r="W22" s="14" t="str">
        <f>"fosse " &amp; IF(G8&lt;&gt;"",G8,G7)</f>
        <v>fosse havido</v>
      </c>
      <c r="X22" s="14"/>
      <c r="Y22" s="14"/>
      <c r="AC22" s="14" t="str">
        <f>"fosse " &amp; $G$3</f>
        <v>fosse haver</v>
      </c>
      <c r="AD22" s="14"/>
      <c r="AE22" s="14"/>
      <c r="AI22" s="14" t="str">
        <f>"pudesse estar " &amp; $G$5</f>
        <v>pudesse estar havendo</v>
      </c>
      <c r="AJ22" s="14"/>
      <c r="AK22" s="14"/>
      <c r="AO22" s="14" t="str">
        <f>"tivesse sido " &amp; $G$7</f>
        <v>tivesse sido havido</v>
      </c>
      <c r="AP22" s="14"/>
      <c r="AQ22" s="14"/>
      <c r="AU22" s="14" t="str">
        <f>"estivesse sendo " &amp; $G$7</f>
        <v>estivesse sendo havido</v>
      </c>
      <c r="AV22" s="14"/>
      <c r="AW22" s="14"/>
    </row>
    <row r="23" spans="1:49" x14ac:dyDescent="0.25">
      <c r="K23" s="14" t="str">
        <f>"tiver " &amp; IF($G$7&lt;&gt;"", $G$7,$G$8)</f>
        <v>tiver havido</v>
      </c>
      <c r="L23" s="14"/>
      <c r="M23" s="14"/>
      <c r="Q23" s="14" t="str">
        <f>"estiver " &amp; $G$5</f>
        <v>estiver havendo</v>
      </c>
      <c r="R23" s="14"/>
      <c r="S23" s="14"/>
      <c r="W23" s="14" t="str">
        <f>"for " &amp; IF(G8&lt;&gt;"",G8,G7)</f>
        <v>for havido</v>
      </c>
      <c r="X23" s="14"/>
      <c r="Y23" s="14"/>
      <c r="AC23" s="14" t="str">
        <f>"for " &amp; $G$3</f>
        <v>for haver</v>
      </c>
      <c r="AD23" s="14"/>
      <c r="AE23" s="14"/>
      <c r="AI23" s="14" t="str">
        <f>"puder estar " &amp; $G$5</f>
        <v>puder estar havendo</v>
      </c>
      <c r="AJ23" s="14"/>
      <c r="AK23" s="14"/>
      <c r="AO23" s="14" t="str">
        <f>"tiver sido " &amp; $G$7</f>
        <v>tiver sido havido</v>
      </c>
      <c r="AP23" s="14"/>
      <c r="AQ23" s="14"/>
      <c r="AU23" s="14" t="str">
        <f>"estiver sendo " &amp; $G$7</f>
        <v>estiver sendo havido</v>
      </c>
      <c r="AV23" s="14"/>
      <c r="AW23" s="14"/>
    </row>
    <row r="24" spans="1:49" x14ac:dyDescent="0.25">
      <c r="K24" s="14" t="str">
        <f>"ter " &amp;  IF($G$7&lt;&gt;"", $G$7,$G$8)</f>
        <v>ter havido</v>
      </c>
      <c r="L24" s="14"/>
      <c r="M24" s="14"/>
      <c r="Q24" s="14" t="str">
        <f>"estar " &amp; $G$5</f>
        <v>estar havendo</v>
      </c>
      <c r="R24" s="14"/>
      <c r="S24" s="14"/>
      <c r="W24" s="14" t="str">
        <f>"ser " &amp; IF(G8&lt;&gt;"",G8,G7)</f>
        <v>ser havido</v>
      </c>
      <c r="X24" s="14"/>
      <c r="Y24" s="14"/>
      <c r="AC24" s="14" t="str">
        <f>"ir " &amp; $G$3</f>
        <v>ir haver</v>
      </c>
      <c r="AD24" s="14"/>
      <c r="AE24" s="14"/>
      <c r="AI24" s="14" t="str">
        <f>"poder estar " &amp; $G$5</f>
        <v>poder estar havendo</v>
      </c>
      <c r="AJ24" s="14"/>
      <c r="AK24" s="14"/>
      <c r="AO24" s="14" t="str">
        <f>"ter sido " &amp; $G$7</f>
        <v>ter sido havido</v>
      </c>
      <c r="AP24" s="14"/>
      <c r="AQ24" s="14"/>
      <c r="AU24" s="14" t="str">
        <f>"estar sendo " &amp; $G$7</f>
        <v>estar sendo havido</v>
      </c>
      <c r="AV24" s="14"/>
      <c r="AW24" s="14"/>
    </row>
    <row r="25" spans="1:49" x14ac:dyDescent="0.25">
      <c r="K25" s="14" t="str">
        <f>"tendo " &amp;  IF($G$7&lt;&gt;"", $G$7,$G$8)</f>
        <v>tendo havido</v>
      </c>
      <c r="L25" s="14"/>
      <c r="M25" s="14"/>
      <c r="Q25" s="14" t="str">
        <f>"estando " &amp; $G$5</f>
        <v>estando havendo</v>
      </c>
      <c r="R25" s="14"/>
      <c r="S25" s="14"/>
      <c r="W25" s="14" t="str">
        <f>"sendo " &amp; IF(G8&lt;&gt;"",G8,G7)</f>
        <v>sendo havido</v>
      </c>
      <c r="X25" s="14"/>
      <c r="Y25" s="14"/>
      <c r="AC25" s="14" t="str">
        <f>"indo " &amp; $G$3</f>
        <v>indo haver</v>
      </c>
      <c r="AD25" s="14"/>
      <c r="AE25" s="14"/>
      <c r="AI25" s="14" t="str">
        <f>"podendo estar " &amp; $G$5</f>
        <v>podendo estar havendo</v>
      </c>
      <c r="AJ25" s="14"/>
      <c r="AK25" s="14"/>
      <c r="AO25" s="14" t="str">
        <f>"tendo sido " &amp; $G$7</f>
        <v>tendo sido havido</v>
      </c>
      <c r="AP25" s="14"/>
      <c r="AQ25" s="14"/>
      <c r="AU25" s="14" t="str">
        <f>"estando sendo " &amp; $G$7</f>
        <v>estando sendo havido</v>
      </c>
      <c r="AV25" s="14"/>
      <c r="AW25" s="14"/>
    </row>
    <row r="26" spans="1:49" x14ac:dyDescent="0.25">
      <c r="A26" s="28" t="s">
        <v>4951</v>
      </c>
    </row>
  </sheetData>
  <mergeCells count="3">
    <mergeCell ref="A1:C1"/>
    <mergeCell ref="A4:C4"/>
    <mergeCell ref="A14:C14"/>
  </mergeCells>
  <dataValidations count="1">
    <dataValidation type="textLength" allowBlank="1" showInputMessage="1" showErrorMessage="1" errorTitle="Número de caracteres inválido" error="Digite no mínimo duas letras e no máximo 25." sqref="B3" xr:uid="{00000000-0002-0000-0000-000000000000}">
      <formula1>2</formula1>
      <formula2>25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28"/>
  <sheetViews>
    <sheetView workbookViewId="0">
      <pane ySplit="1" topLeftCell="A2091" activePane="bottomLeft" state="frozen"/>
      <selection pane="bottomLeft" activeCell="B3528" sqref="B3528"/>
    </sheetView>
  </sheetViews>
  <sheetFormatPr defaultRowHeight="15" x14ac:dyDescent="0.25"/>
  <cols>
    <col min="1" max="1" width="14" style="2" customWidth="1"/>
    <col min="2" max="2" width="16.7109375" style="2" customWidth="1"/>
    <col min="3" max="3" width="11" style="2" bestFit="1" customWidth="1"/>
    <col min="4" max="5" width="9.140625" style="2"/>
    <col min="6" max="6" width="10.140625" style="2" bestFit="1" customWidth="1"/>
    <col min="7" max="16384" width="9.140625" style="2"/>
  </cols>
  <sheetData>
    <row r="1" spans="1:4" x14ac:dyDescent="0.25">
      <c r="A1" s="2" t="s">
        <v>0</v>
      </c>
      <c r="B1" s="2" t="s">
        <v>1264</v>
      </c>
      <c r="C1" s="2" t="s">
        <v>239</v>
      </c>
    </row>
    <row r="2" spans="1:4" x14ac:dyDescent="0.25">
      <c r="A2" s="2" t="s">
        <v>41</v>
      </c>
      <c r="B2" s="2" t="s">
        <v>42</v>
      </c>
      <c r="C2" s="2" t="str">
        <f>VLOOKUP(irregulares[[#This Row],[Similar a]],padroes[],2,0)</f>
        <v>ÇAR</v>
      </c>
      <c r="D2" s="3"/>
    </row>
    <row r="3" spans="1:4" x14ac:dyDescent="0.25">
      <c r="A3" s="2" t="s">
        <v>43</v>
      </c>
      <c r="B3" s="2" t="s">
        <v>44</v>
      </c>
      <c r="C3" s="2" t="str">
        <f>VLOOKUP(irregulares[[#This Row],[Similar a]],padroes[],2,0)</f>
        <v>CAR</v>
      </c>
      <c r="D3" s="3"/>
    </row>
    <row r="4" spans="1:4" x14ac:dyDescent="0.25">
      <c r="A4" s="2" t="s">
        <v>45</v>
      </c>
      <c r="B4" s="2" t="s">
        <v>42</v>
      </c>
      <c r="C4" s="2" t="str">
        <f>VLOOKUP(irregulares[[#This Row],[Similar a]],padroes[],2,0)</f>
        <v>ÇAR</v>
      </c>
      <c r="D4" s="3"/>
    </row>
    <row r="5" spans="1:4" x14ac:dyDescent="0.25">
      <c r="A5" s="2" t="s">
        <v>46</v>
      </c>
      <c r="B5" s="2" t="s">
        <v>1095</v>
      </c>
      <c r="C5" s="2" t="str">
        <f>VLOOKUP(irregulares[[#This Row],[Similar a]],padroes[],2,0)</f>
        <v>Ú-X-AR</v>
      </c>
      <c r="D5" s="3"/>
    </row>
    <row r="6" spans="1:4" x14ac:dyDescent="0.25">
      <c r="A6" s="2" t="s">
        <v>48</v>
      </c>
      <c r="B6" s="2" t="s">
        <v>49</v>
      </c>
      <c r="C6" s="2" t="str">
        <f>VLOOKUP(irregulares[[#This Row],[Similar a]],padroes[],2,0)</f>
        <v>OAR</v>
      </c>
      <c r="D6" s="3"/>
    </row>
    <row r="7" spans="1:4" x14ac:dyDescent="0.25">
      <c r="A7" s="2" t="s">
        <v>50</v>
      </c>
      <c r="B7" s="2" t="s">
        <v>49</v>
      </c>
      <c r="C7" s="2" t="str">
        <f>VLOOKUP(irregulares[[#This Row],[Similar a]],padroes[],2,0)</f>
        <v>OAR</v>
      </c>
      <c r="D7" s="3"/>
    </row>
    <row r="8" spans="1:4" x14ac:dyDescent="0.25">
      <c r="A8" s="2" t="s">
        <v>51</v>
      </c>
      <c r="B8" s="2" t="s">
        <v>44</v>
      </c>
      <c r="C8" s="2" t="str">
        <f>VLOOKUP(irregulares[[#This Row],[Similar a]],padroes[],2,0)</f>
        <v>CAR</v>
      </c>
      <c r="D8" s="3"/>
    </row>
    <row r="9" spans="1:4" x14ac:dyDescent="0.25">
      <c r="A9" s="2" t="s">
        <v>52</v>
      </c>
      <c r="B9" s="2" t="s">
        <v>53</v>
      </c>
      <c r="C9" s="2" t="str">
        <f>VLOOKUP(irregulares[[#This Row],[Similar a]],padroes[],2,0)</f>
        <v>EAR</v>
      </c>
      <c r="D9" s="3"/>
    </row>
    <row r="10" spans="1:4" x14ac:dyDescent="0.25">
      <c r="A10" s="2" t="s">
        <v>54</v>
      </c>
      <c r="B10" s="2" t="s">
        <v>55</v>
      </c>
      <c r="C10" s="2" t="str">
        <f>VLOOKUP(irregulares[[#This Row],[Similar a]],padroes[],2,0)</f>
        <v>EJAR ô</v>
      </c>
      <c r="D10" s="3"/>
    </row>
    <row r="11" spans="1:4" x14ac:dyDescent="0.25">
      <c r="A11" s="2" t="s">
        <v>1246</v>
      </c>
      <c r="B11" s="2" t="s">
        <v>49</v>
      </c>
      <c r="C11" s="2" t="str">
        <f>VLOOKUP(irregulares[[#This Row],[Similar a]],padroes[],2,0)</f>
        <v>OAR</v>
      </c>
      <c r="D11" s="3"/>
    </row>
    <row r="12" spans="1:4" x14ac:dyDescent="0.25">
      <c r="A12" s="2" t="s">
        <v>56</v>
      </c>
      <c r="B12" s="2" t="s">
        <v>44</v>
      </c>
      <c r="C12" s="2" t="str">
        <f>VLOOKUP(irregulares[[#This Row],[Similar a]],padroes[],2,0)</f>
        <v>CAR</v>
      </c>
      <c r="D12" s="3"/>
    </row>
    <row r="13" spans="1:4" x14ac:dyDescent="0.25">
      <c r="A13" s="2" t="s">
        <v>57</v>
      </c>
      <c r="B13" s="2" t="s">
        <v>44</v>
      </c>
      <c r="C13" s="2" t="str">
        <f>VLOOKUP(irregulares[[#This Row],[Similar a]],padroes[],2,0)</f>
        <v>CAR</v>
      </c>
      <c r="D13" s="3"/>
    </row>
    <row r="14" spans="1:4" x14ac:dyDescent="0.25">
      <c r="A14" s="2" t="s">
        <v>58</v>
      </c>
      <c r="B14" s="2" t="s">
        <v>44</v>
      </c>
      <c r="C14" s="2" t="str">
        <f>VLOOKUP(irregulares[[#This Row],[Similar a]],padroes[],2,0)</f>
        <v>CAR</v>
      </c>
      <c r="D14" s="3"/>
    </row>
    <row r="15" spans="1:4" x14ac:dyDescent="0.25">
      <c r="A15" s="2" t="s">
        <v>59</v>
      </c>
      <c r="B15" s="2" t="s">
        <v>44</v>
      </c>
      <c r="C15" s="2" t="str">
        <f>VLOOKUP(irregulares[[#This Row],[Similar a]],padroes[],2,0)</f>
        <v>CAR</v>
      </c>
      <c r="D15" s="3"/>
    </row>
    <row r="16" spans="1:4" x14ac:dyDescent="0.25">
      <c r="A16" s="2" t="s">
        <v>1247</v>
      </c>
      <c r="B16" s="2" t="s">
        <v>60</v>
      </c>
      <c r="C16" s="2" t="str">
        <f>VLOOKUP(irregulares[[#This Row],[Similar a]],padroes[],2,0)</f>
        <v>GAR</v>
      </c>
      <c r="D16" s="3"/>
    </row>
    <row r="17" spans="1:4" x14ac:dyDescent="0.25">
      <c r="A17" s="2" t="s">
        <v>61</v>
      </c>
      <c r="B17" s="2" t="s">
        <v>44</v>
      </c>
      <c r="C17" s="2" t="str">
        <f>VLOOKUP(irregulares[[#This Row],[Similar a]],padroes[],2,0)</f>
        <v>CAR</v>
      </c>
      <c r="D17" s="3"/>
    </row>
    <row r="18" spans="1:4" x14ac:dyDescent="0.25">
      <c r="A18" s="2" t="s">
        <v>62</v>
      </c>
      <c r="B18" s="2" t="s">
        <v>63</v>
      </c>
      <c r="C18" s="2" t="str">
        <f>VLOOKUP(irregulares[[#This Row],[Similar a]],padroes[],2,0)</f>
        <v>CER</v>
      </c>
      <c r="D18" s="3"/>
    </row>
    <row r="19" spans="1:4" x14ac:dyDescent="0.25">
      <c r="A19" s="2" t="s">
        <v>64</v>
      </c>
      <c r="B19" s="2" t="s">
        <v>44</v>
      </c>
      <c r="C19" s="2" t="str">
        <f>VLOOKUP(irregulares[[#This Row],[Similar a]],padroes[],2,0)</f>
        <v>CAR</v>
      </c>
      <c r="D19" s="3"/>
    </row>
    <row r="20" spans="1:4" x14ac:dyDescent="0.25">
      <c r="A20" s="2" t="s">
        <v>65</v>
      </c>
      <c r="B20" s="2" t="s">
        <v>65</v>
      </c>
      <c r="C20" s="2" t="str">
        <f>VLOOKUP(irregulares[[#This Row],[Similar a]],padroes[],2,0)</f>
        <v>Ú-X-AR</v>
      </c>
      <c r="D20" s="3"/>
    </row>
    <row r="21" spans="1:4" x14ac:dyDescent="0.25">
      <c r="A21" s="2" t="s">
        <v>66</v>
      </c>
      <c r="B21" s="2" t="s">
        <v>44</v>
      </c>
      <c r="C21" s="2" t="str">
        <f>VLOOKUP(irregulares[[#This Row],[Similar a]],padroes[],2,0)</f>
        <v>CAR</v>
      </c>
      <c r="D21" s="3"/>
    </row>
    <row r="22" spans="1:4" x14ac:dyDescent="0.25">
      <c r="A22" s="2" t="s">
        <v>67</v>
      </c>
      <c r="B22" s="2" t="s">
        <v>1887</v>
      </c>
      <c r="C22" s="2" t="str">
        <f>VLOOKUP(irregulares[[#This Row],[Similar a]],padroes[],2,0)</f>
        <v>UZIR</v>
      </c>
      <c r="D22" s="3"/>
    </row>
    <row r="23" spans="1:4" x14ac:dyDescent="0.25">
      <c r="A23" s="2" t="s">
        <v>69</v>
      </c>
      <c r="B23" s="2" t="s">
        <v>44</v>
      </c>
      <c r="C23" s="2" t="str">
        <f>VLOOKUP(irregulares[[#This Row],[Similar a]],padroes[],2,0)</f>
        <v>CAR</v>
      </c>
      <c r="D23" s="3"/>
    </row>
    <row r="24" spans="1:4" x14ac:dyDescent="0.25">
      <c r="A24" s="2" t="s">
        <v>70</v>
      </c>
      <c r="B24" s="2" t="s">
        <v>44</v>
      </c>
      <c r="C24" s="2" t="str">
        <f>VLOOKUP(irregulares[[#This Row],[Similar a]],padroes[],2,0)</f>
        <v>CAR</v>
      </c>
      <c r="D24" s="3"/>
    </row>
    <row r="25" spans="1:4" x14ac:dyDescent="0.25">
      <c r="A25" s="2" t="s">
        <v>71</v>
      </c>
      <c r="B25" s="2" t="s">
        <v>44</v>
      </c>
      <c r="C25" s="2" t="str">
        <f>VLOOKUP(irregulares[[#This Row],[Similar a]],padroes[],2,0)</f>
        <v>CAR</v>
      </c>
      <c r="D25" s="3"/>
    </row>
    <row r="26" spans="1:4" x14ac:dyDescent="0.25">
      <c r="A26" s="2" t="s">
        <v>72</v>
      </c>
      <c r="B26" s="2" t="s">
        <v>44</v>
      </c>
      <c r="C26" s="2" t="str">
        <f>VLOOKUP(irregulares[[#This Row],[Similar a]],padroes[],2,0)</f>
        <v>CAR</v>
      </c>
      <c r="D26" s="3"/>
    </row>
    <row r="27" spans="1:4" x14ac:dyDescent="0.25">
      <c r="A27" s="2" t="s">
        <v>73</v>
      </c>
      <c r="B27" s="2" t="s">
        <v>74</v>
      </c>
      <c r="C27" s="2" t="str">
        <f>VLOOKUP(irregulares[[#This Row],[Similar a]],padroes[],2,0)</f>
        <v>GAR</v>
      </c>
      <c r="D27" s="3"/>
    </row>
    <row r="28" spans="1:4" x14ac:dyDescent="0.25">
      <c r="A28" s="2" t="s">
        <v>75</v>
      </c>
      <c r="B28" s="2" t="s">
        <v>1717</v>
      </c>
      <c r="C28" s="2" t="str">
        <f>VLOOKUP(irregulares[[#This Row],[Similar a]],padroes[],2,0)</f>
        <v>Defectivo 1</v>
      </c>
      <c r="D28" s="3"/>
    </row>
    <row r="29" spans="1:4" x14ac:dyDescent="0.25">
      <c r="A29" s="2" t="s">
        <v>77</v>
      </c>
      <c r="B29" s="2" t="s">
        <v>74</v>
      </c>
      <c r="C29" s="2" t="str">
        <f>VLOOKUP(irregulares[[#This Row],[Similar a]],padroes[],2,0)</f>
        <v>GAR</v>
      </c>
      <c r="D29" s="3"/>
    </row>
    <row r="30" spans="1:4" x14ac:dyDescent="0.25">
      <c r="A30" s="2" t="s">
        <v>78</v>
      </c>
      <c r="B30" s="2" t="s">
        <v>53</v>
      </c>
      <c r="C30" s="2" t="str">
        <f>VLOOKUP(irregulares[[#This Row],[Similar a]],padroes[],2,0)</f>
        <v>EAR</v>
      </c>
      <c r="D30" s="3"/>
    </row>
    <row r="31" spans="1:4" x14ac:dyDescent="0.25">
      <c r="A31" s="2" t="s">
        <v>79</v>
      </c>
      <c r="B31" s="2" t="s">
        <v>63</v>
      </c>
      <c r="C31" s="2" t="str">
        <f>VLOOKUP(irregulares[[#This Row],[Similar a]],padroes[],2,0)</f>
        <v>CER</v>
      </c>
      <c r="D31" s="3"/>
    </row>
    <row r="32" spans="1:4" x14ac:dyDescent="0.25">
      <c r="A32" s="2" t="s">
        <v>80</v>
      </c>
      <c r="B32" s="2" t="s">
        <v>74</v>
      </c>
      <c r="C32" s="2" t="str">
        <f>VLOOKUP(irregulares[[#This Row],[Similar a]],padroes[],2,0)</f>
        <v>GAR</v>
      </c>
      <c r="D32" s="3"/>
    </row>
    <row r="33" spans="1:4" x14ac:dyDescent="0.25">
      <c r="A33" s="2" t="s">
        <v>81</v>
      </c>
      <c r="B33" s="2" t="s">
        <v>82</v>
      </c>
      <c r="C33" s="2" t="str">
        <f>VLOOKUP(irregulares[[#This Row],[Similar a]],padroes[],2,0)</f>
        <v>UIR</v>
      </c>
      <c r="D33" s="3"/>
    </row>
    <row r="34" spans="1:4" x14ac:dyDescent="0.25">
      <c r="A34" s="2" t="s">
        <v>83</v>
      </c>
      <c r="B34" s="2" t="s">
        <v>60</v>
      </c>
      <c r="C34" s="2" t="str">
        <f>VLOOKUP(irregulares[[#This Row],[Similar a]],padroes[],2,0)</f>
        <v>GAR</v>
      </c>
      <c r="D34" s="3"/>
    </row>
    <row r="35" spans="1:4" x14ac:dyDescent="0.25">
      <c r="A35" s="2" t="s">
        <v>84</v>
      </c>
      <c r="B35" s="2" t="s">
        <v>82</v>
      </c>
      <c r="C35" s="2" t="str">
        <f>VLOOKUP(irregulares[[#This Row],[Similar a]],padroes[],2,0)</f>
        <v>UIR</v>
      </c>
      <c r="D35" s="3"/>
    </row>
    <row r="36" spans="1:4" x14ac:dyDescent="0.25">
      <c r="A36" s="2" t="s">
        <v>85</v>
      </c>
      <c r="B36" s="2" t="s">
        <v>49</v>
      </c>
      <c r="C36" s="2" t="str">
        <f>VLOOKUP(irregulares[[#This Row],[Similar a]],padroes[],2,0)</f>
        <v>OAR</v>
      </c>
      <c r="D36" s="3"/>
    </row>
    <row r="37" spans="1:4" x14ac:dyDescent="0.25">
      <c r="A37" s="2" t="s">
        <v>86</v>
      </c>
      <c r="B37" s="2" t="s">
        <v>44</v>
      </c>
      <c r="C37" s="2" t="str">
        <f>VLOOKUP(irregulares[[#This Row],[Similar a]],padroes[],2,0)</f>
        <v>CAR</v>
      </c>
      <c r="D37" s="3"/>
    </row>
    <row r="38" spans="1:4" x14ac:dyDescent="0.25">
      <c r="A38" s="2" t="s">
        <v>87</v>
      </c>
      <c r="B38" s="2" t="s">
        <v>42</v>
      </c>
      <c r="C38" s="2" t="str">
        <f>VLOOKUP(irregulares[[#This Row],[Similar a]],padroes[],2,0)</f>
        <v>ÇAR</v>
      </c>
      <c r="D38" s="3"/>
    </row>
    <row r="39" spans="1:4" x14ac:dyDescent="0.25">
      <c r="A39" s="2" t="s">
        <v>88</v>
      </c>
      <c r="B39" s="2" t="s">
        <v>60</v>
      </c>
      <c r="C39" s="2" t="str">
        <f>VLOOKUP(irregulares[[#This Row],[Similar a]],padroes[],2,0)</f>
        <v>GAR</v>
      </c>
      <c r="D39" s="3"/>
    </row>
    <row r="40" spans="1:4" x14ac:dyDescent="0.25">
      <c r="A40" s="2" t="s">
        <v>89</v>
      </c>
      <c r="B40" s="2" t="s">
        <v>458</v>
      </c>
      <c r="C40" s="2" t="str">
        <f>VLOOKUP(irregulares[[#This Row],[Similar a]],padroes[],2,0)</f>
        <v>OIAR</v>
      </c>
      <c r="D40" s="3"/>
    </row>
    <row r="41" spans="1:4" x14ac:dyDescent="0.25">
      <c r="A41" s="2" t="s">
        <v>91</v>
      </c>
      <c r="B41" s="2" t="s">
        <v>42</v>
      </c>
      <c r="C41" s="2" t="str">
        <f>VLOOKUP(irregulares[[#This Row],[Similar a]],padroes[],2,0)</f>
        <v>ÇAR</v>
      </c>
      <c r="D41" s="3"/>
    </row>
    <row r="42" spans="1:4" x14ac:dyDescent="0.25">
      <c r="A42" s="2" t="s">
        <v>92</v>
      </c>
      <c r="B42" s="2" t="s">
        <v>1717</v>
      </c>
      <c r="C42" s="2" t="str">
        <f>VLOOKUP(irregulares[[#This Row],[Similar a]],padroes[],2,0)</f>
        <v>Defectivo 1</v>
      </c>
      <c r="D42" s="3"/>
    </row>
    <row r="43" spans="1:4" x14ac:dyDescent="0.25">
      <c r="A43" s="2" t="s">
        <v>93</v>
      </c>
      <c r="B43" s="2" t="s">
        <v>63</v>
      </c>
      <c r="C43" s="2" t="str">
        <f>VLOOKUP(irregulares[[#This Row],[Similar a]],padroes[],2,0)</f>
        <v>CER</v>
      </c>
      <c r="D43" s="3"/>
    </row>
    <row r="44" spans="1:4" x14ac:dyDescent="0.25">
      <c r="A44" s="2" t="s">
        <v>94</v>
      </c>
      <c r="B44" s="2" t="s">
        <v>42</v>
      </c>
      <c r="C44" s="2" t="str">
        <f>VLOOKUP(irregulares[[#This Row],[Similar a]],padroes[],2,0)</f>
        <v>ÇAR</v>
      </c>
      <c r="D44" s="3"/>
    </row>
    <row r="45" spans="1:4" x14ac:dyDescent="0.25">
      <c r="A45" s="2" t="s">
        <v>95</v>
      </c>
      <c r="B45" s="2" t="s">
        <v>44</v>
      </c>
      <c r="C45" s="2" t="str">
        <f>VLOOKUP(irregulares[[#This Row],[Similar a]],padroes[],2,0)</f>
        <v>CAR</v>
      </c>
      <c r="D45" s="3"/>
    </row>
    <row r="46" spans="1:4" x14ac:dyDescent="0.25">
      <c r="A46" s="2" t="s">
        <v>96</v>
      </c>
      <c r="B46" s="2" t="s">
        <v>55</v>
      </c>
      <c r="C46" s="2" t="str">
        <f>VLOOKUP(irregulares[[#This Row],[Similar a]],padroes[],2,0)</f>
        <v>EJAR ô</v>
      </c>
      <c r="D46" s="3"/>
    </row>
    <row r="47" spans="1:4" x14ac:dyDescent="0.25">
      <c r="A47" s="2" t="s">
        <v>97</v>
      </c>
      <c r="B47" s="2" t="s">
        <v>49</v>
      </c>
      <c r="C47" s="2" t="str">
        <f>VLOOKUP(irregulares[[#This Row],[Similar a]],padroes[],2,0)</f>
        <v>OAR</v>
      </c>
      <c r="D47" s="3"/>
    </row>
    <row r="48" spans="1:4" x14ac:dyDescent="0.25">
      <c r="A48" s="2" t="s">
        <v>98</v>
      </c>
      <c r="B48" s="2" t="s">
        <v>44</v>
      </c>
      <c r="C48" s="2" t="str">
        <f>VLOOKUP(irregulares[[#This Row],[Similar a]],padroes[],2,0)</f>
        <v>CAR</v>
      </c>
      <c r="D48" s="3"/>
    </row>
    <row r="49" spans="1:4" x14ac:dyDescent="0.25">
      <c r="A49" s="2" t="s">
        <v>99</v>
      </c>
      <c r="B49" s="2" t="s">
        <v>63</v>
      </c>
      <c r="C49" s="2" t="str">
        <f>VLOOKUP(irregulares[[#This Row],[Similar a]],padroes[],2,0)</f>
        <v>CER</v>
      </c>
      <c r="D49" s="3"/>
    </row>
    <row r="50" spans="1:4" x14ac:dyDescent="0.25">
      <c r="A50" s="2" t="s">
        <v>100</v>
      </c>
      <c r="B50" s="2" t="s">
        <v>1717</v>
      </c>
      <c r="C50" s="2" t="str">
        <f>VLOOKUP(irregulares[[#This Row],[Similar a]],padroes[],2,0)</f>
        <v>Defectivo 1</v>
      </c>
      <c r="D50" s="3"/>
    </row>
    <row r="51" spans="1:4" x14ac:dyDescent="0.25">
      <c r="A51" s="2" t="s">
        <v>101</v>
      </c>
      <c r="B51" s="2" t="s">
        <v>44</v>
      </c>
      <c r="C51" s="2" t="str">
        <f>VLOOKUP(irregulares[[#This Row],[Similar a]],padroes[],2,0)</f>
        <v>CAR</v>
      </c>
      <c r="D51" s="3"/>
    </row>
    <row r="52" spans="1:4" x14ac:dyDescent="0.25">
      <c r="A52" s="2" t="s">
        <v>102</v>
      </c>
      <c r="B52" s="2" t="s">
        <v>44</v>
      </c>
      <c r="C52" s="2" t="str">
        <f>VLOOKUP(irregulares[[#This Row],[Similar a]],padroes[],2,0)</f>
        <v>CAR</v>
      </c>
      <c r="D52" s="3"/>
    </row>
    <row r="53" spans="1:4" x14ac:dyDescent="0.25">
      <c r="A53" s="2" t="s">
        <v>103</v>
      </c>
      <c r="B53" s="2" t="s">
        <v>44</v>
      </c>
      <c r="C53" s="2" t="str">
        <f>VLOOKUP(irregulares[[#This Row],[Similar a]],padroes[],2,0)</f>
        <v>CAR</v>
      </c>
      <c r="D53" s="3"/>
    </row>
    <row r="54" spans="1:4" x14ac:dyDescent="0.25">
      <c r="A54" s="2" t="s">
        <v>104</v>
      </c>
      <c r="B54" s="2" t="s">
        <v>49</v>
      </c>
      <c r="C54" s="2" t="str">
        <f>VLOOKUP(irregulares[[#This Row],[Similar a]],padroes[],2,0)</f>
        <v>OAR</v>
      </c>
      <c r="D54" s="3"/>
    </row>
    <row r="55" spans="1:4" x14ac:dyDescent="0.25">
      <c r="A55" s="2" t="s">
        <v>105</v>
      </c>
      <c r="B55" s="2" t="s">
        <v>44</v>
      </c>
      <c r="C55" s="2" t="str">
        <f>VLOOKUP(irregulares[[#This Row],[Similar a]],padroes[],2,0)</f>
        <v>CAR</v>
      </c>
      <c r="D55" s="3"/>
    </row>
    <row r="56" spans="1:4" x14ac:dyDescent="0.25">
      <c r="A56" s="2" t="s">
        <v>106</v>
      </c>
      <c r="B56" s="2" t="s">
        <v>44</v>
      </c>
      <c r="C56" s="2" t="str">
        <f>VLOOKUP(irregulares[[#This Row],[Similar a]],padroes[],2,0)</f>
        <v>CAR</v>
      </c>
      <c r="D56" s="3"/>
    </row>
    <row r="57" spans="1:4" x14ac:dyDescent="0.25">
      <c r="A57" s="2" t="s">
        <v>107</v>
      </c>
      <c r="B57" s="2" t="s">
        <v>42</v>
      </c>
      <c r="C57" s="2" t="str">
        <f>VLOOKUP(irregulares[[#This Row],[Similar a]],padroes[],2,0)</f>
        <v>ÇAR</v>
      </c>
      <c r="D57" s="3"/>
    </row>
    <row r="58" spans="1:4" x14ac:dyDescent="0.25">
      <c r="A58" s="2" t="s">
        <v>108</v>
      </c>
      <c r="B58" s="2" t="s">
        <v>63</v>
      </c>
      <c r="C58" s="2" t="str">
        <f>VLOOKUP(irregulares[[#This Row],[Similar a]],padroes[],2,0)</f>
        <v>CER</v>
      </c>
      <c r="D58" s="3"/>
    </row>
    <row r="59" spans="1:4" x14ac:dyDescent="0.25">
      <c r="A59" s="2" t="s">
        <v>109</v>
      </c>
      <c r="B59" s="2" t="s">
        <v>110</v>
      </c>
      <c r="C59" s="2" t="str">
        <f>VLOOKUP(irregulares[[#This Row],[Similar a]],padroes[],2,0)</f>
        <v>ANGER</v>
      </c>
      <c r="D59" s="3"/>
    </row>
    <row r="60" spans="1:4" x14ac:dyDescent="0.25">
      <c r="A60" s="2" t="s">
        <v>111</v>
      </c>
      <c r="B60" s="2" t="s">
        <v>53</v>
      </c>
      <c r="C60" s="2" t="str">
        <f>VLOOKUP(irregulares[[#This Row],[Similar a]],padroes[],2,0)</f>
        <v>EAR</v>
      </c>
      <c r="D60" s="3"/>
    </row>
    <row r="61" spans="1:4" x14ac:dyDescent="0.25">
      <c r="A61" s="2" t="s">
        <v>112</v>
      </c>
      <c r="B61" s="2" t="s">
        <v>113</v>
      </c>
      <c r="C61" s="2" t="str">
        <f>VLOOKUP(irregulares[[#This Row],[Similar a]],padroes[],2,0)</f>
        <v>EJAR ó</v>
      </c>
      <c r="D61" s="3"/>
    </row>
    <row r="62" spans="1:4" x14ac:dyDescent="0.25">
      <c r="A62" s="2" t="s">
        <v>114</v>
      </c>
      <c r="B62" s="2" t="s">
        <v>74</v>
      </c>
      <c r="C62" s="2" t="str">
        <f>VLOOKUP(irregulares[[#This Row],[Similar a]],padroes[],2,0)</f>
        <v>GAR</v>
      </c>
      <c r="D62" s="3"/>
    </row>
    <row r="63" spans="1:4" x14ac:dyDescent="0.25">
      <c r="A63" s="2" t="s">
        <v>115</v>
      </c>
      <c r="B63" s="2" t="s">
        <v>115</v>
      </c>
      <c r="C63" s="2" t="str">
        <f>VLOOKUP(irregulares[[#This Row],[Similar a]],padroes[],2,0)</f>
        <v>Abundante</v>
      </c>
      <c r="D63" s="3"/>
    </row>
    <row r="64" spans="1:4" x14ac:dyDescent="0.25">
      <c r="A64" s="2" t="s">
        <v>116</v>
      </c>
      <c r="B64" s="2" t="s">
        <v>74</v>
      </c>
      <c r="C64" s="2" t="str">
        <f>VLOOKUP(irregulares[[#This Row],[Similar a]],padroes[],2,0)</f>
        <v>GAR</v>
      </c>
      <c r="D64" s="3"/>
    </row>
    <row r="65" spans="1:4" x14ac:dyDescent="0.25">
      <c r="A65" s="2" t="s">
        <v>117</v>
      </c>
      <c r="B65" s="2" t="s">
        <v>53</v>
      </c>
      <c r="C65" s="2" t="str">
        <f>VLOOKUP(irregulares[[#This Row],[Similar a]],padroes[],2,0)</f>
        <v>EAR</v>
      </c>
      <c r="D65" s="3"/>
    </row>
    <row r="66" spans="1:4" x14ac:dyDescent="0.25">
      <c r="A66" s="2" t="s">
        <v>118</v>
      </c>
      <c r="B66" s="2" t="s">
        <v>63</v>
      </c>
      <c r="C66" s="2" t="str">
        <f>VLOOKUP(irregulares[[#This Row],[Similar a]],padroes[],2,0)</f>
        <v>CER</v>
      </c>
      <c r="D66" s="3"/>
    </row>
    <row r="67" spans="1:4" x14ac:dyDescent="0.25">
      <c r="A67" s="2" t="s">
        <v>119</v>
      </c>
      <c r="B67" s="2" t="s">
        <v>2243</v>
      </c>
      <c r="C67" s="2" t="str">
        <f>VLOOKUP(irregulares[[#This Row],[Similar a]],padroes[],2,0)</f>
        <v>X-TER</v>
      </c>
      <c r="D67" s="3"/>
    </row>
    <row r="68" spans="1:4" x14ac:dyDescent="0.25">
      <c r="A68" s="2" t="s">
        <v>120</v>
      </c>
      <c r="B68" s="2" t="s">
        <v>121</v>
      </c>
      <c r="C68" s="2" t="str">
        <f>VLOOKUP(irregulares[[#This Row],[Similar a]],padroes[],2,0)</f>
        <v>GER</v>
      </c>
      <c r="D68" s="3"/>
    </row>
    <row r="69" spans="1:4" x14ac:dyDescent="0.25">
      <c r="A69" s="2" t="s">
        <v>122</v>
      </c>
      <c r="B69" s="2" t="s">
        <v>988</v>
      </c>
      <c r="C69" s="2" t="str">
        <f>VLOOKUP(irregulares[[#This Row],[Similar a]],padroes[],2,0)</f>
        <v>AIR</v>
      </c>
      <c r="D69" s="3"/>
    </row>
    <row r="70" spans="1:4" x14ac:dyDescent="0.25">
      <c r="A70" s="2" t="s">
        <v>123</v>
      </c>
      <c r="B70" s="2" t="s">
        <v>42</v>
      </c>
      <c r="C70" s="2" t="str">
        <f>VLOOKUP(irregulares[[#This Row],[Similar a]],padroes[],2,0)</f>
        <v>ÇAR</v>
      </c>
      <c r="D70" s="3"/>
    </row>
    <row r="71" spans="1:4" x14ac:dyDescent="0.25">
      <c r="A71" s="2" t="s">
        <v>145</v>
      </c>
      <c r="B71" s="2" t="s">
        <v>44</v>
      </c>
      <c r="C71" s="2" t="str">
        <f>VLOOKUP(irregulares[[#This Row],[Similar a]],padroes[],2,0)</f>
        <v>CAR</v>
      </c>
      <c r="D71" s="3"/>
    </row>
    <row r="72" spans="1:4" x14ac:dyDescent="0.25">
      <c r="A72" s="2" t="s">
        <v>124</v>
      </c>
      <c r="B72" s="2" t="s">
        <v>49</v>
      </c>
      <c r="C72" s="2" t="str">
        <f>VLOOKUP(irregulares[[#This Row],[Similar a]],padroes[],2,0)</f>
        <v>OAR</v>
      </c>
      <c r="D72" s="3"/>
    </row>
    <row r="73" spans="1:4" x14ac:dyDescent="0.25">
      <c r="A73" s="2" t="s">
        <v>125</v>
      </c>
      <c r="B73" s="2" t="s">
        <v>49</v>
      </c>
      <c r="C73" s="2" t="str">
        <f>VLOOKUP(irregulares[[#This Row],[Similar a]],padroes[],2,0)</f>
        <v>OAR</v>
      </c>
      <c r="D73" s="3"/>
    </row>
    <row r="74" spans="1:4" x14ac:dyDescent="0.25">
      <c r="A74" s="2" t="s">
        <v>126</v>
      </c>
      <c r="B74" s="2" t="s">
        <v>44</v>
      </c>
      <c r="C74" s="2" t="str">
        <f>VLOOKUP(irregulares[[#This Row],[Similar a]],padroes[],2,0)</f>
        <v>CAR</v>
      </c>
      <c r="D74" s="3"/>
    </row>
    <row r="75" spans="1:4" x14ac:dyDescent="0.25">
      <c r="A75" s="2" t="s">
        <v>127</v>
      </c>
      <c r="B75" s="2" t="s">
        <v>44</v>
      </c>
      <c r="C75" s="2" t="str">
        <f>VLOOKUP(irregulares[[#This Row],[Similar a]],padroes[],2,0)</f>
        <v>CAR</v>
      </c>
      <c r="D75" s="3"/>
    </row>
    <row r="76" spans="1:4" x14ac:dyDescent="0.25">
      <c r="A76" s="2" t="s">
        <v>128</v>
      </c>
      <c r="B76" s="2" t="s">
        <v>49</v>
      </c>
      <c r="C76" s="2" t="str">
        <f>VLOOKUP(irregulares[[#This Row],[Similar a]],padroes[],2,0)</f>
        <v>OAR</v>
      </c>
      <c r="D76" s="3"/>
    </row>
    <row r="77" spans="1:4" x14ac:dyDescent="0.25">
      <c r="A77" s="2" t="s">
        <v>129</v>
      </c>
      <c r="B77" s="2" t="s">
        <v>42</v>
      </c>
      <c r="C77" s="2" t="str">
        <f>VLOOKUP(irregulares[[#This Row],[Similar a]],padroes[],2,0)</f>
        <v>ÇAR</v>
      </c>
      <c r="D77" s="3"/>
    </row>
    <row r="78" spans="1:4" x14ac:dyDescent="0.25">
      <c r="A78" s="2" t="s">
        <v>130</v>
      </c>
      <c r="B78" s="2" t="s">
        <v>53</v>
      </c>
      <c r="C78" s="2" t="str">
        <f>VLOOKUP(irregulares[[#This Row],[Similar a]],padroes[],2,0)</f>
        <v>EAR</v>
      </c>
      <c r="D78" s="3"/>
    </row>
    <row r="79" spans="1:4" x14ac:dyDescent="0.25">
      <c r="A79" s="2" t="s">
        <v>131</v>
      </c>
      <c r="B79" s="2" t="s">
        <v>49</v>
      </c>
      <c r="C79" s="2" t="str">
        <f>VLOOKUP(irregulares[[#This Row],[Similar a]],padroes[],2,0)</f>
        <v>OAR</v>
      </c>
      <c r="D79" s="3"/>
    </row>
    <row r="80" spans="1:4" x14ac:dyDescent="0.25">
      <c r="A80" s="2" t="s">
        <v>132</v>
      </c>
      <c r="B80" s="2" t="s">
        <v>53</v>
      </c>
      <c r="C80" s="2" t="str">
        <f>VLOOKUP(irregulares[[#This Row],[Similar a]],padroes[],2,0)</f>
        <v>EAR</v>
      </c>
      <c r="D80" s="3"/>
    </row>
    <row r="81" spans="1:4" x14ac:dyDescent="0.25">
      <c r="A81" s="2" t="s">
        <v>133</v>
      </c>
      <c r="B81" s="2" t="s">
        <v>49</v>
      </c>
      <c r="C81" s="2" t="str">
        <f>VLOOKUP(irregulares[[#This Row],[Similar a]],padroes[],2,0)</f>
        <v>OAR</v>
      </c>
      <c r="D81" s="3"/>
    </row>
    <row r="82" spans="1:4" x14ac:dyDescent="0.25">
      <c r="A82" s="2" t="s">
        <v>134</v>
      </c>
      <c r="B82" s="2" t="s">
        <v>49</v>
      </c>
      <c r="C82" s="2" t="str">
        <f>VLOOKUP(irregulares[[#This Row],[Similar a]],padroes[],2,0)</f>
        <v>OAR</v>
      </c>
      <c r="D82" s="3"/>
    </row>
    <row r="83" spans="1:4" x14ac:dyDescent="0.25">
      <c r="A83" s="2" t="s">
        <v>135</v>
      </c>
      <c r="B83" s="2" t="s">
        <v>74</v>
      </c>
      <c r="C83" s="2" t="str">
        <f>VLOOKUP(irregulares[[#This Row],[Similar a]],padroes[],2,0)</f>
        <v>GAR</v>
      </c>
      <c r="D83" s="3"/>
    </row>
    <row r="84" spans="1:4" x14ac:dyDescent="0.25">
      <c r="A84" s="2" t="s">
        <v>136</v>
      </c>
      <c r="B84" s="2" t="s">
        <v>53</v>
      </c>
      <c r="C84" s="2" t="str">
        <f>VLOOKUP(irregulares[[#This Row],[Similar a]],padroes[],2,0)</f>
        <v>EAR</v>
      </c>
      <c r="D84" s="3"/>
    </row>
    <row r="85" spans="1:4" x14ac:dyDescent="0.25">
      <c r="A85" s="2" t="s">
        <v>137</v>
      </c>
      <c r="B85" s="2" t="s">
        <v>49</v>
      </c>
      <c r="C85" s="2" t="str">
        <f>VLOOKUP(irregulares[[#This Row],[Similar a]],padroes[],2,0)</f>
        <v>OAR</v>
      </c>
      <c r="D85" s="3"/>
    </row>
    <row r="86" spans="1:4" x14ac:dyDescent="0.25">
      <c r="A86" s="2" t="s">
        <v>138</v>
      </c>
      <c r="B86" s="2" t="s">
        <v>44</v>
      </c>
      <c r="C86" s="2" t="str">
        <f>VLOOKUP(irregulares[[#This Row],[Similar a]],padroes[],2,0)</f>
        <v>CAR</v>
      </c>
      <c r="D86" s="3"/>
    </row>
    <row r="87" spans="1:4" x14ac:dyDescent="0.25">
      <c r="A87" s="2" t="s">
        <v>139</v>
      </c>
      <c r="B87" s="2" t="s">
        <v>53</v>
      </c>
      <c r="C87" s="2" t="str">
        <f>VLOOKUP(irregulares[[#This Row],[Similar a]],padroes[],2,0)</f>
        <v>EAR</v>
      </c>
      <c r="D87" s="3"/>
    </row>
    <row r="88" spans="1:4" x14ac:dyDescent="0.25">
      <c r="A88" s="2" t="s">
        <v>140</v>
      </c>
      <c r="B88" s="2" t="s">
        <v>53</v>
      </c>
      <c r="C88" s="2" t="str">
        <f>VLOOKUP(irregulares[[#This Row],[Similar a]],padroes[],2,0)</f>
        <v>EAR</v>
      </c>
      <c r="D88" s="3"/>
    </row>
    <row r="89" spans="1:4" x14ac:dyDescent="0.25">
      <c r="A89" s="2" t="s">
        <v>1248</v>
      </c>
      <c r="B89" s="2" t="s">
        <v>49</v>
      </c>
      <c r="C89" s="2" t="str">
        <f>VLOOKUP(irregulares[[#This Row],[Similar a]],padroes[],2,0)</f>
        <v>OAR</v>
      </c>
      <c r="D89" s="3"/>
    </row>
    <row r="90" spans="1:4" x14ac:dyDescent="0.25">
      <c r="A90" s="2" t="s">
        <v>141</v>
      </c>
      <c r="B90" s="2" t="s">
        <v>141</v>
      </c>
      <c r="C90" s="2" t="str">
        <f>VLOOKUP(irregulares[[#This Row],[Similar a]],padroes[],2,0)</f>
        <v>Abundante</v>
      </c>
      <c r="D90" s="3"/>
    </row>
    <row r="91" spans="1:4" x14ac:dyDescent="0.25">
      <c r="A91" s="2" t="s">
        <v>4873</v>
      </c>
      <c r="B91" s="2" t="s">
        <v>2860</v>
      </c>
      <c r="C91" s="31" t="str">
        <f>VLOOKUP(irregulares[[#This Row],[Similar a]],padroes[],2,0)</f>
        <v>Abundante</v>
      </c>
      <c r="D91" s="3"/>
    </row>
    <row r="92" spans="1:4" x14ac:dyDescent="0.25">
      <c r="A92" s="2" t="s">
        <v>142</v>
      </c>
      <c r="B92" s="2" t="s">
        <v>44</v>
      </c>
      <c r="C92" s="2" t="str">
        <f>VLOOKUP(irregulares[[#This Row],[Similar a]],padroes[],2,0)</f>
        <v>CAR</v>
      </c>
      <c r="D92" s="3"/>
    </row>
    <row r="93" spans="1:4" x14ac:dyDescent="0.25">
      <c r="A93" s="2" t="s">
        <v>143</v>
      </c>
      <c r="B93" s="2" t="s">
        <v>55</v>
      </c>
      <c r="C93" s="2" t="str">
        <f>VLOOKUP(irregulares[[#This Row],[Similar a]],padroes[],2,0)</f>
        <v>EJAR ô</v>
      </c>
      <c r="D93" s="3"/>
    </row>
    <row r="94" spans="1:4" x14ac:dyDescent="0.25">
      <c r="A94" s="2" t="s">
        <v>144</v>
      </c>
      <c r="B94" s="2" t="s">
        <v>44</v>
      </c>
      <c r="C94" s="2" t="str">
        <f>VLOOKUP(irregulares[[#This Row],[Similar a]],padroes[],2,0)</f>
        <v>CAR</v>
      </c>
      <c r="D94" s="3"/>
    </row>
    <row r="95" spans="1:4" x14ac:dyDescent="0.25">
      <c r="A95" s="2" t="s">
        <v>146</v>
      </c>
      <c r="B95" s="2" t="s">
        <v>49</v>
      </c>
      <c r="C95" s="2" t="str">
        <f>VLOOKUP(irregulares[[#This Row],[Similar a]],padroes[],2,0)</f>
        <v>OAR</v>
      </c>
      <c r="D95" s="3"/>
    </row>
    <row r="96" spans="1:4" x14ac:dyDescent="0.25">
      <c r="A96" s="2" t="s">
        <v>147</v>
      </c>
      <c r="B96" s="2" t="s">
        <v>49</v>
      </c>
      <c r="C96" s="2" t="str">
        <f>VLOOKUP(irregulares[[#This Row],[Similar a]],padroes[],2,0)</f>
        <v>OAR</v>
      </c>
      <c r="D96" s="3"/>
    </row>
    <row r="97" spans="1:4" x14ac:dyDescent="0.25">
      <c r="A97" s="2" t="s">
        <v>148</v>
      </c>
      <c r="B97" s="2" t="s">
        <v>44</v>
      </c>
      <c r="C97" s="2" t="str">
        <f>VLOOKUP(irregulares[[#This Row],[Similar a]],padroes[],2,0)</f>
        <v>CAR</v>
      </c>
      <c r="D97" s="3"/>
    </row>
    <row r="98" spans="1:4" x14ac:dyDescent="0.25">
      <c r="A98" s="2" t="s">
        <v>149</v>
      </c>
      <c r="B98" s="2" t="s">
        <v>161</v>
      </c>
      <c r="C98" s="2" t="str">
        <f>VLOOKUP(irregulares[[#This Row],[Similar a]],padroes[],2,0)</f>
        <v>GAR</v>
      </c>
      <c r="D98" s="3"/>
    </row>
    <row r="99" spans="1:4" x14ac:dyDescent="0.25">
      <c r="A99" s="2" t="s">
        <v>150</v>
      </c>
      <c r="B99" s="2" t="s">
        <v>44</v>
      </c>
      <c r="C99" s="2" t="str">
        <f>VLOOKUP(irregulares[[#This Row],[Similar a]],padroes[],2,0)</f>
        <v>CAR</v>
      </c>
      <c r="D99" s="3"/>
    </row>
    <row r="100" spans="1:4" x14ac:dyDescent="0.25">
      <c r="A100" s="2" t="s">
        <v>151</v>
      </c>
      <c r="B100" s="2" t="s">
        <v>49</v>
      </c>
      <c r="C100" s="2" t="str">
        <f>VLOOKUP(irregulares[[#This Row],[Similar a]],padroes[],2,0)</f>
        <v>OAR</v>
      </c>
      <c r="D100" s="3"/>
    </row>
    <row r="101" spans="1:4" x14ac:dyDescent="0.25">
      <c r="A101" s="2" t="s">
        <v>152</v>
      </c>
      <c r="B101" s="2" t="s">
        <v>44</v>
      </c>
      <c r="C101" s="2" t="str">
        <f>VLOOKUP(irregulares[[#This Row],[Similar a]],padroes[],2,0)</f>
        <v>CAR</v>
      </c>
      <c r="D101" s="3"/>
    </row>
    <row r="102" spans="1:4" x14ac:dyDescent="0.25">
      <c r="A102" s="2" t="s">
        <v>153</v>
      </c>
      <c r="B102" s="2" t="s">
        <v>154</v>
      </c>
      <c r="C102" s="2" t="str">
        <f>VLOOKUP(irregulares[[#This Row],[Similar a]],padroes[],2,0)</f>
        <v>GIR</v>
      </c>
      <c r="D102" s="3"/>
    </row>
    <row r="103" spans="1:4" x14ac:dyDescent="0.25">
      <c r="A103" s="2" t="s">
        <v>155</v>
      </c>
      <c r="B103" s="2" t="s">
        <v>49</v>
      </c>
      <c r="C103" s="2" t="str">
        <f>VLOOKUP(irregulares[[#This Row],[Similar a]],padroes[],2,0)</f>
        <v>OAR</v>
      </c>
      <c r="D103" s="3"/>
    </row>
    <row r="104" spans="1:4" x14ac:dyDescent="0.25">
      <c r="A104" s="2" t="s">
        <v>156</v>
      </c>
      <c r="B104" s="2" t="s">
        <v>44</v>
      </c>
      <c r="C104" s="2" t="str">
        <f>VLOOKUP(irregulares[[#This Row],[Similar a]],padroes[],2,0)</f>
        <v>CAR</v>
      </c>
      <c r="D104" s="3"/>
    </row>
    <row r="105" spans="1:4" x14ac:dyDescent="0.25">
      <c r="A105" s="2" t="s">
        <v>1249</v>
      </c>
      <c r="B105" s="2" t="s">
        <v>157</v>
      </c>
      <c r="C105" s="2" t="str">
        <f>VLOOKUP(irregulares[[#This Row],[Similar a]],padroes[],2,0)</f>
        <v>ELHAR</v>
      </c>
      <c r="D105" s="3"/>
    </row>
    <row r="106" spans="1:4" x14ac:dyDescent="0.25">
      <c r="A106" s="2" t="s">
        <v>158</v>
      </c>
      <c r="B106" s="2" t="s">
        <v>49</v>
      </c>
      <c r="C106" s="2" t="str">
        <f>VLOOKUP(irregulares[[#This Row],[Similar a]],padroes[],2,0)</f>
        <v>OAR</v>
      </c>
      <c r="D106" s="3"/>
    </row>
    <row r="107" spans="1:4" x14ac:dyDescent="0.25">
      <c r="A107" s="2" t="s">
        <v>159</v>
      </c>
      <c r="B107" s="2" t="s">
        <v>53</v>
      </c>
      <c r="C107" s="2" t="str">
        <f>VLOOKUP(irregulares[[#This Row],[Similar a]],padroes[],2,0)</f>
        <v>EAR</v>
      </c>
      <c r="D107" s="3"/>
    </row>
    <row r="108" spans="1:4" x14ac:dyDescent="0.25">
      <c r="A108" s="2" t="s">
        <v>160</v>
      </c>
      <c r="B108" s="2" t="s">
        <v>161</v>
      </c>
      <c r="C108" s="2" t="str">
        <f>VLOOKUP(irregulares[[#This Row],[Similar a]],padroes[],2,0)</f>
        <v>GAR</v>
      </c>
      <c r="D108" s="3"/>
    </row>
    <row r="109" spans="1:4" x14ac:dyDescent="0.25">
      <c r="A109" s="2" t="s">
        <v>162</v>
      </c>
      <c r="B109" s="2" t="s">
        <v>157</v>
      </c>
      <c r="C109" s="2" t="str">
        <f>VLOOKUP(irregulares[[#This Row],[Similar a]],padroes[],2,0)</f>
        <v>ELHAR</v>
      </c>
      <c r="D109" s="3"/>
    </row>
    <row r="110" spans="1:4" x14ac:dyDescent="0.25">
      <c r="A110" s="2" t="s">
        <v>163</v>
      </c>
      <c r="B110" s="2" t="s">
        <v>163</v>
      </c>
      <c r="C110" s="2" t="str">
        <f>VLOOKUP(irregulares[[#This Row],[Similar a]],padroes[],2,0)</f>
        <v>Defectivo 3</v>
      </c>
      <c r="D110" s="3"/>
    </row>
    <row r="111" spans="1:4" x14ac:dyDescent="0.25">
      <c r="A111" s="2" t="s">
        <v>164</v>
      </c>
      <c r="B111" s="2" t="s">
        <v>49</v>
      </c>
      <c r="C111" s="2" t="str">
        <f>VLOOKUP(irregulares[[#This Row],[Similar a]],padroes[],2,0)</f>
        <v>OAR</v>
      </c>
      <c r="D111" s="3"/>
    </row>
    <row r="112" spans="1:4" x14ac:dyDescent="0.25">
      <c r="A112" s="2" t="s">
        <v>165</v>
      </c>
      <c r="B112" s="2" t="s">
        <v>49</v>
      </c>
      <c r="C112" s="2" t="str">
        <f>VLOOKUP(irregulares[[#This Row],[Similar a]],padroes[],2,0)</f>
        <v>OAR</v>
      </c>
      <c r="D112" s="3"/>
    </row>
    <row r="113" spans="1:4" x14ac:dyDescent="0.25">
      <c r="A113" s="2" t="s">
        <v>166</v>
      </c>
      <c r="B113" s="2" t="s">
        <v>49</v>
      </c>
      <c r="C113" s="2" t="str">
        <f>VLOOKUP(irregulares[[#This Row],[Similar a]],padroes[],2,0)</f>
        <v>OAR</v>
      </c>
      <c r="D113" s="3"/>
    </row>
    <row r="114" spans="1:4" x14ac:dyDescent="0.25">
      <c r="A114" s="2" t="s">
        <v>167</v>
      </c>
      <c r="B114" s="2" t="s">
        <v>49</v>
      </c>
      <c r="C114" s="2" t="str">
        <f>VLOOKUP(irregulares[[#This Row],[Similar a]],padroes[],2,0)</f>
        <v>OAR</v>
      </c>
      <c r="D114" s="3"/>
    </row>
    <row r="115" spans="1:4" x14ac:dyDescent="0.25">
      <c r="A115" s="2" t="s">
        <v>168</v>
      </c>
      <c r="B115" s="2" t="s">
        <v>49</v>
      </c>
      <c r="C115" s="2" t="str">
        <f>VLOOKUP(irregulares[[#This Row],[Similar a]],padroes[],2,0)</f>
        <v>OAR</v>
      </c>
      <c r="D115" s="3"/>
    </row>
    <row r="116" spans="1:4" x14ac:dyDescent="0.25">
      <c r="A116" s="2" t="s">
        <v>169</v>
      </c>
      <c r="B116" s="2" t="s">
        <v>63</v>
      </c>
      <c r="C116" s="2" t="str">
        <f>VLOOKUP(irregulares[[#This Row],[Similar a]],padroes[],2,0)</f>
        <v>CER</v>
      </c>
      <c r="D116" s="3"/>
    </row>
    <row r="117" spans="1:4" x14ac:dyDescent="0.25">
      <c r="A117" s="2" t="s">
        <v>1250</v>
      </c>
      <c r="B117" s="2" t="s">
        <v>42</v>
      </c>
      <c r="C117" s="2" t="str">
        <f>VLOOKUP(irregulares[[#This Row],[Similar a]],padroes[],2,0)</f>
        <v>ÇAR</v>
      </c>
      <c r="D117" s="3"/>
    </row>
    <row r="118" spans="1:4" x14ac:dyDescent="0.25">
      <c r="A118" s="2" t="s">
        <v>171</v>
      </c>
      <c r="B118" s="2" t="s">
        <v>171</v>
      </c>
      <c r="C118" s="2" t="str">
        <f>VLOOKUP(irregulares[[#This Row],[Similar a]],padroes[],2,0)</f>
        <v>O-X-IR</v>
      </c>
      <c r="D118" s="3"/>
    </row>
    <row r="119" spans="1:4" x14ac:dyDescent="0.25">
      <c r="A119" s="2" t="s">
        <v>172</v>
      </c>
      <c r="B119" s="2" t="s">
        <v>53</v>
      </c>
      <c r="C119" s="2" t="str">
        <f>VLOOKUP(irregulares[[#This Row],[Similar a]],padroes[],2,0)</f>
        <v>EAR</v>
      </c>
      <c r="D119" s="3"/>
    </row>
    <row r="120" spans="1:4" x14ac:dyDescent="0.25">
      <c r="A120" s="2" t="s">
        <v>173</v>
      </c>
      <c r="B120" s="2" t="s">
        <v>53</v>
      </c>
      <c r="C120" s="2" t="str">
        <f>VLOOKUP(irregulares[[#This Row],[Similar a]],padroes[],2,0)</f>
        <v>EAR</v>
      </c>
      <c r="D120" s="3"/>
    </row>
    <row r="121" spans="1:4" x14ac:dyDescent="0.25">
      <c r="A121" s="2" t="s">
        <v>174</v>
      </c>
      <c r="B121" s="2" t="s">
        <v>53</v>
      </c>
      <c r="C121" s="2" t="str">
        <f>VLOOKUP(irregulares[[#This Row],[Similar a]],padroes[],2,0)</f>
        <v>EAR</v>
      </c>
      <c r="D121" s="3"/>
    </row>
    <row r="122" spans="1:4" x14ac:dyDescent="0.25">
      <c r="A122" s="2" t="s">
        <v>175</v>
      </c>
      <c r="B122" s="2" t="s">
        <v>1717</v>
      </c>
      <c r="C122" s="2" t="str">
        <f>VLOOKUP(irregulares[[#This Row],[Similar a]],padroes[],2,0)</f>
        <v>Defectivo 1</v>
      </c>
      <c r="D122" s="3"/>
    </row>
    <row r="123" spans="1:4" x14ac:dyDescent="0.25">
      <c r="A123" s="2" t="s">
        <v>177</v>
      </c>
      <c r="B123" s="2" t="s">
        <v>60</v>
      </c>
      <c r="C123" s="2" t="str">
        <f>VLOOKUP(irregulares[[#This Row],[Similar a]],padroes[],2,0)</f>
        <v>GAR</v>
      </c>
      <c r="D123" s="3"/>
    </row>
    <row r="124" spans="1:4" x14ac:dyDescent="0.25">
      <c r="A124" s="2" t="s">
        <v>178</v>
      </c>
      <c r="B124" s="2" t="s">
        <v>55</v>
      </c>
      <c r="C124" s="2" t="str">
        <f>VLOOKUP(irregulares[[#This Row],[Similar a]],padroes[],2,0)</f>
        <v>EJAR ô</v>
      </c>
      <c r="D124" s="3"/>
    </row>
    <row r="125" spans="1:4" x14ac:dyDescent="0.25">
      <c r="A125" s="2" t="s">
        <v>179</v>
      </c>
      <c r="B125" s="2" t="s">
        <v>42</v>
      </c>
      <c r="C125" s="2" t="str">
        <f>VLOOKUP(irregulares[[#This Row],[Similar a]],padroes[],2,0)</f>
        <v>ÇAR</v>
      </c>
      <c r="D125" s="3"/>
    </row>
    <row r="126" spans="1:4" x14ac:dyDescent="0.25">
      <c r="A126" s="2" t="s">
        <v>180</v>
      </c>
      <c r="B126" s="2" t="s">
        <v>180</v>
      </c>
      <c r="C126" s="2" t="str">
        <f>VLOOKUP(irregulares[[#This Row],[Similar a]],padroes[],2,0)</f>
        <v>Defectivo 2</v>
      </c>
      <c r="D126" s="3"/>
    </row>
    <row r="127" spans="1:4" x14ac:dyDescent="0.25">
      <c r="A127" s="2" t="s">
        <v>181</v>
      </c>
      <c r="B127" s="2" t="s">
        <v>351</v>
      </c>
      <c r="C127" s="2" t="str">
        <f>VLOOKUP(irregulares[[#This Row],[Similar a]],padroes[],2,0)</f>
        <v>ÇAR</v>
      </c>
      <c r="D127" s="3"/>
    </row>
    <row r="128" spans="1:4" x14ac:dyDescent="0.25">
      <c r="A128" s="2" t="s">
        <v>182</v>
      </c>
      <c r="B128" s="2" t="s">
        <v>74</v>
      </c>
      <c r="C128" s="2" t="str">
        <f>VLOOKUP(irregulares[[#This Row],[Similar a]],padroes[],2,0)</f>
        <v>GAR</v>
      </c>
      <c r="D128" s="3"/>
    </row>
    <row r="129" spans="1:4" x14ac:dyDescent="0.25">
      <c r="A129" s="2" t="s">
        <v>183</v>
      </c>
      <c r="B129" s="2" t="s">
        <v>183</v>
      </c>
      <c r="C129" s="2" t="str">
        <f>VLOOKUP(irregulares[[#This Row],[Similar a]],padroes[],2,0)</f>
        <v>E-X-IR</v>
      </c>
      <c r="D129" s="3"/>
    </row>
    <row r="130" spans="1:4" x14ac:dyDescent="0.25">
      <c r="A130" s="2" t="s">
        <v>184</v>
      </c>
      <c r="B130" s="2" t="s">
        <v>185</v>
      </c>
      <c r="C130" s="2" t="str">
        <f>VLOOKUP(irregulares[[#This Row],[Similar a]],padroes[],2,0)</f>
        <v>Defectivo 2</v>
      </c>
      <c r="D130" s="3"/>
    </row>
    <row r="131" spans="1:4" x14ac:dyDescent="0.25">
      <c r="A131" s="2" t="s">
        <v>186</v>
      </c>
      <c r="B131" s="2" t="s">
        <v>187</v>
      </c>
      <c r="C131" s="2" t="str">
        <f>VLOOKUP(irregulares[[#This Row],[Similar a]],padroes[],2,0)</f>
        <v>AZER</v>
      </c>
      <c r="D131" s="3"/>
    </row>
    <row r="132" spans="1:4" x14ac:dyDescent="0.25">
      <c r="A132" s="2" t="s">
        <v>188</v>
      </c>
      <c r="B132" s="2" t="s">
        <v>44</v>
      </c>
      <c r="C132" s="2" t="str">
        <f>VLOOKUP(irregulares[[#This Row],[Similar a]],padroes[],2,0)</f>
        <v>CAR</v>
      </c>
      <c r="D132" s="3"/>
    </row>
    <row r="133" spans="1:4" x14ac:dyDescent="0.25">
      <c r="A133" s="2" t="s">
        <v>1251</v>
      </c>
      <c r="B133" s="2" t="s">
        <v>74</v>
      </c>
      <c r="C133" s="2" t="str">
        <f>VLOOKUP(irregulares[[#This Row],[Similar a]],padroes[],2,0)</f>
        <v>GAR</v>
      </c>
      <c r="D133" s="3"/>
    </row>
    <row r="134" spans="1:4" x14ac:dyDescent="0.25">
      <c r="A134" s="2" t="s">
        <v>189</v>
      </c>
      <c r="B134" s="2" t="s">
        <v>42</v>
      </c>
      <c r="C134" s="2" t="str">
        <f>VLOOKUP(irregulares[[#This Row],[Similar a]],padroes[],2,0)</f>
        <v>ÇAR</v>
      </c>
      <c r="D134" s="3"/>
    </row>
    <row r="135" spans="1:4" x14ac:dyDescent="0.25">
      <c r="A135" s="2" t="s">
        <v>190</v>
      </c>
      <c r="B135" s="2" t="s">
        <v>44</v>
      </c>
      <c r="C135" s="2" t="str">
        <f>VLOOKUP(irregulares[[#This Row],[Similar a]],padroes[],2,0)</f>
        <v>CAR</v>
      </c>
      <c r="D135" s="3"/>
    </row>
    <row r="136" spans="1:4" x14ac:dyDescent="0.25">
      <c r="A136" s="2" t="s">
        <v>191</v>
      </c>
      <c r="B136" s="2" t="s">
        <v>63</v>
      </c>
      <c r="C136" s="2" t="str">
        <f>VLOOKUP(irregulares[[#This Row],[Similar a]],padroes[],2,0)</f>
        <v>CER</v>
      </c>
      <c r="D136" s="3"/>
    </row>
    <row r="137" spans="1:4" x14ac:dyDescent="0.25">
      <c r="A137" s="2" t="s">
        <v>192</v>
      </c>
      <c r="B137" s="2" t="s">
        <v>63</v>
      </c>
      <c r="C137" s="2" t="str">
        <f>VLOOKUP(irregulares[[#This Row],[Similar a]],padroes[],2,0)</f>
        <v>CER</v>
      </c>
      <c r="D137" s="3"/>
    </row>
    <row r="138" spans="1:4" x14ac:dyDescent="0.25">
      <c r="A138" s="2" t="s">
        <v>193</v>
      </c>
      <c r="B138" s="2" t="s">
        <v>74</v>
      </c>
      <c r="C138" s="2" t="str">
        <f>VLOOKUP(irregulares[[#This Row],[Similar a]],padroes[],2,0)</f>
        <v>GAR</v>
      </c>
      <c r="D138" s="3"/>
    </row>
    <row r="139" spans="1:4" x14ac:dyDescent="0.25">
      <c r="A139" s="2" t="s">
        <v>194</v>
      </c>
      <c r="B139" s="2" t="s">
        <v>60</v>
      </c>
      <c r="C139" s="2" t="str">
        <f>VLOOKUP(irregulares[[#This Row],[Similar a]],padroes[],2,0)</f>
        <v>GAR</v>
      </c>
      <c r="D139" s="3"/>
    </row>
    <row r="140" spans="1:4" x14ac:dyDescent="0.25">
      <c r="A140" s="2" t="s">
        <v>195</v>
      </c>
      <c r="B140" s="2" t="s">
        <v>42</v>
      </c>
      <c r="C140" s="2" t="str">
        <f>VLOOKUP(irregulares[[#This Row],[Similar a]],padroes[],2,0)</f>
        <v>ÇAR</v>
      </c>
      <c r="D140" s="3"/>
    </row>
    <row r="141" spans="1:4" x14ac:dyDescent="0.25">
      <c r="A141" s="2" t="s">
        <v>196</v>
      </c>
      <c r="B141" s="2" t="s">
        <v>74</v>
      </c>
      <c r="C141" s="2" t="str">
        <f>VLOOKUP(irregulares[[#This Row],[Similar a]],padroes[],2,0)</f>
        <v>GAR</v>
      </c>
      <c r="D141" s="3"/>
    </row>
    <row r="142" spans="1:4" x14ac:dyDescent="0.25">
      <c r="A142" s="2" t="s">
        <v>197</v>
      </c>
      <c r="B142" s="2" t="s">
        <v>2363</v>
      </c>
      <c r="C142" s="2" t="str">
        <f>VLOOKUP(irregulares[[#This Row],[Similar a]],padroes[],2,0)</f>
        <v>Abundante</v>
      </c>
      <c r="D142" s="3"/>
    </row>
    <row r="143" spans="1:4" x14ac:dyDescent="0.25">
      <c r="A143" s="2" t="s">
        <v>198</v>
      </c>
      <c r="B143" s="2" t="s">
        <v>154</v>
      </c>
      <c r="C143" s="2" t="str">
        <f>VLOOKUP(irregulares[[#This Row],[Similar a]],padroes[],2,0)</f>
        <v>GIR</v>
      </c>
      <c r="D143" s="3"/>
    </row>
    <row r="144" spans="1:4" x14ac:dyDescent="0.25">
      <c r="A144" s="2" t="s">
        <v>199</v>
      </c>
      <c r="B144" s="2" t="s">
        <v>44</v>
      </c>
      <c r="C144" s="2" t="str">
        <f>VLOOKUP(irregulares[[#This Row],[Similar a]],padroes[],2,0)</f>
        <v>CAR</v>
      </c>
      <c r="D144" s="3"/>
    </row>
    <row r="145" spans="1:4" x14ac:dyDescent="0.25">
      <c r="A145" s="2" t="s">
        <v>68</v>
      </c>
      <c r="B145" s="2" t="s">
        <v>1887</v>
      </c>
      <c r="C145" s="2" t="str">
        <f>VLOOKUP(irregulares[[#This Row],[Similar a]],padroes[],2,0)</f>
        <v>UZIR</v>
      </c>
      <c r="D145" s="3"/>
    </row>
    <row r="146" spans="1:4" x14ac:dyDescent="0.25">
      <c r="A146" s="2" t="s">
        <v>200</v>
      </c>
      <c r="B146" s="2" t="s">
        <v>200</v>
      </c>
      <c r="C146" s="2" t="str">
        <f>VLOOKUP(irregulares[[#This Row],[Similar a]],padroes[],2,0)</f>
        <v>E-X-IR</v>
      </c>
      <c r="D146" s="3"/>
    </row>
    <row r="147" spans="1:4" x14ac:dyDescent="0.25">
      <c r="A147" s="2" t="s">
        <v>201</v>
      </c>
      <c r="B147" s="2" t="s">
        <v>247</v>
      </c>
      <c r="C147" s="2" t="str">
        <f>VLOOKUP(irregulares[[#This Row],[Similar a]],padroes[],2,0)</f>
        <v>VIR</v>
      </c>
      <c r="D147" s="3"/>
    </row>
    <row r="148" spans="1:4" x14ac:dyDescent="0.25">
      <c r="A148" s="2" t="s">
        <v>202</v>
      </c>
      <c r="B148" s="2" t="s">
        <v>74</v>
      </c>
      <c r="C148" s="2" t="str">
        <f>VLOOKUP(irregulares[[#This Row],[Similar a]],padroes[],2,0)</f>
        <v>GAR</v>
      </c>
      <c r="D148" s="3"/>
    </row>
    <row r="149" spans="1:4" x14ac:dyDescent="0.25">
      <c r="A149" s="2" t="s">
        <v>203</v>
      </c>
      <c r="B149" s="2" t="s">
        <v>44</v>
      </c>
      <c r="C149" s="2" t="str">
        <f>VLOOKUP(irregulares[[#This Row],[Similar a]],padroes[],2,0)</f>
        <v>CAR</v>
      </c>
      <c r="D149" s="3"/>
    </row>
    <row r="150" spans="1:4" x14ac:dyDescent="0.25">
      <c r="A150" s="2" t="s">
        <v>204</v>
      </c>
      <c r="B150" s="2" t="s">
        <v>74</v>
      </c>
      <c r="C150" s="2" t="str">
        <f>VLOOKUP(irregulares[[#This Row],[Similar a]],padroes[],2,0)</f>
        <v>GAR</v>
      </c>
      <c r="D150" s="3"/>
    </row>
    <row r="151" spans="1:4" x14ac:dyDescent="0.25">
      <c r="A151" s="2" t="s">
        <v>205</v>
      </c>
      <c r="B151" s="2" t="s">
        <v>74</v>
      </c>
      <c r="C151" s="2" t="str">
        <f>VLOOKUP(irregulares[[#This Row],[Similar a]],padroes[],2,0)</f>
        <v>GAR</v>
      </c>
      <c r="D151" s="3"/>
    </row>
    <row r="152" spans="1:4" x14ac:dyDescent="0.25">
      <c r="A152" s="2" t="s">
        <v>206</v>
      </c>
      <c r="B152" s="2" t="s">
        <v>49</v>
      </c>
      <c r="C152" s="2" t="str">
        <f>VLOOKUP(irregulares[[#This Row],[Similar a]],padroes[],2,0)</f>
        <v>OAR</v>
      </c>
      <c r="D152" s="3"/>
    </row>
    <row r="153" spans="1:4" x14ac:dyDescent="0.25">
      <c r="A153" s="2" t="s">
        <v>207</v>
      </c>
      <c r="B153" s="2" t="s">
        <v>53</v>
      </c>
      <c r="C153" s="2" t="str">
        <f>VLOOKUP(irregulares[[#This Row],[Similar a]],padroes[],2,0)</f>
        <v>EAR</v>
      </c>
      <c r="D153" s="3"/>
    </row>
    <row r="154" spans="1:4" x14ac:dyDescent="0.25">
      <c r="A154" s="2" t="s">
        <v>208</v>
      </c>
      <c r="B154" s="2" t="s">
        <v>859</v>
      </c>
      <c r="C154" s="2" t="str">
        <f>VLOOKUP(irregulares[[#This Row],[Similar a]],padroes[],2,0)</f>
        <v>FAZER</v>
      </c>
      <c r="D154" s="3"/>
    </row>
    <row r="155" spans="1:4" x14ac:dyDescent="0.25">
      <c r="A155" s="2" t="s">
        <v>209</v>
      </c>
      <c r="B155" s="2" t="s">
        <v>53</v>
      </c>
      <c r="C155" s="2" t="str">
        <f>VLOOKUP(irregulares[[#This Row],[Similar a]],padroes[],2,0)</f>
        <v>EAR</v>
      </c>
      <c r="D155" s="3"/>
    </row>
    <row r="156" spans="1:4" x14ac:dyDescent="0.25">
      <c r="A156" s="2" t="s">
        <v>210</v>
      </c>
      <c r="B156" s="2" t="s">
        <v>49</v>
      </c>
      <c r="C156" s="2" t="str">
        <f>VLOOKUP(irregulares[[#This Row],[Similar a]],padroes[],2,0)</f>
        <v>OAR</v>
      </c>
      <c r="D156" s="3"/>
    </row>
    <row r="157" spans="1:4" x14ac:dyDescent="0.25">
      <c r="A157" s="2" t="s">
        <v>211</v>
      </c>
      <c r="B157" s="2" t="s">
        <v>53</v>
      </c>
      <c r="C157" s="2" t="str">
        <f>VLOOKUP(irregulares[[#This Row],[Similar a]],padroes[],2,0)</f>
        <v>EAR</v>
      </c>
      <c r="D157" s="3"/>
    </row>
    <row r="158" spans="1:4" x14ac:dyDescent="0.25">
      <c r="A158" s="2" t="s">
        <v>212</v>
      </c>
      <c r="B158" s="2" t="s">
        <v>183</v>
      </c>
      <c r="C158" s="2" t="str">
        <f>VLOOKUP(irregulares[[#This Row],[Similar a]],padroes[],2,0)</f>
        <v>E-X-IR</v>
      </c>
      <c r="D158" s="3"/>
    </row>
    <row r="159" spans="1:4" x14ac:dyDescent="0.25">
      <c r="A159" s="2" t="s">
        <v>213</v>
      </c>
      <c r="B159" s="2" t="s">
        <v>53</v>
      </c>
      <c r="C159" s="2" t="str">
        <f>VLOOKUP(irregulares[[#This Row],[Similar a]],padroes[],2,0)</f>
        <v>EAR</v>
      </c>
      <c r="D159" s="3"/>
    </row>
    <row r="160" spans="1:4" x14ac:dyDescent="0.25">
      <c r="A160" s="2" t="s">
        <v>214</v>
      </c>
      <c r="B160" s="2" t="s">
        <v>49</v>
      </c>
      <c r="C160" s="2" t="str">
        <f>VLOOKUP(irregulares[[#This Row],[Similar a]],padroes[],2,0)</f>
        <v>OAR</v>
      </c>
      <c r="D160" s="3"/>
    </row>
    <row r="161" spans="1:4" x14ac:dyDescent="0.25">
      <c r="A161" s="2" t="s">
        <v>215</v>
      </c>
      <c r="B161" s="2" t="s">
        <v>49</v>
      </c>
      <c r="C161" s="2" t="str">
        <f>VLOOKUP(irregulares[[#This Row],[Similar a]],padroes[],2,0)</f>
        <v>OAR</v>
      </c>
      <c r="D161" s="3"/>
    </row>
    <row r="162" spans="1:4" x14ac:dyDescent="0.25">
      <c r="A162" s="2" t="s">
        <v>216</v>
      </c>
      <c r="B162" s="2" t="s">
        <v>49</v>
      </c>
      <c r="C162" s="2" t="str">
        <f>VLOOKUP(irregulares[[#This Row],[Similar a]],padroes[],2,0)</f>
        <v>OAR</v>
      </c>
      <c r="D162" s="3"/>
    </row>
    <row r="163" spans="1:4" x14ac:dyDescent="0.25">
      <c r="A163" s="2" t="s">
        <v>217</v>
      </c>
      <c r="B163" s="2" t="s">
        <v>42</v>
      </c>
      <c r="C163" s="2" t="str">
        <f>VLOOKUP(irregulares[[#This Row],[Similar a]],padroes[],2,0)</f>
        <v>ÇAR</v>
      </c>
      <c r="D163" s="3"/>
    </row>
    <row r="164" spans="1:4" x14ac:dyDescent="0.25">
      <c r="A164" s="2" t="s">
        <v>218</v>
      </c>
      <c r="B164" s="2" t="s">
        <v>74</v>
      </c>
      <c r="C164" s="2" t="str">
        <f>VLOOKUP(irregulares[[#This Row],[Similar a]],padroes[],2,0)</f>
        <v>GAR</v>
      </c>
      <c r="D164" s="3"/>
    </row>
    <row r="165" spans="1:4" x14ac:dyDescent="0.25">
      <c r="A165" s="2" t="s">
        <v>219</v>
      </c>
      <c r="B165" s="2" t="s">
        <v>44</v>
      </c>
      <c r="C165" s="2" t="str">
        <f>VLOOKUP(irregulares[[#This Row],[Similar a]],padroes[],2,0)</f>
        <v>CAR</v>
      </c>
      <c r="D165" s="3"/>
    </row>
    <row r="166" spans="1:4" x14ac:dyDescent="0.25">
      <c r="A166" s="2" t="s">
        <v>220</v>
      </c>
      <c r="B166" s="2" t="s">
        <v>221</v>
      </c>
      <c r="C166" s="2" t="str">
        <f>VLOOKUP(irregulares[[#This Row],[Similar a]],padroes[],2,0)</f>
        <v>ECHAR é</v>
      </c>
      <c r="D166" s="3"/>
    </row>
    <row r="167" spans="1:4" x14ac:dyDescent="0.25">
      <c r="A167" s="2" t="s">
        <v>222</v>
      </c>
      <c r="B167" s="2" t="s">
        <v>1847</v>
      </c>
      <c r="C167" s="2" t="str">
        <f>VLOOKUP(irregulares[[#This Row],[Similar a]],padroes[],2,0)</f>
        <v>GIR</v>
      </c>
      <c r="D167" s="3"/>
    </row>
    <row r="168" spans="1:4" x14ac:dyDescent="0.25">
      <c r="A168" s="2" t="s">
        <v>223</v>
      </c>
      <c r="B168" s="2" t="s">
        <v>82</v>
      </c>
      <c r="C168" s="2" t="str">
        <f>VLOOKUP(irregulares[[#This Row],[Similar a]],padroes[],2,0)</f>
        <v>UIR</v>
      </c>
      <c r="D168" s="3"/>
    </row>
    <row r="169" spans="1:4" x14ac:dyDescent="0.25">
      <c r="A169" s="2" t="s">
        <v>224</v>
      </c>
      <c r="B169" s="2" t="s">
        <v>74</v>
      </c>
      <c r="C169" s="2" t="str">
        <f>VLOOKUP(irregulares[[#This Row],[Similar a]],padroes[],2,0)</f>
        <v>GAR</v>
      </c>
      <c r="D169" s="3"/>
    </row>
    <row r="170" spans="1:4" x14ac:dyDescent="0.25">
      <c r="A170" s="2" t="s">
        <v>225</v>
      </c>
      <c r="B170" s="2" t="s">
        <v>53</v>
      </c>
      <c r="C170" s="2" t="str">
        <f>VLOOKUP(irregulares[[#This Row],[Similar a]],padroes[],2,0)</f>
        <v>EAR</v>
      </c>
      <c r="D170" s="3"/>
    </row>
    <row r="171" spans="1:4" x14ac:dyDescent="0.25">
      <c r="A171" s="2" t="s">
        <v>226</v>
      </c>
      <c r="B171" s="2" t="s">
        <v>53</v>
      </c>
      <c r="C171" s="2" t="str">
        <f>VLOOKUP(irregulares[[#This Row],[Similar a]],padroes[],2,0)</f>
        <v>EAR</v>
      </c>
      <c r="D171" s="3"/>
    </row>
    <row r="172" spans="1:4" x14ac:dyDescent="0.25">
      <c r="A172" s="2" t="s">
        <v>227</v>
      </c>
      <c r="B172" s="2" t="s">
        <v>63</v>
      </c>
      <c r="C172" s="2" t="str">
        <f>VLOOKUP(irregulares[[#This Row],[Similar a]],padroes[],2,0)</f>
        <v>CER</v>
      </c>
      <c r="D172" s="3"/>
    </row>
    <row r="173" spans="1:4" x14ac:dyDescent="0.25">
      <c r="A173" s="2" t="s">
        <v>228</v>
      </c>
      <c r="B173" s="2" t="s">
        <v>44</v>
      </c>
      <c r="C173" s="2" t="str">
        <f>VLOOKUP(irregulares[[#This Row],[Similar a]],padroes[],2,0)</f>
        <v>CAR</v>
      </c>
      <c r="D173" s="3"/>
    </row>
    <row r="174" spans="1:4" x14ac:dyDescent="0.25">
      <c r="A174" s="2" t="s">
        <v>229</v>
      </c>
      <c r="B174" s="2" t="s">
        <v>44</v>
      </c>
      <c r="C174" s="2" t="str">
        <f>VLOOKUP(irregulares[[#This Row],[Similar a]],padroes[],2,0)</f>
        <v>CAR</v>
      </c>
      <c r="D174" s="3"/>
    </row>
    <row r="175" spans="1:4" x14ac:dyDescent="0.25">
      <c r="A175" s="2" t="s">
        <v>230</v>
      </c>
      <c r="B175" s="2" t="s">
        <v>44</v>
      </c>
      <c r="C175" s="2" t="str">
        <f>VLOOKUP(irregulares[[#This Row],[Similar a]],padroes[],2,0)</f>
        <v>CAR</v>
      </c>
      <c r="D175" s="3"/>
    </row>
    <row r="176" spans="1:4" x14ac:dyDescent="0.25">
      <c r="A176" s="2" t="s">
        <v>231</v>
      </c>
      <c r="B176" s="2" t="s">
        <v>49</v>
      </c>
      <c r="C176" s="2" t="str">
        <f>VLOOKUP(irregulares[[#This Row],[Similar a]],padroes[],2,0)</f>
        <v>OAR</v>
      </c>
      <c r="D176" s="3"/>
    </row>
    <row r="177" spans="1:4" x14ac:dyDescent="0.25">
      <c r="A177" s="2" t="s">
        <v>232</v>
      </c>
      <c r="B177" s="2" t="s">
        <v>44</v>
      </c>
      <c r="C177" s="2" t="str">
        <f>VLOOKUP(irregulares[[#This Row],[Similar a]],padroes[],2,0)</f>
        <v>CAR</v>
      </c>
      <c r="D177" s="3"/>
    </row>
    <row r="178" spans="1:4" x14ac:dyDescent="0.25">
      <c r="A178" s="2" t="s">
        <v>233</v>
      </c>
      <c r="B178" s="2" t="s">
        <v>60</v>
      </c>
      <c r="C178" s="2" t="str">
        <f>VLOOKUP(irregulares[[#This Row],[Similar a]],padroes[],2,0)</f>
        <v>GAR</v>
      </c>
      <c r="D178" s="3"/>
    </row>
    <row r="179" spans="1:4" x14ac:dyDescent="0.25">
      <c r="A179" s="2" t="s">
        <v>234</v>
      </c>
      <c r="B179" s="2" t="s">
        <v>74</v>
      </c>
      <c r="C179" s="2" t="str">
        <f>VLOOKUP(irregulares[[#This Row],[Similar a]],padroes[],2,0)</f>
        <v>GAR</v>
      </c>
      <c r="D179" s="3"/>
    </row>
    <row r="180" spans="1:4" x14ac:dyDescent="0.25">
      <c r="A180" s="2" t="s">
        <v>235</v>
      </c>
      <c r="B180" s="2" t="s">
        <v>49</v>
      </c>
      <c r="C180" s="2" t="str">
        <f>VLOOKUP(irregulares[[#This Row],[Similar a]],padroes[],2,0)</f>
        <v>OAR</v>
      </c>
      <c r="D180" s="3"/>
    </row>
    <row r="181" spans="1:4" x14ac:dyDescent="0.25">
      <c r="A181" s="2" t="s">
        <v>1252</v>
      </c>
      <c r="B181" s="2" t="s">
        <v>1252</v>
      </c>
      <c r="C181" s="2" t="str">
        <f>VLOOKUP(irregulares[[#This Row],[Similar a]],padroes[],2,0)</f>
        <v>Ú-X-AR</v>
      </c>
      <c r="D181" s="3"/>
    </row>
    <row r="182" spans="1:4" x14ac:dyDescent="0.25">
      <c r="A182" s="2" t="s">
        <v>306</v>
      </c>
      <c r="B182" s="2" t="s">
        <v>154</v>
      </c>
      <c r="C182" s="2" t="str">
        <f>VLOOKUP(irregulares[[#This Row],[Similar a]],padroes[],2,0)</f>
        <v>GIR</v>
      </c>
      <c r="D182" s="3"/>
    </row>
    <row r="183" spans="1:4" x14ac:dyDescent="0.25">
      <c r="A183" s="2" t="s">
        <v>307</v>
      </c>
      <c r="B183" s="2" t="s">
        <v>53</v>
      </c>
      <c r="C183" s="2" t="str">
        <f>VLOOKUP(irregulares[[#This Row],[Similar a]],padroes[],2,0)</f>
        <v>EAR</v>
      </c>
      <c r="D183" s="3"/>
    </row>
    <row r="184" spans="1:4" x14ac:dyDescent="0.25">
      <c r="A184" s="2" t="s">
        <v>308</v>
      </c>
      <c r="B184" s="2" t="s">
        <v>63</v>
      </c>
      <c r="C184" s="2" t="str">
        <f>VLOOKUP(irregulares[[#This Row],[Similar a]],padroes[],2,0)</f>
        <v>CER</v>
      </c>
      <c r="D184" s="3"/>
    </row>
    <row r="185" spans="1:4" x14ac:dyDescent="0.25">
      <c r="A185" s="2" t="s">
        <v>309</v>
      </c>
      <c r="B185" s="2" t="s">
        <v>47</v>
      </c>
      <c r="C185" s="2" t="str">
        <f>VLOOKUP(irregulares[[#This Row],[Similar a]],padroes[],2,0)</f>
        <v>Ú-X-AR</v>
      </c>
      <c r="D185" s="3"/>
    </row>
    <row r="186" spans="1:4" x14ac:dyDescent="0.25">
      <c r="A186" s="2" t="s">
        <v>310</v>
      </c>
      <c r="B186" s="2" t="s">
        <v>310</v>
      </c>
      <c r="C186" s="2" t="str">
        <f>VLOOKUP(irregulares[[#This Row],[Similar a]],padroes[],2,0)</f>
        <v>GREDIR</v>
      </c>
      <c r="D186" s="3"/>
    </row>
    <row r="187" spans="1:4" x14ac:dyDescent="0.25">
      <c r="A187" s="2" t="s">
        <v>311</v>
      </c>
      <c r="B187" s="2" t="s">
        <v>60</v>
      </c>
      <c r="C187" s="2" t="str">
        <f>VLOOKUP(irregulares[[#This Row],[Similar a]],padroes[],2,0)</f>
        <v>GAR</v>
      </c>
      <c r="D187" s="3"/>
    </row>
    <row r="188" spans="1:4" x14ac:dyDescent="0.25">
      <c r="A188" s="2" t="s">
        <v>312</v>
      </c>
      <c r="B188" s="2" t="s">
        <v>49</v>
      </c>
      <c r="C188" s="2" t="str">
        <f>VLOOKUP(irregulares[[#This Row],[Similar a]],padroes[],2,0)</f>
        <v>OAR</v>
      </c>
      <c r="D188" s="3"/>
    </row>
    <row r="189" spans="1:4" x14ac:dyDescent="0.25">
      <c r="A189" s="2" t="s">
        <v>313</v>
      </c>
      <c r="B189" s="2" t="s">
        <v>313</v>
      </c>
      <c r="C189" s="2" t="str">
        <f>VLOOKUP(irregulares[[#This Row],[Similar a]],padroes[],2,0)</f>
        <v>´-GUAR</v>
      </c>
      <c r="D189" s="3"/>
    </row>
    <row r="190" spans="1:4" x14ac:dyDescent="0.25">
      <c r="A190" s="2" t="s">
        <v>314</v>
      </c>
      <c r="B190" s="2" t="s">
        <v>42</v>
      </c>
      <c r="C190" s="2" t="str">
        <f>VLOOKUP(irregulares[[#This Row],[Similar a]],padroes[],2,0)</f>
        <v>ÇAR</v>
      </c>
      <c r="D190" s="3"/>
    </row>
    <row r="191" spans="1:4" x14ac:dyDescent="0.25">
      <c r="A191" s="2" t="s">
        <v>315</v>
      </c>
      <c r="B191" s="2" t="s">
        <v>63</v>
      </c>
      <c r="C191" s="2" t="str">
        <f>VLOOKUP(irregulares[[#This Row],[Similar a]],padroes[],2,0)</f>
        <v>CER</v>
      </c>
      <c r="D191" s="3"/>
    </row>
    <row r="192" spans="1:4" x14ac:dyDescent="0.25">
      <c r="A192" s="2" t="s">
        <v>316</v>
      </c>
      <c r="B192" s="2" t="s">
        <v>53</v>
      </c>
      <c r="C192" s="2" t="str">
        <f>VLOOKUP(irregulares[[#This Row],[Similar a]],padroes[],2,0)</f>
        <v>EAR</v>
      </c>
      <c r="D192" s="3"/>
    </row>
    <row r="193" spans="1:4" x14ac:dyDescent="0.25">
      <c r="A193" s="2" t="s">
        <v>317</v>
      </c>
      <c r="B193" s="2" t="s">
        <v>185</v>
      </c>
      <c r="C193" s="2" t="str">
        <f>VLOOKUP(irregulares[[#This Row],[Similar a]],padroes[],2,0)</f>
        <v>Defectivo 2</v>
      </c>
      <c r="D193" s="3"/>
    </row>
    <row r="194" spans="1:4" x14ac:dyDescent="0.25">
      <c r="A194" s="2" t="s">
        <v>318</v>
      </c>
      <c r="B194" s="2" t="s">
        <v>49</v>
      </c>
      <c r="C194" s="2" t="str">
        <f>VLOOKUP(irregulares[[#This Row],[Similar a]],padroes[],2,0)</f>
        <v>OAR</v>
      </c>
      <c r="D194" s="3"/>
    </row>
    <row r="195" spans="1:4" x14ac:dyDescent="0.25">
      <c r="A195" s="2" t="s">
        <v>2178</v>
      </c>
      <c r="B195" s="2" t="s">
        <v>2178</v>
      </c>
      <c r="C195" s="2" t="str">
        <f>VLOOKUP(irregulares[[#This Row],[Similar a]],padroes[],2,0)</f>
        <v>Í-X-AR</v>
      </c>
      <c r="D195" s="3"/>
    </row>
    <row r="196" spans="1:4" x14ac:dyDescent="0.25">
      <c r="A196" s="2" t="s">
        <v>320</v>
      </c>
      <c r="B196" s="2" t="s">
        <v>157</v>
      </c>
      <c r="C196" s="2" t="str">
        <f>VLOOKUP(irregulares[[#This Row],[Similar a]],padroes[],2,0)</f>
        <v>ELHAR</v>
      </c>
      <c r="D196" s="3"/>
    </row>
    <row r="197" spans="1:4" x14ac:dyDescent="0.25">
      <c r="A197" s="2" t="s">
        <v>321</v>
      </c>
      <c r="B197" s="2" t="s">
        <v>44</v>
      </c>
      <c r="C197" s="2" t="str">
        <f>VLOOKUP(irregulares[[#This Row],[Similar a]],padroes[],2,0)</f>
        <v>CAR</v>
      </c>
      <c r="D197" s="3"/>
    </row>
    <row r="198" spans="1:4" x14ac:dyDescent="0.25">
      <c r="A198" s="2" t="s">
        <v>322</v>
      </c>
      <c r="B198" s="2" t="s">
        <v>74</v>
      </c>
      <c r="C198" s="2" t="str">
        <f>VLOOKUP(irregulares[[#This Row],[Similar a]],padroes[],2,0)</f>
        <v>GAR</v>
      </c>
      <c r="D198" s="3"/>
    </row>
    <row r="199" spans="1:4" x14ac:dyDescent="0.25">
      <c r="A199" s="2" t="s">
        <v>319</v>
      </c>
      <c r="B199" s="2" t="s">
        <v>319</v>
      </c>
      <c r="C199" s="31" t="str">
        <f>VLOOKUP(irregulares[[#This Row],[Similar a]],padroes[],2,0)</f>
        <v>Í-X-AR</v>
      </c>
      <c r="D199" s="3"/>
    </row>
    <row r="200" spans="1:4" x14ac:dyDescent="0.25">
      <c r="A200" s="2" t="s">
        <v>1066</v>
      </c>
      <c r="B200" s="2" t="s">
        <v>49</v>
      </c>
      <c r="C200" s="2" t="str">
        <f>VLOOKUP(irregulares[[#This Row],[Similar a]],padroes[],2,0)</f>
        <v>OAR</v>
      </c>
      <c r="D200" s="3"/>
    </row>
    <row r="201" spans="1:4" x14ac:dyDescent="0.25">
      <c r="A201" s="2" t="s">
        <v>324</v>
      </c>
      <c r="B201" s="2" t="s">
        <v>44</v>
      </c>
      <c r="C201" s="2" t="str">
        <f>VLOOKUP(irregulares[[#This Row],[Similar a]],padroes[],2,0)</f>
        <v>CAR</v>
      </c>
      <c r="D201" s="3"/>
    </row>
    <row r="202" spans="1:4" x14ac:dyDescent="0.25">
      <c r="A202" s="2" t="s">
        <v>325</v>
      </c>
      <c r="B202" s="2" t="s">
        <v>53</v>
      </c>
      <c r="C202" s="2" t="str">
        <f>VLOOKUP(irregulares[[#This Row],[Similar a]],padroes[],2,0)</f>
        <v>EAR</v>
      </c>
      <c r="D202" s="3"/>
    </row>
    <row r="203" spans="1:4" x14ac:dyDescent="0.25">
      <c r="A203" s="2" t="s">
        <v>326</v>
      </c>
      <c r="B203" s="2" t="s">
        <v>49</v>
      </c>
      <c r="C203" s="2" t="str">
        <f>VLOOKUP(irregulares[[#This Row],[Similar a]],padroes[],2,0)</f>
        <v>OAR</v>
      </c>
      <c r="D203" s="3"/>
    </row>
    <row r="204" spans="1:4" x14ac:dyDescent="0.25">
      <c r="A204" s="2" t="s">
        <v>327</v>
      </c>
      <c r="B204" s="2" t="s">
        <v>53</v>
      </c>
      <c r="C204" s="2" t="str">
        <f>VLOOKUP(irregulares[[#This Row],[Similar a]],padroes[],2,0)</f>
        <v>EAR</v>
      </c>
      <c r="D204" s="3"/>
    </row>
    <row r="205" spans="1:4" x14ac:dyDescent="0.25">
      <c r="A205" s="2" t="s">
        <v>323</v>
      </c>
      <c r="B205" s="2" t="s">
        <v>74</v>
      </c>
      <c r="C205" s="2" t="str">
        <f>VLOOKUP(irregulares[[#This Row],[Similar a]],padroes[],2,0)</f>
        <v>GAR</v>
      </c>
      <c r="D205" s="3"/>
    </row>
    <row r="206" spans="1:4" x14ac:dyDescent="0.25">
      <c r="A206" s="2" t="s">
        <v>328</v>
      </c>
      <c r="B206" s="2" t="s">
        <v>49</v>
      </c>
      <c r="C206" s="2" t="str">
        <f>VLOOKUP(irregulares[[#This Row],[Similar a]],padroes[],2,0)</f>
        <v>OAR</v>
      </c>
      <c r="D206" s="3"/>
    </row>
    <row r="207" spans="1:4" x14ac:dyDescent="0.25">
      <c r="A207" s="2" t="s">
        <v>329</v>
      </c>
      <c r="B207" s="2" t="s">
        <v>44</v>
      </c>
      <c r="C207" s="2" t="str">
        <f>VLOOKUP(irregulares[[#This Row],[Similar a]],padroes[],2,0)</f>
        <v>CAR</v>
      </c>
      <c r="D207" s="3"/>
    </row>
    <row r="208" spans="1:4" x14ac:dyDescent="0.25">
      <c r="A208" s="2" t="s">
        <v>330</v>
      </c>
      <c r="B208" s="2" t="s">
        <v>74</v>
      </c>
      <c r="C208" s="2" t="str">
        <f>VLOOKUP(irregulares[[#This Row],[Similar a]],padroes[],2,0)</f>
        <v>GAR</v>
      </c>
      <c r="D208" s="3"/>
    </row>
    <row r="209" spans="1:4" x14ac:dyDescent="0.25">
      <c r="A209" s="2" t="s">
        <v>331</v>
      </c>
      <c r="B209" s="2" t="s">
        <v>44</v>
      </c>
      <c r="C209" s="2" t="str">
        <f>VLOOKUP(irregulares[[#This Row],[Similar a]],padroes[],2,0)</f>
        <v>CAR</v>
      </c>
      <c r="D209" s="3"/>
    </row>
    <row r="210" spans="1:4" x14ac:dyDescent="0.25">
      <c r="A210" s="2" t="s">
        <v>332</v>
      </c>
      <c r="B210" s="2" t="s">
        <v>44</v>
      </c>
      <c r="C210" s="2" t="str">
        <f>VLOOKUP(irregulares[[#This Row],[Similar a]],padroes[],2,0)</f>
        <v>CAR</v>
      </c>
      <c r="D210" s="3"/>
    </row>
    <row r="211" spans="1:4" x14ac:dyDescent="0.25">
      <c r="A211" s="2" t="s">
        <v>333</v>
      </c>
      <c r="B211" s="2" t="s">
        <v>44</v>
      </c>
      <c r="C211" s="2" t="str">
        <f>VLOOKUP(irregulares[[#This Row],[Similar a]],padroes[],2,0)</f>
        <v>CAR</v>
      </c>
      <c r="D211" s="3"/>
    </row>
    <row r="212" spans="1:4" x14ac:dyDescent="0.25">
      <c r="A212" s="2" t="s">
        <v>334</v>
      </c>
      <c r="B212" s="2" t="s">
        <v>42</v>
      </c>
      <c r="C212" s="2" t="str">
        <f>VLOOKUP(irregulares[[#This Row],[Similar a]],padroes[],2,0)</f>
        <v>ÇAR</v>
      </c>
      <c r="D212" s="3"/>
    </row>
    <row r="213" spans="1:4" x14ac:dyDescent="0.25">
      <c r="A213" s="2" t="s">
        <v>335</v>
      </c>
      <c r="B213" s="2" t="s">
        <v>42</v>
      </c>
      <c r="C213" s="2" t="str">
        <f>VLOOKUP(irregulares[[#This Row],[Similar a]],padroes[],2,0)</f>
        <v>ÇAR</v>
      </c>
      <c r="D213" s="3"/>
    </row>
    <row r="214" spans="1:4" x14ac:dyDescent="0.25">
      <c r="A214" s="2" t="s">
        <v>336</v>
      </c>
      <c r="B214" s="2" t="s">
        <v>337</v>
      </c>
      <c r="C214" s="2" t="str">
        <f>VLOOKUP(irregulares[[#This Row],[Similar a]],padroes[],2,0)</f>
        <v>IDEAR</v>
      </c>
      <c r="D214" s="3"/>
    </row>
    <row r="215" spans="1:4" x14ac:dyDescent="0.25">
      <c r="A215" s="2" t="s">
        <v>338</v>
      </c>
      <c r="B215" s="2" t="s">
        <v>49</v>
      </c>
      <c r="C215" s="2" t="str">
        <f>VLOOKUP(irregulares[[#This Row],[Similar a]],padroes[],2,0)</f>
        <v>OAR</v>
      </c>
      <c r="D215" s="3"/>
    </row>
    <row r="216" spans="1:4" x14ac:dyDescent="0.25">
      <c r="A216" s="2" t="s">
        <v>339</v>
      </c>
      <c r="B216" s="2" t="s">
        <v>53</v>
      </c>
      <c r="C216" s="2" t="str">
        <f>VLOOKUP(irregulares[[#This Row],[Similar a]],padroes[],2,0)</f>
        <v>EAR</v>
      </c>
      <c r="D216" s="3"/>
    </row>
    <row r="217" spans="1:4" x14ac:dyDescent="0.25">
      <c r="A217" s="2" t="s">
        <v>340</v>
      </c>
      <c r="B217" s="2" t="s">
        <v>53</v>
      </c>
      <c r="C217" s="2" t="str">
        <f>VLOOKUP(irregulares[[#This Row],[Similar a]],padroes[],2,0)</f>
        <v>EAR</v>
      </c>
      <c r="D217" s="3"/>
    </row>
    <row r="218" spans="1:4" x14ac:dyDescent="0.25">
      <c r="A218" s="2" t="s">
        <v>341</v>
      </c>
      <c r="B218" s="2" t="s">
        <v>74</v>
      </c>
      <c r="C218" s="2" t="str">
        <f>VLOOKUP(irregulares[[#This Row],[Similar a]],padroes[],2,0)</f>
        <v>GAR</v>
      </c>
      <c r="D218" s="3"/>
    </row>
    <row r="219" spans="1:4" x14ac:dyDescent="0.25">
      <c r="A219" s="2" t="s">
        <v>342</v>
      </c>
      <c r="B219" s="2" t="s">
        <v>49</v>
      </c>
      <c r="C219" s="2" t="str">
        <f>VLOOKUP(irregulares[[#This Row],[Similar a]],padroes[],2,0)</f>
        <v>OAR</v>
      </c>
      <c r="D219" s="3"/>
    </row>
    <row r="220" spans="1:4" x14ac:dyDescent="0.25">
      <c r="A220" s="2" t="s">
        <v>343</v>
      </c>
      <c r="B220" s="2" t="s">
        <v>49</v>
      </c>
      <c r="C220" s="2" t="str">
        <f>VLOOKUP(irregulares[[#This Row],[Similar a]],padroes[],2,0)</f>
        <v>OAR</v>
      </c>
      <c r="D220" s="3"/>
    </row>
    <row r="221" spans="1:4" x14ac:dyDescent="0.25">
      <c r="A221" s="2" t="s">
        <v>344</v>
      </c>
      <c r="B221" s="2" t="s">
        <v>63</v>
      </c>
      <c r="C221" s="2" t="str">
        <f>VLOOKUP(irregulares[[#This Row],[Similar a]],padroes[],2,0)</f>
        <v>CER</v>
      </c>
      <c r="D221" s="3"/>
    </row>
    <row r="222" spans="1:4" x14ac:dyDescent="0.25">
      <c r="A222" s="2" t="s">
        <v>345</v>
      </c>
      <c r="B222" s="2" t="s">
        <v>60</v>
      </c>
      <c r="C222" s="2" t="str">
        <f>VLOOKUP(irregulares[[#This Row],[Similar a]],padroes[],2,0)</f>
        <v>GAR</v>
      </c>
      <c r="D222" s="3"/>
    </row>
    <row r="223" spans="1:4" x14ac:dyDescent="0.25">
      <c r="A223" s="2" t="s">
        <v>346</v>
      </c>
      <c r="B223" s="2" t="s">
        <v>49</v>
      </c>
      <c r="C223" s="2" t="str">
        <f>VLOOKUP(irregulares[[#This Row],[Similar a]],padroes[],2,0)</f>
        <v>OAR</v>
      </c>
      <c r="D223" s="3"/>
    </row>
    <row r="224" spans="1:4" x14ac:dyDescent="0.25">
      <c r="A224" s="2" t="s">
        <v>347</v>
      </c>
      <c r="B224" s="2" t="s">
        <v>60</v>
      </c>
      <c r="C224" s="2" t="str">
        <f>VLOOKUP(irregulares[[#This Row],[Similar a]],padroes[],2,0)</f>
        <v>GAR</v>
      </c>
      <c r="D224" s="3"/>
    </row>
    <row r="225" spans="1:4" x14ac:dyDescent="0.25">
      <c r="A225" s="2" t="s">
        <v>348</v>
      </c>
      <c r="B225" s="2" t="s">
        <v>53</v>
      </c>
      <c r="C225" s="2" t="str">
        <f>VLOOKUP(irregulares[[#This Row],[Similar a]],padroes[],2,0)</f>
        <v>EAR</v>
      </c>
      <c r="D225" s="3"/>
    </row>
    <row r="226" spans="1:4" x14ac:dyDescent="0.25">
      <c r="A226" s="2" t="s">
        <v>349</v>
      </c>
      <c r="B226" s="2" t="s">
        <v>42</v>
      </c>
      <c r="C226" s="2" t="str">
        <f>VLOOKUP(irregulares[[#This Row],[Similar a]],padroes[],2,0)</f>
        <v>ÇAR</v>
      </c>
      <c r="D226" s="3"/>
    </row>
    <row r="227" spans="1:4" x14ac:dyDescent="0.25">
      <c r="A227" s="2" t="s">
        <v>350</v>
      </c>
      <c r="B227" s="2" t="s">
        <v>351</v>
      </c>
      <c r="C227" s="2" t="str">
        <f>VLOOKUP(irregulares[[#This Row],[Similar a]],padroes[],2,0)</f>
        <v>ÇAR</v>
      </c>
      <c r="D227" s="3"/>
    </row>
    <row r="228" spans="1:4" x14ac:dyDescent="0.25">
      <c r="A228" s="2" t="s">
        <v>352</v>
      </c>
      <c r="B228" s="2" t="s">
        <v>42</v>
      </c>
      <c r="C228" s="2" t="str">
        <f>VLOOKUP(irregulares[[#This Row],[Similar a]],padroes[],2,0)</f>
        <v>ÇAR</v>
      </c>
      <c r="D228" s="3"/>
    </row>
    <row r="229" spans="1:4" x14ac:dyDescent="0.25">
      <c r="A229" s="2" t="s">
        <v>353</v>
      </c>
      <c r="B229" s="2" t="s">
        <v>60</v>
      </c>
      <c r="C229" s="2" t="str">
        <f>VLOOKUP(irregulares[[#This Row],[Similar a]],padroes[],2,0)</f>
        <v>GAR</v>
      </c>
      <c r="D229" s="3"/>
    </row>
    <row r="230" spans="1:4" x14ac:dyDescent="0.25">
      <c r="A230" s="2" t="s">
        <v>354</v>
      </c>
      <c r="B230" s="2" t="s">
        <v>42</v>
      </c>
      <c r="C230" s="2" t="str">
        <f>VLOOKUP(irregulares[[#This Row],[Similar a]],padroes[],2,0)</f>
        <v>ÇAR</v>
      </c>
      <c r="D230" s="3"/>
    </row>
    <row r="231" spans="1:4" x14ac:dyDescent="0.25">
      <c r="A231" s="2" t="s">
        <v>355</v>
      </c>
      <c r="B231" s="2" t="s">
        <v>44</v>
      </c>
      <c r="C231" s="2" t="str">
        <f>VLOOKUP(irregulares[[#This Row],[Similar a]],padroes[],2,0)</f>
        <v>CAR</v>
      </c>
      <c r="D231" s="3"/>
    </row>
    <row r="232" spans="1:4" x14ac:dyDescent="0.25">
      <c r="A232" s="2" t="s">
        <v>356</v>
      </c>
      <c r="B232" s="2" t="s">
        <v>74</v>
      </c>
      <c r="C232" s="2" t="str">
        <f>VLOOKUP(irregulares[[#This Row],[Similar a]],padroes[],2,0)</f>
        <v>GAR</v>
      </c>
      <c r="D232" s="3"/>
    </row>
    <row r="233" spans="1:4" x14ac:dyDescent="0.25">
      <c r="A233" s="2" t="s">
        <v>357</v>
      </c>
      <c r="B233" s="2" t="s">
        <v>358</v>
      </c>
      <c r="C233" s="2" t="str">
        <f>VLOOKUP(irregulares[[#This Row],[Similar a]],padroes[],2,0)</f>
        <v>Í-X-AR</v>
      </c>
      <c r="D233" s="3"/>
    </row>
    <row r="234" spans="1:4" x14ac:dyDescent="0.25">
      <c r="A234" s="2" t="s">
        <v>359</v>
      </c>
      <c r="B234" s="2" t="s">
        <v>44</v>
      </c>
      <c r="C234" s="2" t="str">
        <f>VLOOKUP(irregulares[[#This Row],[Similar a]],padroes[],2,0)</f>
        <v>CAR</v>
      </c>
      <c r="D234" s="3"/>
    </row>
    <row r="235" spans="1:4" x14ac:dyDescent="0.25">
      <c r="A235" s="2" t="s">
        <v>360</v>
      </c>
      <c r="B235" s="2" t="s">
        <v>44</v>
      </c>
      <c r="C235" s="2" t="str">
        <f>VLOOKUP(irregulares[[#This Row],[Similar a]],padroes[],2,0)</f>
        <v>CAR</v>
      </c>
      <c r="D235" s="3"/>
    </row>
    <row r="236" spans="1:4" x14ac:dyDescent="0.25">
      <c r="A236" s="2" t="s">
        <v>362</v>
      </c>
      <c r="B236" s="2" t="s">
        <v>44</v>
      </c>
      <c r="C236" s="2" t="str">
        <f>VLOOKUP(irregulares[[#This Row],[Similar a]],padroes[],2,0)</f>
        <v>CAR</v>
      </c>
      <c r="D236" s="3"/>
    </row>
    <row r="237" spans="1:4" x14ac:dyDescent="0.25">
      <c r="A237" s="2" t="s">
        <v>363</v>
      </c>
      <c r="B237" s="2" t="s">
        <v>74</v>
      </c>
      <c r="C237" s="2" t="str">
        <f>VLOOKUP(irregulares[[#This Row],[Similar a]],padroes[],2,0)</f>
        <v>GAR</v>
      </c>
      <c r="D237" s="3"/>
    </row>
    <row r="238" spans="1:4" x14ac:dyDescent="0.25">
      <c r="A238" s="2" t="s">
        <v>364</v>
      </c>
      <c r="B238" s="2" t="s">
        <v>82</v>
      </c>
      <c r="C238" s="2" t="str">
        <f>VLOOKUP(irregulares[[#This Row],[Similar a]],padroes[],2,0)</f>
        <v>UIR</v>
      </c>
      <c r="D238" s="3"/>
    </row>
    <row r="239" spans="1:4" x14ac:dyDescent="0.25">
      <c r="A239" s="2" t="s">
        <v>365</v>
      </c>
      <c r="B239" s="2" t="s">
        <v>53</v>
      </c>
      <c r="C239" s="2" t="str">
        <f>VLOOKUP(irregulares[[#This Row],[Similar a]],padroes[],2,0)</f>
        <v>EAR</v>
      </c>
      <c r="D239" s="3"/>
    </row>
    <row r="240" spans="1:4" x14ac:dyDescent="0.25">
      <c r="A240" s="2" t="s">
        <v>366</v>
      </c>
      <c r="B240" s="2" t="s">
        <v>55</v>
      </c>
      <c r="C240" s="2" t="str">
        <f>VLOOKUP(irregulares[[#This Row],[Similar a]],padroes[],2,0)</f>
        <v>EJAR ô</v>
      </c>
      <c r="D240" s="3"/>
    </row>
    <row r="241" spans="1:4" x14ac:dyDescent="0.25">
      <c r="A241" s="2" t="s">
        <v>367</v>
      </c>
      <c r="B241" s="2" t="s">
        <v>367</v>
      </c>
      <c r="C241" s="2" t="str">
        <f>VLOOKUP(irregulares[[#This Row],[Similar a]],padroes[],2,0)</f>
        <v>Defectivo 4</v>
      </c>
      <c r="D241" s="3"/>
    </row>
    <row r="242" spans="1:4" x14ac:dyDescent="0.25">
      <c r="A242" s="2" t="s">
        <v>368</v>
      </c>
      <c r="B242" s="2" t="s">
        <v>55</v>
      </c>
      <c r="C242" s="2" t="str">
        <f>VLOOKUP(irregulares[[#This Row],[Similar a]],padroes[],2,0)</f>
        <v>EJAR ô</v>
      </c>
      <c r="D242" s="3"/>
    </row>
    <row r="243" spans="1:4" x14ac:dyDescent="0.25">
      <c r="A243" s="2" t="s">
        <v>369</v>
      </c>
      <c r="B243" s="2" t="s">
        <v>44</v>
      </c>
      <c r="C243" s="2" t="str">
        <f>VLOOKUP(irregulares[[#This Row],[Similar a]],padroes[],2,0)</f>
        <v>CAR</v>
      </c>
      <c r="D243" s="3"/>
    </row>
    <row r="244" spans="1:4" x14ac:dyDescent="0.25">
      <c r="A244" s="2" t="s">
        <v>370</v>
      </c>
      <c r="B244" s="2" t="s">
        <v>44</v>
      </c>
      <c r="C244" s="2" t="str">
        <f>VLOOKUP(irregulares[[#This Row],[Similar a]],padroes[],2,0)</f>
        <v>CAR</v>
      </c>
      <c r="D244" s="3"/>
    </row>
    <row r="245" spans="1:4" x14ac:dyDescent="0.25">
      <c r="A245" s="2" t="s">
        <v>371</v>
      </c>
      <c r="B245" s="2" t="s">
        <v>44</v>
      </c>
      <c r="C245" s="2" t="str">
        <f>VLOOKUP(irregulares[[#This Row],[Similar a]],padroes[],2,0)</f>
        <v>CAR</v>
      </c>
      <c r="D245" s="3"/>
    </row>
    <row r="246" spans="1:4" x14ac:dyDescent="0.25">
      <c r="A246" s="2" t="s">
        <v>372</v>
      </c>
      <c r="B246" s="2" t="s">
        <v>63</v>
      </c>
      <c r="C246" s="2" t="str">
        <f>VLOOKUP(irregulares[[#This Row],[Similar a]],padroes[],2,0)</f>
        <v>CER</v>
      </c>
      <c r="D246" s="3"/>
    </row>
    <row r="247" spans="1:4" x14ac:dyDescent="0.25">
      <c r="A247" s="2" t="s">
        <v>373</v>
      </c>
      <c r="B247" s="2" t="s">
        <v>74</v>
      </c>
      <c r="C247" s="2" t="str">
        <f>VLOOKUP(irregulares[[#This Row],[Similar a]],padroes[],2,0)</f>
        <v>GAR</v>
      </c>
      <c r="D247" s="3"/>
    </row>
    <row r="248" spans="1:4" x14ac:dyDescent="0.25">
      <c r="A248" s="2" t="s">
        <v>374</v>
      </c>
      <c r="B248" s="2" t="s">
        <v>49</v>
      </c>
      <c r="C248" s="2" t="str">
        <f>VLOOKUP(irregulares[[#This Row],[Similar a]],padroes[],2,0)</f>
        <v>OAR</v>
      </c>
      <c r="D248" s="3"/>
    </row>
    <row r="249" spans="1:4" x14ac:dyDescent="0.25">
      <c r="A249" s="2" t="s">
        <v>375</v>
      </c>
      <c r="B249" s="2" t="s">
        <v>49</v>
      </c>
      <c r="C249" s="2" t="str">
        <f>VLOOKUP(irregulares[[#This Row],[Similar a]],padroes[],2,0)</f>
        <v>OAR</v>
      </c>
      <c r="D249" s="3"/>
    </row>
    <row r="250" spans="1:4" x14ac:dyDescent="0.25">
      <c r="A250" s="2" t="s">
        <v>376</v>
      </c>
      <c r="B250" s="2" t="s">
        <v>44</v>
      </c>
      <c r="C250" s="2" t="str">
        <f>VLOOKUP(irregulares[[#This Row],[Similar a]],padroes[],2,0)</f>
        <v>CAR</v>
      </c>
      <c r="D250" s="3"/>
    </row>
    <row r="251" spans="1:4" x14ac:dyDescent="0.25">
      <c r="A251" s="2" t="s">
        <v>377</v>
      </c>
      <c r="B251" s="2" t="s">
        <v>44</v>
      </c>
      <c r="C251" s="2" t="str">
        <f>VLOOKUP(irregulares[[#This Row],[Similar a]],padroes[],2,0)</f>
        <v>CAR</v>
      </c>
      <c r="D251" s="3"/>
    </row>
    <row r="252" spans="1:4" x14ac:dyDescent="0.25">
      <c r="A252" s="2" t="s">
        <v>378</v>
      </c>
      <c r="B252" s="2" t="s">
        <v>74</v>
      </c>
      <c r="C252" s="2" t="str">
        <f>VLOOKUP(irregulares[[#This Row],[Similar a]],padroes[],2,0)</f>
        <v>GAR</v>
      </c>
      <c r="D252" s="3"/>
    </row>
    <row r="253" spans="1:4" x14ac:dyDescent="0.25">
      <c r="A253" s="2" t="s">
        <v>379</v>
      </c>
      <c r="B253" s="2" t="s">
        <v>53</v>
      </c>
      <c r="C253" s="2" t="str">
        <f>VLOOKUP(irregulares[[#This Row],[Similar a]],padroes[],2,0)</f>
        <v>EAR</v>
      </c>
      <c r="D253" s="3"/>
    </row>
    <row r="254" spans="1:4" x14ac:dyDescent="0.25">
      <c r="A254" s="2" t="s">
        <v>380</v>
      </c>
      <c r="B254" s="2" t="s">
        <v>63</v>
      </c>
      <c r="C254" s="2" t="str">
        <f>VLOOKUP(irregulares[[#This Row],[Similar a]],padroes[],2,0)</f>
        <v>CER</v>
      </c>
      <c r="D254" s="3"/>
    </row>
    <row r="255" spans="1:4" x14ac:dyDescent="0.25">
      <c r="A255" s="2" t="s">
        <v>381</v>
      </c>
      <c r="B255" s="2" t="s">
        <v>55</v>
      </c>
      <c r="C255" s="2" t="str">
        <f>VLOOKUP(irregulares[[#This Row],[Similar a]],padroes[],2,0)</f>
        <v>EJAR ô</v>
      </c>
      <c r="D255" s="3"/>
    </row>
    <row r="256" spans="1:4" x14ac:dyDescent="0.25">
      <c r="A256" s="2" t="s">
        <v>382</v>
      </c>
      <c r="B256" s="2" t="s">
        <v>74</v>
      </c>
      <c r="C256" s="2" t="str">
        <f>VLOOKUP(irregulares[[#This Row],[Similar a]],padroes[],2,0)</f>
        <v>GAR</v>
      </c>
      <c r="D256" s="3"/>
    </row>
    <row r="257" spans="1:4" x14ac:dyDescent="0.25">
      <c r="A257" s="2" t="s">
        <v>1253</v>
      </c>
      <c r="B257" s="2" t="s">
        <v>44</v>
      </c>
      <c r="C257" s="2" t="str">
        <f>VLOOKUP(irregulares[[#This Row],[Similar a]],padroes[],2,0)</f>
        <v>CAR</v>
      </c>
      <c r="D257" s="3"/>
    </row>
    <row r="258" spans="1:4" x14ac:dyDescent="0.25">
      <c r="A258" s="2" t="s">
        <v>383</v>
      </c>
      <c r="B258" s="2" t="s">
        <v>49</v>
      </c>
      <c r="C258" s="2" t="str">
        <f>VLOOKUP(irregulares[[#This Row],[Similar a]],padroes[],2,0)</f>
        <v>OAR</v>
      </c>
      <c r="D258" s="3"/>
    </row>
    <row r="259" spans="1:4" x14ac:dyDescent="0.25">
      <c r="A259" s="2" t="s">
        <v>384</v>
      </c>
      <c r="B259" s="2" t="s">
        <v>53</v>
      </c>
      <c r="C259" s="2" t="str">
        <f>VLOOKUP(irregulares[[#This Row],[Similar a]],padroes[],2,0)</f>
        <v>EAR</v>
      </c>
      <c r="D259" s="3"/>
    </row>
    <row r="260" spans="1:4" x14ac:dyDescent="0.25">
      <c r="A260" s="2" t="s">
        <v>385</v>
      </c>
      <c r="B260" s="2" t="s">
        <v>42</v>
      </c>
      <c r="C260" s="2" t="str">
        <f>VLOOKUP(irregulares[[#This Row],[Similar a]],padroes[],2,0)</f>
        <v>ÇAR</v>
      </c>
      <c r="D260" s="3"/>
    </row>
    <row r="261" spans="1:4" x14ac:dyDescent="0.25">
      <c r="A261" s="2" t="s">
        <v>386</v>
      </c>
      <c r="B261" s="2" t="s">
        <v>53</v>
      </c>
      <c r="C261" s="2" t="str">
        <f>VLOOKUP(irregulares[[#This Row],[Similar a]],padroes[],2,0)</f>
        <v>EAR</v>
      </c>
      <c r="D261" s="3"/>
    </row>
    <row r="262" spans="1:4" x14ac:dyDescent="0.25">
      <c r="A262" s="2" t="s">
        <v>387</v>
      </c>
      <c r="B262" s="2" t="s">
        <v>74</v>
      </c>
      <c r="C262" s="2" t="str">
        <f>VLOOKUP(irregulares[[#This Row],[Similar a]],padroes[],2,0)</f>
        <v>GAR</v>
      </c>
      <c r="D262" s="3"/>
    </row>
    <row r="263" spans="1:4" x14ac:dyDescent="0.25">
      <c r="A263" s="2" t="s">
        <v>388</v>
      </c>
      <c r="B263" s="2" t="s">
        <v>49</v>
      </c>
      <c r="C263" s="2" t="str">
        <f>VLOOKUP(irregulares[[#This Row],[Similar a]],padroes[],2,0)</f>
        <v>OAR</v>
      </c>
      <c r="D263" s="3"/>
    </row>
    <row r="264" spans="1:4" x14ac:dyDescent="0.25">
      <c r="A264" s="2" t="s">
        <v>389</v>
      </c>
      <c r="B264" s="2" t="s">
        <v>42</v>
      </c>
      <c r="C264" s="2" t="str">
        <f>VLOOKUP(irregulares[[#This Row],[Similar a]],padroes[],2,0)</f>
        <v>ÇAR</v>
      </c>
      <c r="D264" s="3"/>
    </row>
    <row r="265" spans="1:4" x14ac:dyDescent="0.25">
      <c r="A265" s="2" t="s">
        <v>390</v>
      </c>
      <c r="B265" s="2" t="s">
        <v>53</v>
      </c>
      <c r="C265" s="2" t="str">
        <f>VLOOKUP(irregulares[[#This Row],[Similar a]],padroes[],2,0)</f>
        <v>EAR</v>
      </c>
      <c r="D265" s="3"/>
    </row>
    <row r="266" spans="1:4" x14ac:dyDescent="0.25">
      <c r="A266" s="2" t="s">
        <v>391</v>
      </c>
      <c r="B266" s="2" t="s">
        <v>74</v>
      </c>
      <c r="C266" s="2" t="str">
        <f>VLOOKUP(irregulares[[#This Row],[Similar a]],padroes[],2,0)</f>
        <v>GAR</v>
      </c>
      <c r="D266" s="3"/>
    </row>
    <row r="267" spans="1:4" x14ac:dyDescent="0.25">
      <c r="A267" s="2" t="s">
        <v>392</v>
      </c>
      <c r="B267" s="2" t="s">
        <v>392</v>
      </c>
      <c r="C267" s="2" t="str">
        <f>VLOOKUP(irregulares[[#This Row],[Similar a]],padroes[],2,0)</f>
        <v>´-GUAR</v>
      </c>
      <c r="D267" s="3"/>
    </row>
    <row r="268" spans="1:4" x14ac:dyDescent="0.25">
      <c r="A268" s="2" t="s">
        <v>393</v>
      </c>
      <c r="B268" s="2" t="s">
        <v>47</v>
      </c>
      <c r="C268" s="2" t="str">
        <f>VLOOKUP(irregulares[[#This Row],[Similar a]],padroes[],2,0)</f>
        <v>Ú-X-AR</v>
      </c>
      <c r="D268" s="3"/>
    </row>
    <row r="269" spans="1:4" x14ac:dyDescent="0.25">
      <c r="A269" s="2" t="s">
        <v>394</v>
      </c>
      <c r="B269" s="2" t="s">
        <v>44</v>
      </c>
      <c r="C269" s="2" t="str">
        <f>VLOOKUP(irregulares[[#This Row],[Similar a]],padroes[],2,0)</f>
        <v>CAR</v>
      </c>
      <c r="D269" s="3"/>
    </row>
    <row r="270" spans="1:4" x14ac:dyDescent="0.25">
      <c r="A270" s="2" t="s">
        <v>395</v>
      </c>
      <c r="B270" s="2" t="s">
        <v>44</v>
      </c>
      <c r="C270" s="2" t="str">
        <f>VLOOKUP(irregulares[[#This Row],[Similar a]],padroes[],2,0)</f>
        <v>CAR</v>
      </c>
      <c r="D270" s="3"/>
    </row>
    <row r="271" spans="1:4" x14ac:dyDescent="0.25">
      <c r="A271" s="2" t="s">
        <v>396</v>
      </c>
      <c r="B271" s="2" t="s">
        <v>63</v>
      </c>
      <c r="C271" s="2" t="str">
        <f>VLOOKUP(irregulares[[#This Row],[Similar a]],padroes[],2,0)</f>
        <v>CER</v>
      </c>
      <c r="D271" s="3"/>
    </row>
    <row r="272" spans="1:4" x14ac:dyDescent="0.25">
      <c r="A272" s="2" t="s">
        <v>397</v>
      </c>
      <c r="B272" s="2" t="s">
        <v>60</v>
      </c>
      <c r="C272" s="2" t="str">
        <f>VLOOKUP(irregulares[[#This Row],[Similar a]],padroes[],2,0)</f>
        <v>GAR</v>
      </c>
      <c r="D272" s="3"/>
    </row>
    <row r="273" spans="1:4" x14ac:dyDescent="0.25">
      <c r="A273" s="2" t="s">
        <v>398</v>
      </c>
      <c r="B273" s="2" t="s">
        <v>74</v>
      </c>
      <c r="C273" s="2" t="str">
        <f>VLOOKUP(irregulares[[#This Row],[Similar a]],padroes[],2,0)</f>
        <v>GAR</v>
      </c>
      <c r="D273" s="3"/>
    </row>
    <row r="274" spans="1:4" x14ac:dyDescent="0.25">
      <c r="A274" s="2" t="s">
        <v>399</v>
      </c>
      <c r="B274" s="2" t="s">
        <v>49</v>
      </c>
      <c r="C274" s="2" t="str">
        <f>VLOOKUP(irregulares[[#This Row],[Similar a]],padroes[],2,0)</f>
        <v>OAR</v>
      </c>
      <c r="D274" s="3"/>
    </row>
    <row r="275" spans="1:4" x14ac:dyDescent="0.25">
      <c r="A275" s="2" t="s">
        <v>400</v>
      </c>
      <c r="B275" s="2" t="s">
        <v>44</v>
      </c>
      <c r="C275" s="2" t="str">
        <f>VLOOKUP(irregulares[[#This Row],[Similar a]],padroes[],2,0)</f>
        <v>CAR</v>
      </c>
      <c r="D275" s="3"/>
    </row>
    <row r="276" spans="1:4" x14ac:dyDescent="0.25">
      <c r="A276" s="2" t="s">
        <v>401</v>
      </c>
      <c r="B276" s="2" t="s">
        <v>42</v>
      </c>
      <c r="C276" s="2" t="str">
        <f>VLOOKUP(irregulares[[#This Row],[Similar a]],padroes[],2,0)</f>
        <v>ÇAR</v>
      </c>
      <c r="D276" s="3"/>
    </row>
    <row r="277" spans="1:4" x14ac:dyDescent="0.25">
      <c r="A277" s="2" t="s">
        <v>1254</v>
      </c>
      <c r="B277" s="2" t="s">
        <v>44</v>
      </c>
      <c r="C277" s="2" t="str">
        <f>VLOOKUP(irregulares[[#This Row],[Similar a]],padroes[],2,0)</f>
        <v>CAR</v>
      </c>
      <c r="D277" s="3"/>
    </row>
    <row r="278" spans="1:4" x14ac:dyDescent="0.25">
      <c r="A278" s="2" t="s">
        <v>402</v>
      </c>
      <c r="B278" s="2" t="s">
        <v>63</v>
      </c>
      <c r="C278" s="2" t="str">
        <f>VLOOKUP(irregulares[[#This Row],[Similar a]],padroes[],2,0)</f>
        <v>CER</v>
      </c>
      <c r="D278" s="3"/>
    </row>
    <row r="279" spans="1:4" x14ac:dyDescent="0.25">
      <c r="A279" s="2" t="s">
        <v>403</v>
      </c>
      <c r="B279" s="2" t="s">
        <v>60</v>
      </c>
      <c r="C279" s="2" t="str">
        <f>VLOOKUP(irregulares[[#This Row],[Similar a]],padroes[],2,0)</f>
        <v>GAR</v>
      </c>
      <c r="D279" s="3"/>
    </row>
    <row r="280" spans="1:4" x14ac:dyDescent="0.25">
      <c r="A280" s="2" t="s">
        <v>404</v>
      </c>
      <c r="B280" s="2" t="s">
        <v>63</v>
      </c>
      <c r="C280" s="2" t="str">
        <f>VLOOKUP(irregulares[[#This Row],[Similar a]],padroes[],2,0)</f>
        <v>CER</v>
      </c>
      <c r="D280" s="3"/>
    </row>
    <row r="281" spans="1:4" x14ac:dyDescent="0.25">
      <c r="A281" s="2" t="s">
        <v>405</v>
      </c>
      <c r="B281" s="2" t="s">
        <v>42</v>
      </c>
      <c r="C281" s="2" t="str">
        <f>VLOOKUP(irregulares[[#This Row],[Similar a]],padroes[],2,0)</f>
        <v>ÇAR</v>
      </c>
      <c r="D281" s="3"/>
    </row>
    <row r="282" spans="1:4" x14ac:dyDescent="0.25">
      <c r="A282" s="2" t="s">
        <v>406</v>
      </c>
      <c r="B282" s="2" t="s">
        <v>60</v>
      </c>
      <c r="C282" s="2" t="str">
        <f>VLOOKUP(irregulares[[#This Row],[Similar a]],padroes[],2,0)</f>
        <v>GAR</v>
      </c>
      <c r="D282" s="3"/>
    </row>
    <row r="283" spans="1:4" x14ac:dyDescent="0.25">
      <c r="A283" s="2" t="s">
        <v>407</v>
      </c>
      <c r="B283" s="2" t="s">
        <v>44</v>
      </c>
      <c r="C283" s="2" t="str">
        <f>VLOOKUP(irregulares[[#This Row],[Similar a]],padroes[],2,0)</f>
        <v>CAR</v>
      </c>
      <c r="D283" s="3"/>
    </row>
    <row r="284" spans="1:4" x14ac:dyDescent="0.25">
      <c r="A284" s="2" t="s">
        <v>408</v>
      </c>
      <c r="B284" s="2" t="s">
        <v>44</v>
      </c>
      <c r="C284" s="2" t="str">
        <f>VLOOKUP(irregulares[[#This Row],[Similar a]],padroes[],2,0)</f>
        <v>CAR</v>
      </c>
      <c r="D284" s="3"/>
    </row>
    <row r="285" spans="1:4" x14ac:dyDescent="0.25">
      <c r="A285" s="2" t="s">
        <v>1255</v>
      </c>
      <c r="B285" s="2" t="s">
        <v>74</v>
      </c>
      <c r="C285" s="2" t="str">
        <f>VLOOKUP(irregulares[[#This Row],[Similar a]],padroes[],2,0)</f>
        <v>GAR</v>
      </c>
      <c r="D285" s="3"/>
    </row>
    <row r="286" spans="1:4" x14ac:dyDescent="0.25">
      <c r="A286" s="2" t="s">
        <v>409</v>
      </c>
      <c r="B286" s="2" t="s">
        <v>44</v>
      </c>
      <c r="C286" s="2" t="str">
        <f>VLOOKUP(irregulares[[#This Row],[Similar a]],padroes[],2,0)</f>
        <v>CAR</v>
      </c>
      <c r="D286" s="3"/>
    </row>
    <row r="287" spans="1:4" x14ac:dyDescent="0.25">
      <c r="A287" s="2" t="s">
        <v>1256</v>
      </c>
      <c r="B287" s="2" t="s">
        <v>63</v>
      </c>
      <c r="C287" s="2" t="str">
        <f>VLOOKUP(irregulares[[#This Row],[Similar a]],padroes[],2,0)</f>
        <v>CER</v>
      </c>
      <c r="D287" s="3"/>
    </row>
    <row r="288" spans="1:4" x14ac:dyDescent="0.25">
      <c r="A288" s="2" t="s">
        <v>410</v>
      </c>
      <c r="B288" s="2" t="s">
        <v>42</v>
      </c>
      <c r="C288" s="2" t="str">
        <f>VLOOKUP(irregulares[[#This Row],[Similar a]],padroes[],2,0)</f>
        <v>ÇAR</v>
      </c>
      <c r="D288" s="3"/>
    </row>
    <row r="289" spans="1:4" x14ac:dyDescent="0.25">
      <c r="A289" s="2" t="s">
        <v>411</v>
      </c>
      <c r="B289" s="2" t="s">
        <v>44</v>
      </c>
      <c r="C289" s="2" t="str">
        <f>VLOOKUP(irregulares[[#This Row],[Similar a]],padroes[],2,0)</f>
        <v>CAR</v>
      </c>
      <c r="D289" s="3"/>
    </row>
    <row r="290" spans="1:4" x14ac:dyDescent="0.25">
      <c r="A290" s="2" t="s">
        <v>412</v>
      </c>
      <c r="B290" s="2" t="s">
        <v>55</v>
      </c>
      <c r="C290" s="2" t="str">
        <f>VLOOKUP(irregulares[[#This Row],[Similar a]],padroes[],2,0)</f>
        <v>EJAR ô</v>
      </c>
      <c r="D290" s="3"/>
    </row>
    <row r="291" spans="1:4" x14ac:dyDescent="0.25">
      <c r="A291" s="2" t="s">
        <v>413</v>
      </c>
      <c r="B291" s="2" t="s">
        <v>60</v>
      </c>
      <c r="C291" s="2" t="str">
        <f>VLOOKUP(irregulares[[#This Row],[Similar a]],padroes[],2,0)</f>
        <v>GAR</v>
      </c>
      <c r="D291" s="3"/>
    </row>
    <row r="292" spans="1:4" x14ac:dyDescent="0.25">
      <c r="A292" s="2" t="s">
        <v>414</v>
      </c>
      <c r="B292" s="2" t="s">
        <v>55</v>
      </c>
      <c r="C292" s="2" t="str">
        <f>VLOOKUP(irregulares[[#This Row],[Similar a]],padroes[],2,0)</f>
        <v>EJAR ô</v>
      </c>
      <c r="D292" s="3"/>
    </row>
    <row r="293" spans="1:4" x14ac:dyDescent="0.25">
      <c r="A293" s="2" t="s">
        <v>415</v>
      </c>
      <c r="B293" s="2" t="s">
        <v>63</v>
      </c>
      <c r="C293" s="2" t="str">
        <f>VLOOKUP(irregulares[[#This Row],[Similar a]],padroes[],2,0)</f>
        <v>CER</v>
      </c>
      <c r="D293" s="3"/>
    </row>
    <row r="294" spans="1:4" x14ac:dyDescent="0.25">
      <c r="A294" s="2" t="s">
        <v>416</v>
      </c>
      <c r="B294" s="2" t="s">
        <v>417</v>
      </c>
      <c r="C294" s="2" t="str">
        <f>VLOOKUP(irregulares[[#This Row],[Similar a]],padroes[],2,0)</f>
        <v>IAR</v>
      </c>
      <c r="D294" s="3"/>
    </row>
    <row r="295" spans="1:4" x14ac:dyDescent="0.25">
      <c r="A295" s="2" t="s">
        <v>418</v>
      </c>
      <c r="B295" s="2" t="s">
        <v>419</v>
      </c>
      <c r="C295" s="2" t="str">
        <f>VLOOKUP(irregulares[[#This Row],[Similar a]],padroes[],2,0)</f>
        <v>DIZER</v>
      </c>
      <c r="D295" s="3"/>
    </row>
    <row r="296" spans="1:4" x14ac:dyDescent="0.25">
      <c r="A296" s="2" t="s">
        <v>420</v>
      </c>
      <c r="B296" s="2" t="s">
        <v>183</v>
      </c>
      <c r="C296" s="2" t="str">
        <f>VLOOKUP(irregulares[[#This Row],[Similar a]],padroes[],2,0)</f>
        <v>E-X-IR</v>
      </c>
      <c r="D296" s="3"/>
    </row>
    <row r="297" spans="1:4" x14ac:dyDescent="0.25">
      <c r="A297" s="2" t="s">
        <v>421</v>
      </c>
      <c r="B297" s="2" t="s">
        <v>74</v>
      </c>
      <c r="C297" s="2" t="str">
        <f>VLOOKUP(irregulares[[#This Row],[Similar a]],padroes[],2,0)</f>
        <v>GAR</v>
      </c>
      <c r="D297" s="3"/>
    </row>
    <row r="298" spans="1:4" x14ac:dyDescent="0.25">
      <c r="A298" s="2" t="s">
        <v>422</v>
      </c>
      <c r="B298" s="2" t="s">
        <v>423</v>
      </c>
      <c r="C298" s="2" t="str">
        <f>VLOOKUP(irregulares[[#This Row],[Similar a]],padroes[],2,0)</f>
        <v>GAR</v>
      </c>
      <c r="D298" s="3"/>
    </row>
    <row r="299" spans="1:4" x14ac:dyDescent="0.25">
      <c r="A299" s="2" t="s">
        <v>424</v>
      </c>
      <c r="B299" s="2" t="s">
        <v>267</v>
      </c>
      <c r="C299" s="2" t="str">
        <f>VLOOKUP(irregulares[[#This Row],[Similar a]],padroes[],2,0)</f>
        <v>POR</v>
      </c>
      <c r="D299" s="3"/>
    </row>
    <row r="300" spans="1:4" x14ac:dyDescent="0.25">
      <c r="A300" s="2" t="s">
        <v>425</v>
      </c>
      <c r="B300" s="2" t="s">
        <v>958</v>
      </c>
      <c r="C300" s="2" t="str">
        <f>VLOOKUP(irregulares[[#This Row],[Similar a]],padroes[],2,0)</f>
        <v>SENTIR</v>
      </c>
      <c r="D300" s="3"/>
    </row>
    <row r="301" spans="1:4" x14ac:dyDescent="0.25">
      <c r="A301" s="2" t="s">
        <v>891</v>
      </c>
      <c r="B301" s="2" t="s">
        <v>250</v>
      </c>
      <c r="C301" s="2" t="str">
        <f>VLOOKUP(irregulares[[#This Row],[Similar a]],padroes[],2,0)</f>
        <v>VER</v>
      </c>
      <c r="D301" s="3"/>
    </row>
    <row r="302" spans="1:4" x14ac:dyDescent="0.25">
      <c r="A302" s="2" t="s">
        <v>426</v>
      </c>
      <c r="B302" s="2" t="s">
        <v>185</v>
      </c>
      <c r="C302" s="2" t="str">
        <f>VLOOKUP(irregulares[[#This Row],[Similar a]],padroes[],2,0)</f>
        <v>Defectivo 2</v>
      </c>
      <c r="D302" s="3"/>
    </row>
    <row r="303" spans="1:4" x14ac:dyDescent="0.25">
      <c r="A303" s="2" t="s">
        <v>427</v>
      </c>
      <c r="B303" s="2" t="s">
        <v>49</v>
      </c>
      <c r="C303" s="2" t="str">
        <f>VLOOKUP(irregulares[[#This Row],[Similar a]],padroes[],2,0)</f>
        <v>OAR</v>
      </c>
      <c r="D303" s="3"/>
    </row>
    <row r="304" spans="1:4" x14ac:dyDescent="0.25">
      <c r="A304" s="2" t="s">
        <v>428</v>
      </c>
      <c r="B304" s="2" t="s">
        <v>74</v>
      </c>
      <c r="C304" s="2" t="str">
        <f>VLOOKUP(irregulares[[#This Row],[Similar a]],padroes[],2,0)</f>
        <v>GAR</v>
      </c>
      <c r="D304" s="3"/>
    </row>
    <row r="305" spans="1:4" x14ac:dyDescent="0.25">
      <c r="A305" s="2" t="s">
        <v>429</v>
      </c>
      <c r="B305" s="2" t="s">
        <v>53</v>
      </c>
      <c r="C305" s="2" t="str">
        <f>VLOOKUP(irregulares[[#This Row],[Similar a]],padroes[],2,0)</f>
        <v>EAR</v>
      </c>
      <c r="D305" s="3"/>
    </row>
    <row r="306" spans="1:4" x14ac:dyDescent="0.25">
      <c r="A306" s="2" t="s">
        <v>430</v>
      </c>
      <c r="B306" s="2" t="s">
        <v>42</v>
      </c>
      <c r="C306" s="2" t="str">
        <f>VLOOKUP(irregulares[[#This Row],[Similar a]],padroes[],2,0)</f>
        <v>ÇAR</v>
      </c>
      <c r="D306" s="3"/>
    </row>
    <row r="307" spans="1:4" x14ac:dyDescent="0.25">
      <c r="A307" s="2" t="s">
        <v>431</v>
      </c>
      <c r="B307" s="2" t="s">
        <v>44</v>
      </c>
      <c r="C307" s="2" t="str">
        <f>VLOOKUP(irregulares[[#This Row],[Similar a]],padroes[],2,0)</f>
        <v>CAR</v>
      </c>
      <c r="D307" s="3"/>
    </row>
    <row r="308" spans="1:4" x14ac:dyDescent="0.25">
      <c r="A308" s="2" t="s">
        <v>432</v>
      </c>
      <c r="B308" s="2" t="s">
        <v>53</v>
      </c>
      <c r="C308" s="2" t="str">
        <f>VLOOKUP(irregulares[[#This Row],[Similar a]],padroes[],2,0)</f>
        <v>EAR</v>
      </c>
      <c r="D308" s="3"/>
    </row>
    <row r="309" spans="1:4" x14ac:dyDescent="0.25">
      <c r="A309" s="2" t="s">
        <v>433</v>
      </c>
      <c r="B309" s="2" t="s">
        <v>434</v>
      </c>
      <c r="C309" s="2" t="str">
        <f>VLOOKUP(irregulares[[#This Row],[Similar a]],padroes[],2,0)</f>
        <v>GUAR</v>
      </c>
      <c r="D309" s="3"/>
    </row>
    <row r="310" spans="1:4" x14ac:dyDescent="0.25">
      <c r="A310" s="2" t="s">
        <v>435</v>
      </c>
      <c r="B310" s="2" t="s">
        <v>44</v>
      </c>
      <c r="C310" s="2" t="str">
        <f>VLOOKUP(irregulares[[#This Row],[Similar a]],padroes[],2,0)</f>
        <v>CAR</v>
      </c>
      <c r="D310" s="3"/>
    </row>
    <row r="311" spans="1:4" x14ac:dyDescent="0.25">
      <c r="A311" s="2" t="s">
        <v>436</v>
      </c>
      <c r="B311" s="2" t="s">
        <v>63</v>
      </c>
      <c r="C311" s="2" t="str">
        <f>VLOOKUP(irregulares[[#This Row],[Similar a]],padroes[],2,0)</f>
        <v>CER</v>
      </c>
      <c r="D311" s="3"/>
    </row>
    <row r="312" spans="1:4" x14ac:dyDescent="0.25">
      <c r="A312" s="2" t="s">
        <v>157</v>
      </c>
      <c r="B312" s="2" t="s">
        <v>157</v>
      </c>
      <c r="C312" s="2" t="str">
        <f>VLOOKUP(irregulares[[#This Row],[Similar a]],padroes[],2,0)</f>
        <v>ELHAR</v>
      </c>
      <c r="D312" s="3"/>
    </row>
    <row r="313" spans="1:4" x14ac:dyDescent="0.25">
      <c r="A313" s="2" t="s">
        <v>437</v>
      </c>
      <c r="B313" s="2" t="s">
        <v>53</v>
      </c>
      <c r="C313" s="2" t="str">
        <f>VLOOKUP(irregulares[[#This Row],[Similar a]],padroes[],2,0)</f>
        <v>EAR</v>
      </c>
      <c r="D313" s="3"/>
    </row>
    <row r="314" spans="1:4" x14ac:dyDescent="0.25">
      <c r="A314" s="2" t="s">
        <v>438</v>
      </c>
      <c r="B314" s="2" t="s">
        <v>49</v>
      </c>
      <c r="C314" s="2" t="str">
        <f>VLOOKUP(irregulares[[#This Row],[Similar a]],padroes[],2,0)</f>
        <v>OAR</v>
      </c>
      <c r="D314" s="3"/>
    </row>
    <row r="315" spans="1:4" x14ac:dyDescent="0.25">
      <c r="A315" s="2" t="s">
        <v>439</v>
      </c>
      <c r="B315" s="2" t="s">
        <v>65</v>
      </c>
      <c r="C315" s="2" t="str">
        <f>VLOOKUP(irregulares[[#This Row],[Similar a]],padroes[],2,0)</f>
        <v>Ú-X-AR</v>
      </c>
      <c r="D315" s="3"/>
    </row>
    <row r="316" spans="1:4" x14ac:dyDescent="0.25">
      <c r="A316" s="2" t="s">
        <v>440</v>
      </c>
      <c r="B316" s="2" t="s">
        <v>434</v>
      </c>
      <c r="C316" s="2" t="str">
        <f>VLOOKUP(irregulares[[#This Row],[Similar a]],padroes[],2,0)</f>
        <v>GUAR</v>
      </c>
      <c r="D316" s="3"/>
    </row>
    <row r="317" spans="1:4" x14ac:dyDescent="0.25">
      <c r="A317" s="2" t="s">
        <v>441</v>
      </c>
      <c r="B317" s="2" t="s">
        <v>53</v>
      </c>
      <c r="C317" s="2" t="str">
        <f>VLOOKUP(irregulares[[#This Row],[Similar a]],padroes[],2,0)</f>
        <v>EAR</v>
      </c>
      <c r="D317" s="3"/>
    </row>
    <row r="318" spans="1:4" x14ac:dyDescent="0.25">
      <c r="A318" s="2" t="s">
        <v>442</v>
      </c>
      <c r="B318" s="2" t="s">
        <v>55</v>
      </c>
      <c r="C318" s="2" t="str">
        <f>VLOOKUP(irregulares[[#This Row],[Similar a]],padroes[],2,0)</f>
        <v>EJAR ô</v>
      </c>
      <c r="D318" s="3"/>
    </row>
    <row r="319" spans="1:4" x14ac:dyDescent="0.25">
      <c r="A319" s="2" t="s">
        <v>443</v>
      </c>
      <c r="B319" s="2" t="s">
        <v>60</v>
      </c>
      <c r="C319" s="2" t="str">
        <f>VLOOKUP(irregulares[[#This Row],[Similar a]],padroes[],2,0)</f>
        <v>GAR</v>
      </c>
      <c r="D319" s="3"/>
    </row>
    <row r="320" spans="1:4" x14ac:dyDescent="0.25">
      <c r="A320" s="2" t="s">
        <v>444</v>
      </c>
      <c r="B320" s="2" t="s">
        <v>55</v>
      </c>
      <c r="C320" s="2" t="str">
        <f>VLOOKUP(irregulares[[#This Row],[Similar a]],padroes[],2,0)</f>
        <v>EJAR ô</v>
      </c>
      <c r="D320" s="3"/>
    </row>
    <row r="321" spans="1:4" x14ac:dyDescent="0.25">
      <c r="A321" s="2" t="s">
        <v>445</v>
      </c>
      <c r="B321" s="2" t="s">
        <v>49</v>
      </c>
      <c r="C321" s="2" t="str">
        <f>VLOOKUP(irregulares[[#This Row],[Similar a]],padroes[],2,0)</f>
        <v>OAR</v>
      </c>
      <c r="D321" s="3"/>
    </row>
    <row r="322" spans="1:4" x14ac:dyDescent="0.25">
      <c r="A322" s="2" t="s">
        <v>446</v>
      </c>
      <c r="B322" s="2" t="s">
        <v>49</v>
      </c>
      <c r="C322" s="2" t="str">
        <f>VLOOKUP(irregulares[[#This Row],[Similar a]],padroes[],2,0)</f>
        <v>OAR</v>
      </c>
      <c r="D322" s="3"/>
    </row>
    <row r="323" spans="1:4" x14ac:dyDescent="0.25">
      <c r="A323" s="2" t="s">
        <v>447</v>
      </c>
      <c r="B323" s="2" t="s">
        <v>53</v>
      </c>
      <c r="C323" s="2" t="str">
        <f>VLOOKUP(irregulares[[#This Row],[Similar a]],padroes[],2,0)</f>
        <v>EAR</v>
      </c>
      <c r="D323" s="3"/>
    </row>
    <row r="324" spans="1:4" x14ac:dyDescent="0.25">
      <c r="A324" s="2" t="s">
        <v>448</v>
      </c>
      <c r="B324" s="2" t="s">
        <v>63</v>
      </c>
      <c r="C324" s="2" t="str">
        <f>VLOOKUP(irregulares[[#This Row],[Similar a]],padroes[],2,0)</f>
        <v>CER</v>
      </c>
      <c r="D324" s="3"/>
    </row>
    <row r="325" spans="1:4" x14ac:dyDescent="0.25">
      <c r="A325" s="2" t="s">
        <v>449</v>
      </c>
      <c r="B325" s="2" t="s">
        <v>1122</v>
      </c>
      <c r="C325" s="2" t="str">
        <f>VLOOKUP(irregulares[[#This Row],[Similar a]],padroes[],2,0)</f>
        <v>ECHAR ê</v>
      </c>
      <c r="D325" s="3"/>
    </row>
    <row r="326" spans="1:4" x14ac:dyDescent="0.25">
      <c r="A326" s="2" t="s">
        <v>450</v>
      </c>
      <c r="B326" s="2" t="s">
        <v>42</v>
      </c>
      <c r="C326" s="2" t="str">
        <f>VLOOKUP(irregulares[[#This Row],[Similar a]],padroes[],2,0)</f>
        <v>ÇAR</v>
      </c>
      <c r="D326" s="3"/>
    </row>
    <row r="327" spans="1:4" x14ac:dyDescent="0.25">
      <c r="A327" s="2" t="s">
        <v>451</v>
      </c>
      <c r="B327" s="2" t="s">
        <v>42</v>
      </c>
      <c r="C327" s="2" t="str">
        <f>VLOOKUP(irregulares[[#This Row],[Similar a]],padroes[],2,0)</f>
        <v>ÇAR</v>
      </c>
      <c r="D327" s="3"/>
    </row>
    <row r="328" spans="1:4" x14ac:dyDescent="0.25">
      <c r="A328" s="2" t="s">
        <v>452</v>
      </c>
      <c r="B328" s="2" t="s">
        <v>49</v>
      </c>
      <c r="C328" s="2" t="str">
        <f>VLOOKUP(irregulares[[#This Row],[Similar a]],padroes[],2,0)</f>
        <v>OAR</v>
      </c>
      <c r="D328" s="3"/>
    </row>
    <row r="329" spans="1:4" x14ac:dyDescent="0.25">
      <c r="A329" s="2" t="s">
        <v>453</v>
      </c>
      <c r="B329" s="2" t="s">
        <v>49</v>
      </c>
      <c r="C329" s="2" t="str">
        <f>VLOOKUP(irregulares[[#This Row],[Similar a]],padroes[],2,0)</f>
        <v>OAR</v>
      </c>
      <c r="D329" s="3"/>
    </row>
    <row r="330" spans="1:4" x14ac:dyDescent="0.25">
      <c r="A330" s="2" t="s">
        <v>454</v>
      </c>
      <c r="B330" s="2" t="s">
        <v>49</v>
      </c>
      <c r="C330" s="2" t="str">
        <f>VLOOKUP(irregulares[[#This Row],[Similar a]],padroes[],2,0)</f>
        <v>OAR</v>
      </c>
      <c r="D330" s="3"/>
    </row>
    <row r="331" spans="1:4" x14ac:dyDescent="0.25">
      <c r="A331" s="2" t="s">
        <v>455</v>
      </c>
      <c r="B331" s="2" t="s">
        <v>44</v>
      </c>
      <c r="C331" s="2" t="str">
        <f>VLOOKUP(irregulares[[#This Row],[Similar a]],padroes[],2,0)</f>
        <v>CAR</v>
      </c>
      <c r="D331" s="3"/>
    </row>
    <row r="332" spans="1:4" x14ac:dyDescent="0.25">
      <c r="A332" s="2" t="s">
        <v>1257</v>
      </c>
      <c r="B332" s="2" t="s">
        <v>53</v>
      </c>
      <c r="C332" s="2" t="str">
        <f>VLOOKUP(irregulares[[#This Row],[Similar a]],padroes[],2,0)</f>
        <v>EAR</v>
      </c>
      <c r="D332" s="3"/>
    </row>
    <row r="333" spans="1:4" x14ac:dyDescent="0.25">
      <c r="A333" s="2" t="s">
        <v>456</v>
      </c>
      <c r="B333" s="2" t="s">
        <v>44</v>
      </c>
      <c r="C333" s="2" t="str">
        <f>VLOOKUP(irregulares[[#This Row],[Similar a]],padroes[],2,0)</f>
        <v>CAR</v>
      </c>
      <c r="D333" s="3"/>
    </row>
    <row r="334" spans="1:4" x14ac:dyDescent="0.25">
      <c r="A334" s="2" t="s">
        <v>457</v>
      </c>
      <c r="B334" s="2" t="s">
        <v>63</v>
      </c>
      <c r="C334" s="2" t="str">
        <f>VLOOKUP(irregulares[[#This Row],[Similar a]],padroes[],2,0)</f>
        <v>CER</v>
      </c>
      <c r="D334" s="3"/>
    </row>
    <row r="335" spans="1:4" x14ac:dyDescent="0.25">
      <c r="A335" s="2" t="s">
        <v>458</v>
      </c>
      <c r="B335" s="2" t="s">
        <v>458</v>
      </c>
      <c r="C335" s="2" t="str">
        <f>VLOOKUP(irregulares[[#This Row],[Similar a]],padroes[],2,0)</f>
        <v>OIAR</v>
      </c>
      <c r="D335" s="3"/>
    </row>
    <row r="336" spans="1:4" x14ac:dyDescent="0.25">
      <c r="A336" s="2" t="s">
        <v>459</v>
      </c>
      <c r="B336" s="2" t="s">
        <v>60</v>
      </c>
      <c r="C336" s="2" t="str">
        <f>VLOOKUP(irregulares[[#This Row],[Similar a]],padroes[],2,0)</f>
        <v>GAR</v>
      </c>
      <c r="D336" s="3"/>
    </row>
    <row r="337" spans="1:4" x14ac:dyDescent="0.25">
      <c r="A337" s="2" t="s">
        <v>460</v>
      </c>
      <c r="B337" s="2" t="s">
        <v>49</v>
      </c>
      <c r="C337" s="2" t="str">
        <f>VLOOKUP(irregulares[[#This Row],[Similar a]],padroes[],2,0)</f>
        <v>OAR</v>
      </c>
      <c r="D337" s="3"/>
    </row>
    <row r="338" spans="1:4" x14ac:dyDescent="0.25">
      <c r="A338" s="2" t="s">
        <v>461</v>
      </c>
      <c r="B338" s="2" t="s">
        <v>267</v>
      </c>
      <c r="C338" s="2" t="str">
        <f>VLOOKUP(irregulares[[#This Row],[Similar a]],padroes[],2,0)</f>
        <v>POR</v>
      </c>
      <c r="D338" s="3"/>
    </row>
    <row r="339" spans="1:4" x14ac:dyDescent="0.25">
      <c r="A339" s="2" t="s">
        <v>895</v>
      </c>
      <c r="B339" s="2" t="s">
        <v>53</v>
      </c>
      <c r="C339" s="2" t="str">
        <f>VLOOKUP(irregulares[[#This Row],[Similar a]],padroes[],2,0)</f>
        <v>EAR</v>
      </c>
      <c r="D339" s="3"/>
    </row>
    <row r="340" spans="1:4" x14ac:dyDescent="0.25">
      <c r="A340" s="2" t="s">
        <v>1258</v>
      </c>
      <c r="B340" s="2" t="s">
        <v>53</v>
      </c>
      <c r="C340" s="2" t="str">
        <f>VLOOKUP(irregulares[[#This Row],[Similar a]],padroes[],2,0)</f>
        <v>EAR</v>
      </c>
      <c r="D340" s="3"/>
    </row>
    <row r="341" spans="1:4" x14ac:dyDescent="0.25">
      <c r="A341" s="2" t="s">
        <v>1259</v>
      </c>
      <c r="B341" s="2" t="s">
        <v>82</v>
      </c>
      <c r="C341" s="2" t="str">
        <f>VLOOKUP(irregulares[[#This Row],[Similar a]],padroes[],2,0)</f>
        <v>UIR</v>
      </c>
      <c r="D341" s="3"/>
    </row>
    <row r="342" spans="1:4" x14ac:dyDescent="0.25">
      <c r="A342" s="2" t="s">
        <v>896</v>
      </c>
      <c r="B342" s="2" t="s">
        <v>44</v>
      </c>
      <c r="C342" s="2" t="str">
        <f>VLOOKUP(irregulares[[#This Row],[Similar a]],padroes[],2,0)</f>
        <v>CAR</v>
      </c>
      <c r="D342" s="3"/>
    </row>
    <row r="343" spans="1:4" x14ac:dyDescent="0.25">
      <c r="A343" s="2" t="s">
        <v>187</v>
      </c>
      <c r="B343" s="2" t="s">
        <v>187</v>
      </c>
      <c r="C343" s="31" t="str">
        <f>VLOOKUP(irregulares[[#This Row],[Similar a]],padroes[],2,0)</f>
        <v>AZER</v>
      </c>
      <c r="D343" s="3"/>
    </row>
    <row r="344" spans="1:4" x14ac:dyDescent="0.25">
      <c r="A344" s="2" t="s">
        <v>897</v>
      </c>
      <c r="B344" s="2" t="s">
        <v>351</v>
      </c>
      <c r="C344" s="2" t="str">
        <f>VLOOKUP(irregulares[[#This Row],[Similar a]],padroes[],2,0)</f>
        <v>ÇAR</v>
      </c>
      <c r="D344" s="3"/>
    </row>
    <row r="345" spans="1:4" x14ac:dyDescent="0.25">
      <c r="A345" s="2" t="s">
        <v>898</v>
      </c>
      <c r="B345" s="2" t="s">
        <v>49</v>
      </c>
      <c r="C345" s="2" t="str">
        <f>VLOOKUP(irregulares[[#This Row],[Similar a]],padroes[],2,0)</f>
        <v>OAR</v>
      </c>
      <c r="D345" s="3"/>
    </row>
    <row r="346" spans="1:4" x14ac:dyDescent="0.25">
      <c r="A346" s="2" t="s">
        <v>899</v>
      </c>
      <c r="B346" s="2" t="s">
        <v>44</v>
      </c>
      <c r="C346" s="2" t="str">
        <f>VLOOKUP(irregulares[[#This Row],[Similar a]],padroes[],2,0)</f>
        <v>CAR</v>
      </c>
      <c r="D346" s="3"/>
    </row>
    <row r="347" spans="1:4" x14ac:dyDescent="0.25">
      <c r="A347" s="2" t="s">
        <v>900</v>
      </c>
      <c r="B347" s="2" t="s">
        <v>49</v>
      </c>
      <c r="C347" s="2" t="str">
        <f>VLOOKUP(irregulares[[#This Row],[Similar a]],padroes[],2,0)</f>
        <v>OAR</v>
      </c>
      <c r="D347" s="3"/>
    </row>
    <row r="348" spans="1:4" x14ac:dyDescent="0.25">
      <c r="A348" s="2" t="s">
        <v>1260</v>
      </c>
      <c r="B348" s="2" t="s">
        <v>161</v>
      </c>
      <c r="C348" s="2" t="str">
        <f>VLOOKUP(irregulares[[#This Row],[Similar a]],padroes[],2,0)</f>
        <v>GAR</v>
      </c>
      <c r="D348" s="3"/>
    </row>
    <row r="349" spans="1:4" x14ac:dyDescent="0.25">
      <c r="A349" s="2" t="s">
        <v>901</v>
      </c>
      <c r="B349" s="2" t="s">
        <v>55</v>
      </c>
      <c r="C349" s="2" t="str">
        <f>VLOOKUP(irregulares[[#This Row],[Similar a]],padroes[],2,0)</f>
        <v>EJAR ô</v>
      </c>
      <c r="D349" s="3"/>
    </row>
    <row r="350" spans="1:4" x14ac:dyDescent="0.25">
      <c r="A350" s="2" t="s">
        <v>358</v>
      </c>
      <c r="B350" s="2" t="s">
        <v>358</v>
      </c>
      <c r="C350" s="2" t="str">
        <f>VLOOKUP(irregulares[[#This Row],[Similar a]],padroes[],2,0)</f>
        <v>Í-X-AR</v>
      </c>
      <c r="D350" s="3"/>
    </row>
    <row r="351" spans="1:4" x14ac:dyDescent="0.25">
      <c r="A351" s="2" t="s">
        <v>63</v>
      </c>
      <c r="B351" s="2" t="s">
        <v>63</v>
      </c>
      <c r="C351" s="2" t="str">
        <f>VLOOKUP(irregulares[[#This Row],[Similar a]],padroes[],2,0)</f>
        <v>CER</v>
      </c>
      <c r="D351" s="3"/>
    </row>
    <row r="352" spans="1:4" x14ac:dyDescent="0.25">
      <c r="A352" s="2" t="s">
        <v>902</v>
      </c>
      <c r="B352" s="2" t="s">
        <v>63</v>
      </c>
      <c r="C352" s="2" t="str">
        <f>VLOOKUP(irregulares[[#This Row],[Similar a]],padroes[],2,0)</f>
        <v>CER</v>
      </c>
      <c r="D352" s="3"/>
    </row>
    <row r="353" spans="1:4" x14ac:dyDescent="0.25">
      <c r="A353" s="2" t="s">
        <v>903</v>
      </c>
      <c r="B353" s="2" t="s">
        <v>49</v>
      </c>
      <c r="C353" s="2" t="str">
        <f>VLOOKUP(irregulares[[#This Row],[Similar a]],padroes[],2,0)</f>
        <v>OAR</v>
      </c>
      <c r="D353" s="3"/>
    </row>
    <row r="354" spans="1:4" x14ac:dyDescent="0.25">
      <c r="A354" s="2" t="s">
        <v>904</v>
      </c>
      <c r="B354" s="2" t="s">
        <v>44</v>
      </c>
      <c r="C354" s="2" t="str">
        <f>VLOOKUP(irregulares[[#This Row],[Similar a]],padroes[],2,0)</f>
        <v>CAR</v>
      </c>
      <c r="D354" s="3"/>
    </row>
    <row r="355" spans="1:4" x14ac:dyDescent="0.25">
      <c r="A355" s="2" t="s">
        <v>905</v>
      </c>
      <c r="B355" s="2" t="s">
        <v>63</v>
      </c>
      <c r="C355" s="2" t="str">
        <f>VLOOKUP(irregulares[[#This Row],[Similar a]],padroes[],2,0)</f>
        <v>CER</v>
      </c>
      <c r="D355" s="3"/>
    </row>
    <row r="356" spans="1:4" x14ac:dyDescent="0.25">
      <c r="A356" s="2" t="s">
        <v>906</v>
      </c>
      <c r="B356" s="2" t="s">
        <v>319</v>
      </c>
      <c r="C356" s="2" t="str">
        <f>VLOOKUP(irregulares[[#This Row],[Similar a]],padroes[],2,0)</f>
        <v>Í-X-AR</v>
      </c>
      <c r="D356" s="3"/>
    </row>
    <row r="357" spans="1:4" x14ac:dyDescent="0.25">
      <c r="A357" s="2" t="s">
        <v>907</v>
      </c>
      <c r="B357" s="2" t="s">
        <v>44</v>
      </c>
      <c r="C357" s="2" t="str">
        <f>VLOOKUP(irregulares[[#This Row],[Similar a]],padroes[],2,0)</f>
        <v>CAR</v>
      </c>
      <c r="D357" s="3"/>
    </row>
    <row r="358" spans="1:4" x14ac:dyDescent="0.25">
      <c r="A358" s="2" t="s">
        <v>908</v>
      </c>
      <c r="B358" s="2" t="s">
        <v>53</v>
      </c>
      <c r="C358" s="2" t="str">
        <f>VLOOKUP(irregulares[[#This Row],[Similar a]],padroes[],2,0)</f>
        <v>EAR</v>
      </c>
      <c r="D358" s="3"/>
    </row>
    <row r="359" spans="1:4" x14ac:dyDescent="0.25">
      <c r="A359" s="2" t="s">
        <v>909</v>
      </c>
      <c r="B359" s="2" t="s">
        <v>55</v>
      </c>
      <c r="C359" s="2" t="str">
        <f>VLOOKUP(irregulares[[#This Row],[Similar a]],padroes[],2,0)</f>
        <v>EJAR ô</v>
      </c>
      <c r="D359" s="3"/>
    </row>
    <row r="360" spans="1:4" x14ac:dyDescent="0.25">
      <c r="A360" s="2" t="s">
        <v>910</v>
      </c>
      <c r="B360" s="2" t="s">
        <v>74</v>
      </c>
      <c r="C360" s="2" t="str">
        <f>VLOOKUP(irregulares[[#This Row],[Similar a]],padroes[],2,0)</f>
        <v>GAR</v>
      </c>
      <c r="D360" s="3"/>
    </row>
    <row r="361" spans="1:4" x14ac:dyDescent="0.25">
      <c r="A361" s="2" t="s">
        <v>911</v>
      </c>
      <c r="B361" s="2" t="s">
        <v>53</v>
      </c>
      <c r="C361" s="2" t="str">
        <f>VLOOKUP(irregulares[[#This Row],[Similar a]],padroes[],2,0)</f>
        <v>EAR</v>
      </c>
      <c r="D361" s="3"/>
    </row>
    <row r="362" spans="1:4" x14ac:dyDescent="0.25">
      <c r="A362" s="2" t="s">
        <v>912</v>
      </c>
      <c r="B362" s="2" t="s">
        <v>53</v>
      </c>
      <c r="C362" s="2" t="str">
        <f>VLOOKUP(irregulares[[#This Row],[Similar a]],padroes[],2,0)</f>
        <v>EAR</v>
      </c>
      <c r="D362" s="3"/>
    </row>
    <row r="363" spans="1:4" x14ac:dyDescent="0.25">
      <c r="A363" s="2" t="s">
        <v>913</v>
      </c>
      <c r="B363" s="2" t="s">
        <v>913</v>
      </c>
      <c r="C363" s="2" t="str">
        <f>VLOOKUP(irregulares[[#This Row],[Similar a]],padroes[],2,0)</f>
        <v>ARGUIR</v>
      </c>
      <c r="D363" s="3"/>
    </row>
    <row r="364" spans="1:4" x14ac:dyDescent="0.25">
      <c r="A364" s="2" t="s">
        <v>914</v>
      </c>
      <c r="B364" s="2" t="s">
        <v>44</v>
      </c>
      <c r="C364" s="2" t="str">
        <f>VLOOKUP(irregulares[[#This Row],[Similar a]],padroes[],2,0)</f>
        <v>CAR</v>
      </c>
      <c r="D364" s="3"/>
    </row>
    <row r="365" spans="1:4" x14ac:dyDescent="0.25">
      <c r="A365" s="2" t="s">
        <v>915</v>
      </c>
      <c r="B365" s="2" t="s">
        <v>53</v>
      </c>
      <c r="C365" s="2" t="str">
        <f>VLOOKUP(irregulares[[#This Row],[Similar a]],padroes[],2,0)</f>
        <v>EAR</v>
      </c>
      <c r="D365" s="3"/>
    </row>
    <row r="366" spans="1:4" x14ac:dyDescent="0.25">
      <c r="A366" s="2" t="s">
        <v>916</v>
      </c>
      <c r="B366" s="2" t="s">
        <v>55</v>
      </c>
      <c r="C366" s="2" t="str">
        <f>VLOOKUP(irregulares[[#This Row],[Similar a]],padroes[],2,0)</f>
        <v>EJAR ô</v>
      </c>
      <c r="D366" s="3"/>
    </row>
    <row r="367" spans="1:4" x14ac:dyDescent="0.25">
      <c r="A367" s="2" t="s">
        <v>917</v>
      </c>
      <c r="B367" s="2" t="s">
        <v>49</v>
      </c>
      <c r="C367" s="2" t="str">
        <f>VLOOKUP(irregulares[[#This Row],[Similar a]],padroes[],2,0)</f>
        <v>OAR</v>
      </c>
      <c r="D367" s="3"/>
    </row>
    <row r="368" spans="1:4" x14ac:dyDescent="0.25">
      <c r="A368" s="2" t="s">
        <v>1067</v>
      </c>
      <c r="B368" s="2" t="s">
        <v>49</v>
      </c>
      <c r="C368" s="2" t="str">
        <f>VLOOKUP(irregulares[[#This Row],[Similar a]],padroes[],2,0)</f>
        <v>OAR</v>
      </c>
      <c r="D368" s="3"/>
    </row>
    <row r="369" spans="1:4" x14ac:dyDescent="0.25">
      <c r="A369" s="2" t="s">
        <v>918</v>
      </c>
      <c r="B369" s="2" t="s">
        <v>53</v>
      </c>
      <c r="C369" s="2" t="str">
        <f>VLOOKUP(irregulares[[#This Row],[Similar a]],padroes[],2,0)</f>
        <v>EAR</v>
      </c>
      <c r="D369" s="3"/>
    </row>
    <row r="370" spans="1:4" x14ac:dyDescent="0.25">
      <c r="A370" s="2" t="s">
        <v>919</v>
      </c>
      <c r="B370" s="2" t="s">
        <v>55</v>
      </c>
      <c r="C370" s="2" t="str">
        <f>VLOOKUP(irregulares[[#This Row],[Similar a]],padroes[],2,0)</f>
        <v>EJAR ô</v>
      </c>
      <c r="D370" s="3"/>
    </row>
    <row r="371" spans="1:4" x14ac:dyDescent="0.25">
      <c r="A371" s="2" t="s">
        <v>920</v>
      </c>
      <c r="B371" s="2" t="s">
        <v>42</v>
      </c>
      <c r="C371" s="2" t="str">
        <f>VLOOKUP(irregulares[[#This Row],[Similar a]],padroes[],2,0)</f>
        <v>ÇAR</v>
      </c>
      <c r="D371" s="3"/>
    </row>
    <row r="372" spans="1:4" x14ac:dyDescent="0.25">
      <c r="A372" s="2" t="s">
        <v>921</v>
      </c>
      <c r="B372" s="2" t="s">
        <v>49</v>
      </c>
      <c r="C372" s="2" t="str">
        <f>VLOOKUP(irregulares[[#This Row],[Similar a]],padroes[],2,0)</f>
        <v>OAR</v>
      </c>
      <c r="D372" s="3"/>
    </row>
    <row r="373" spans="1:4" x14ac:dyDescent="0.25">
      <c r="A373" s="2" t="s">
        <v>922</v>
      </c>
      <c r="B373" s="2" t="s">
        <v>74</v>
      </c>
      <c r="C373" s="2" t="str">
        <f>VLOOKUP(irregulares[[#This Row],[Similar a]],padroes[],2,0)</f>
        <v>GAR</v>
      </c>
      <c r="D373" s="3"/>
    </row>
    <row r="374" spans="1:4" x14ac:dyDescent="0.25">
      <c r="A374" s="2" t="s">
        <v>923</v>
      </c>
      <c r="B374" s="2" t="s">
        <v>44</v>
      </c>
      <c r="C374" s="2" t="str">
        <f>VLOOKUP(irregulares[[#This Row],[Similar a]],padroes[],2,0)</f>
        <v>CAR</v>
      </c>
      <c r="D374" s="3"/>
    </row>
    <row r="375" spans="1:4" x14ac:dyDescent="0.25">
      <c r="A375" s="2" t="s">
        <v>924</v>
      </c>
      <c r="B375" s="2" t="s">
        <v>49</v>
      </c>
      <c r="C375" s="2" t="str">
        <f>VLOOKUP(irregulares[[#This Row],[Similar a]],padroes[],2,0)</f>
        <v>OAR</v>
      </c>
      <c r="D375" s="3"/>
    </row>
    <row r="376" spans="1:4" x14ac:dyDescent="0.25">
      <c r="A376" s="2" t="s">
        <v>925</v>
      </c>
      <c r="B376" s="2" t="s">
        <v>53</v>
      </c>
      <c r="C376" s="2" t="str">
        <f>VLOOKUP(irregulares[[#This Row],[Similar a]],padroes[],2,0)</f>
        <v>EAR</v>
      </c>
      <c r="D376" s="3"/>
    </row>
    <row r="377" spans="1:4" x14ac:dyDescent="0.25">
      <c r="A377" s="2" t="s">
        <v>926</v>
      </c>
      <c r="B377" s="2" t="s">
        <v>44</v>
      </c>
      <c r="C377" s="2" t="str">
        <f>VLOOKUP(irregulares[[#This Row],[Similar a]],padroes[],2,0)</f>
        <v>CAR</v>
      </c>
      <c r="D377" s="3"/>
    </row>
    <row r="378" spans="1:4" x14ac:dyDescent="0.25">
      <c r="A378" s="2" t="s">
        <v>927</v>
      </c>
      <c r="B378" s="2" t="s">
        <v>53</v>
      </c>
      <c r="C378" s="2" t="str">
        <f>VLOOKUP(irregulares[[#This Row],[Similar a]],padroes[],2,0)</f>
        <v>EAR</v>
      </c>
      <c r="D378" s="3"/>
    </row>
    <row r="379" spans="1:4" x14ac:dyDescent="0.25">
      <c r="A379" s="2" t="s">
        <v>928</v>
      </c>
      <c r="B379" s="2" t="s">
        <v>351</v>
      </c>
      <c r="C379" s="2" t="str">
        <f>VLOOKUP(irregulares[[#This Row],[Similar a]],padroes[],2,0)</f>
        <v>ÇAR</v>
      </c>
      <c r="D379" s="3"/>
    </row>
    <row r="380" spans="1:4" x14ac:dyDescent="0.25">
      <c r="A380" s="2" t="s">
        <v>1068</v>
      </c>
      <c r="B380" s="2" t="s">
        <v>63</v>
      </c>
      <c r="C380" s="2" t="str">
        <f>VLOOKUP(irregulares[[#This Row],[Similar a]],padroes[],2,0)</f>
        <v>CER</v>
      </c>
      <c r="D380" s="3"/>
    </row>
    <row r="381" spans="1:4" x14ac:dyDescent="0.25">
      <c r="A381" s="2" t="s">
        <v>929</v>
      </c>
      <c r="B381" s="2" t="s">
        <v>42</v>
      </c>
      <c r="C381" s="2" t="str">
        <f>VLOOKUP(irregulares[[#This Row],[Similar a]],padroes[],2,0)</f>
        <v>ÇAR</v>
      </c>
      <c r="D381" s="3"/>
    </row>
    <row r="382" spans="1:4" x14ac:dyDescent="0.25">
      <c r="A382" s="2" t="s">
        <v>930</v>
      </c>
      <c r="B382" s="2" t="s">
        <v>49</v>
      </c>
      <c r="C382" s="2" t="str">
        <f>VLOOKUP(irregulares[[#This Row],[Similar a]],padroes[],2,0)</f>
        <v>OAR</v>
      </c>
      <c r="D382" s="3"/>
    </row>
    <row r="383" spans="1:4" x14ac:dyDescent="0.25">
      <c r="A383" s="2" t="s">
        <v>931</v>
      </c>
      <c r="B383" s="2" t="s">
        <v>157</v>
      </c>
      <c r="C383" s="2" t="str">
        <f>VLOOKUP(irregulares[[#This Row],[Similar a]],padroes[],2,0)</f>
        <v>ELHAR</v>
      </c>
      <c r="D383" s="3"/>
    </row>
    <row r="384" spans="1:4" x14ac:dyDescent="0.25">
      <c r="A384" s="2" t="s">
        <v>1069</v>
      </c>
      <c r="B384" s="2" t="s">
        <v>74</v>
      </c>
      <c r="C384" s="2" t="str">
        <f>VLOOKUP(irregulares[[#This Row],[Similar a]],padroes[],2,0)</f>
        <v>GAR</v>
      </c>
      <c r="D384" s="3"/>
    </row>
    <row r="385" spans="1:4" x14ac:dyDescent="0.25">
      <c r="A385" s="2" t="s">
        <v>932</v>
      </c>
      <c r="B385" s="2" t="s">
        <v>60</v>
      </c>
      <c r="C385" s="2" t="str">
        <f>VLOOKUP(irregulares[[#This Row],[Similar a]],padroes[],2,0)</f>
        <v>GAR</v>
      </c>
      <c r="D385" s="3"/>
    </row>
    <row r="386" spans="1:4" x14ac:dyDescent="0.25">
      <c r="A386" s="2" t="s">
        <v>1070</v>
      </c>
      <c r="B386" s="2" t="s">
        <v>49</v>
      </c>
      <c r="C386" s="2" t="str">
        <f>VLOOKUP(irregulares[[#This Row],[Similar a]],padroes[],2,0)</f>
        <v>OAR</v>
      </c>
      <c r="D386" s="3"/>
    </row>
    <row r="387" spans="1:4" x14ac:dyDescent="0.25">
      <c r="A387" s="2" t="s">
        <v>933</v>
      </c>
      <c r="B387" s="2" t="s">
        <v>44</v>
      </c>
      <c r="C387" s="2" t="str">
        <f>VLOOKUP(irregulares[[#This Row],[Similar a]],padroes[],2,0)</f>
        <v>CAR</v>
      </c>
      <c r="D387" s="3"/>
    </row>
    <row r="388" spans="1:4" x14ac:dyDescent="0.25">
      <c r="A388" s="2" t="s">
        <v>934</v>
      </c>
      <c r="B388" s="2" t="s">
        <v>53</v>
      </c>
      <c r="C388" s="2" t="str">
        <f>VLOOKUP(irregulares[[#This Row],[Similar a]],padroes[],2,0)</f>
        <v>EAR</v>
      </c>
      <c r="D388" s="3"/>
    </row>
    <row r="389" spans="1:4" x14ac:dyDescent="0.25">
      <c r="A389" s="2" t="s">
        <v>935</v>
      </c>
      <c r="B389" s="2" t="s">
        <v>74</v>
      </c>
      <c r="C389" s="2" t="str">
        <f>VLOOKUP(irregulares[[#This Row],[Similar a]],padroes[],2,0)</f>
        <v>GAR</v>
      </c>
      <c r="D389" s="3"/>
    </row>
    <row r="390" spans="1:4" x14ac:dyDescent="0.25">
      <c r="A390" s="2" t="s">
        <v>936</v>
      </c>
      <c r="B390" s="2" t="s">
        <v>458</v>
      </c>
      <c r="C390" s="2" t="str">
        <f>VLOOKUP(irregulares[[#This Row],[Similar a]],padroes[],2,0)</f>
        <v>OIAR</v>
      </c>
      <c r="D390" s="3"/>
    </row>
    <row r="391" spans="1:4" x14ac:dyDescent="0.25">
      <c r="A391" s="2" t="s">
        <v>937</v>
      </c>
      <c r="B391" s="2" t="s">
        <v>42</v>
      </c>
      <c r="C391" s="2" t="str">
        <f>VLOOKUP(irregulares[[#This Row],[Similar a]],padroes[],2,0)</f>
        <v>ÇAR</v>
      </c>
      <c r="D391" s="3"/>
    </row>
    <row r="392" spans="1:4" x14ac:dyDescent="0.25">
      <c r="A392" s="2" t="s">
        <v>938</v>
      </c>
      <c r="B392" s="2" t="s">
        <v>53</v>
      </c>
      <c r="C392" s="2" t="str">
        <f>VLOOKUP(irregulares[[#This Row],[Similar a]],padroes[],2,0)</f>
        <v>EAR</v>
      </c>
      <c r="D392" s="3"/>
    </row>
    <row r="393" spans="1:4" x14ac:dyDescent="0.25">
      <c r="A393" s="2" t="s">
        <v>939</v>
      </c>
      <c r="B393" s="2" t="s">
        <v>53</v>
      </c>
      <c r="C393" s="2" t="str">
        <f>VLOOKUP(irregulares[[#This Row],[Similar a]],padroes[],2,0)</f>
        <v>EAR</v>
      </c>
      <c r="D393" s="3"/>
    </row>
    <row r="394" spans="1:4" x14ac:dyDescent="0.25">
      <c r="A394" s="2" t="s">
        <v>940</v>
      </c>
      <c r="B394" s="2" t="s">
        <v>42</v>
      </c>
      <c r="C394" s="2" t="str">
        <f>VLOOKUP(irregulares[[#This Row],[Similar a]],padroes[],2,0)</f>
        <v>ÇAR</v>
      </c>
      <c r="D394" s="3"/>
    </row>
    <row r="395" spans="1:4" x14ac:dyDescent="0.25">
      <c r="A395" s="2" t="s">
        <v>941</v>
      </c>
      <c r="B395" s="2" t="s">
        <v>42</v>
      </c>
      <c r="C395" s="2" t="str">
        <f>VLOOKUP(irregulares[[#This Row],[Similar a]],padroes[],2,0)</f>
        <v>ÇAR</v>
      </c>
      <c r="D395" s="3"/>
    </row>
    <row r="396" spans="1:4" x14ac:dyDescent="0.25">
      <c r="A396" s="2" t="s">
        <v>942</v>
      </c>
      <c r="B396" s="2" t="s">
        <v>74</v>
      </c>
      <c r="C396" s="2" t="str">
        <f>VLOOKUP(irregulares[[#This Row],[Similar a]],padroes[],2,0)</f>
        <v>GAR</v>
      </c>
      <c r="D396" s="3"/>
    </row>
    <row r="397" spans="1:4" x14ac:dyDescent="0.25">
      <c r="A397" s="2" t="s">
        <v>943</v>
      </c>
      <c r="B397" s="2" t="s">
        <v>943</v>
      </c>
      <c r="C397" s="2" t="str">
        <f>VLOOKUP(irregulares[[#This Row],[Similar a]],padroes[],2,0)</f>
        <v>Í-X-AR</v>
      </c>
      <c r="D397" s="3"/>
    </row>
    <row r="398" spans="1:4" x14ac:dyDescent="0.25">
      <c r="A398" s="2" t="s">
        <v>944</v>
      </c>
      <c r="B398" s="2" t="s">
        <v>49</v>
      </c>
      <c r="C398" s="2" t="str">
        <f>VLOOKUP(irregulares[[#This Row],[Similar a]],padroes[],2,0)</f>
        <v>OAR</v>
      </c>
      <c r="D398" s="3"/>
    </row>
    <row r="399" spans="1:4" x14ac:dyDescent="0.25">
      <c r="A399" s="2" t="s">
        <v>945</v>
      </c>
      <c r="B399" s="2" t="s">
        <v>49</v>
      </c>
      <c r="C399" s="2" t="str">
        <f>VLOOKUP(irregulares[[#This Row],[Similar a]],padroes[],2,0)</f>
        <v>OAR</v>
      </c>
      <c r="D399" s="3"/>
    </row>
    <row r="400" spans="1:4" x14ac:dyDescent="0.25">
      <c r="A400" s="2" t="s">
        <v>946</v>
      </c>
      <c r="B400" s="2" t="s">
        <v>55</v>
      </c>
      <c r="C400" s="2" t="str">
        <f>VLOOKUP(irregulares[[#This Row],[Similar a]],padroes[],2,0)</f>
        <v>EJAR ô</v>
      </c>
      <c r="D400" s="3"/>
    </row>
    <row r="401" spans="1:4" x14ac:dyDescent="0.25">
      <c r="A401" s="2" t="s">
        <v>947</v>
      </c>
      <c r="B401" s="2" t="s">
        <v>53</v>
      </c>
      <c r="C401" s="2" t="str">
        <f>VLOOKUP(irregulares[[#This Row],[Similar a]],padroes[],2,0)</f>
        <v>EAR</v>
      </c>
      <c r="D401" s="3"/>
    </row>
    <row r="402" spans="1:4" x14ac:dyDescent="0.25">
      <c r="A402" s="2" t="s">
        <v>948</v>
      </c>
      <c r="B402" s="2" t="s">
        <v>53</v>
      </c>
      <c r="C402" s="2" t="str">
        <f>VLOOKUP(irregulares[[#This Row],[Similar a]],padroes[],2,0)</f>
        <v>EAR</v>
      </c>
      <c r="D402" s="3"/>
    </row>
    <row r="403" spans="1:4" x14ac:dyDescent="0.25">
      <c r="A403" s="2" t="s">
        <v>949</v>
      </c>
      <c r="B403" s="2" t="s">
        <v>55</v>
      </c>
      <c r="C403" s="2" t="str">
        <f>VLOOKUP(irregulares[[#This Row],[Similar a]],padroes[],2,0)</f>
        <v>EJAR ô</v>
      </c>
      <c r="D403" s="3"/>
    </row>
    <row r="404" spans="1:4" x14ac:dyDescent="0.25">
      <c r="A404" s="2" t="s">
        <v>950</v>
      </c>
      <c r="B404" s="2" t="s">
        <v>950</v>
      </c>
      <c r="C404" s="2" t="str">
        <f>VLOOKUP(irregulares[[#This Row],[Similar a]],padroes[],2,0)</f>
        <v>E-X-IR</v>
      </c>
      <c r="D404" s="3"/>
    </row>
    <row r="405" spans="1:4" x14ac:dyDescent="0.25">
      <c r="A405" s="2" t="s">
        <v>951</v>
      </c>
      <c r="B405" s="2" t="s">
        <v>55</v>
      </c>
      <c r="C405" s="2" t="str">
        <f>VLOOKUP(irregulares[[#This Row],[Similar a]],padroes[],2,0)</f>
        <v>EJAR ô</v>
      </c>
      <c r="D405" s="3"/>
    </row>
    <row r="406" spans="1:4" x14ac:dyDescent="0.25">
      <c r="A406" s="2" t="s">
        <v>952</v>
      </c>
      <c r="B406" s="2" t="s">
        <v>44</v>
      </c>
      <c r="C406" s="2" t="str">
        <f>VLOOKUP(irregulares[[#This Row],[Similar a]],padroes[],2,0)</f>
        <v>CAR</v>
      </c>
      <c r="D406" s="3"/>
    </row>
    <row r="407" spans="1:4" x14ac:dyDescent="0.25">
      <c r="A407" s="2" t="s">
        <v>953</v>
      </c>
      <c r="B407" s="2" t="s">
        <v>53</v>
      </c>
      <c r="C407" s="2" t="str">
        <f>VLOOKUP(irregulares[[#This Row],[Similar a]],padroes[],2,0)</f>
        <v>EAR</v>
      </c>
      <c r="D407" s="3"/>
    </row>
    <row r="408" spans="1:4" x14ac:dyDescent="0.25">
      <c r="A408" s="2" t="s">
        <v>954</v>
      </c>
      <c r="B408" s="2" t="s">
        <v>53</v>
      </c>
      <c r="C408" s="2" t="str">
        <f>VLOOKUP(irregulares[[#This Row],[Similar a]],padroes[],2,0)</f>
        <v>EAR</v>
      </c>
      <c r="D408" s="3"/>
    </row>
    <row r="409" spans="1:4" x14ac:dyDescent="0.25">
      <c r="A409" s="2" t="s">
        <v>955</v>
      </c>
      <c r="B409" s="2" t="s">
        <v>157</v>
      </c>
      <c r="C409" s="2" t="str">
        <f>VLOOKUP(irregulares[[#This Row],[Similar a]],padroes[],2,0)</f>
        <v>ELHAR</v>
      </c>
      <c r="D409" s="3"/>
    </row>
    <row r="410" spans="1:4" x14ac:dyDescent="0.25">
      <c r="A410" s="2" t="s">
        <v>956</v>
      </c>
      <c r="B410" s="2" t="s">
        <v>53</v>
      </c>
      <c r="C410" s="2" t="str">
        <f>VLOOKUP(irregulares[[#This Row],[Similar a]],padroes[],2,0)</f>
        <v>EAR</v>
      </c>
      <c r="D410" s="3"/>
    </row>
    <row r="411" spans="1:4" x14ac:dyDescent="0.25">
      <c r="A411" s="2" t="s">
        <v>957</v>
      </c>
      <c r="B411" s="2" t="s">
        <v>958</v>
      </c>
      <c r="C411" s="2" t="str">
        <f>VLOOKUP(irregulares[[#This Row],[Similar a]],padroes[],2,0)</f>
        <v>SENTIR</v>
      </c>
      <c r="D411" s="3"/>
    </row>
    <row r="412" spans="1:4" x14ac:dyDescent="0.25">
      <c r="A412" s="2" t="s">
        <v>959</v>
      </c>
      <c r="B412" s="2" t="s">
        <v>183</v>
      </c>
      <c r="C412" s="2" t="str">
        <f>VLOOKUP(irregulares[[#This Row],[Similar a]],padroes[],2,0)</f>
        <v>E-X-IR</v>
      </c>
      <c r="D412" s="3"/>
    </row>
    <row r="413" spans="1:4" x14ac:dyDescent="0.25">
      <c r="A413" s="2" t="s">
        <v>960</v>
      </c>
      <c r="B413" s="2" t="s">
        <v>49</v>
      </c>
      <c r="C413" s="2" t="str">
        <f>VLOOKUP(irregulares[[#This Row],[Similar a]],padroes[],2,0)</f>
        <v>OAR</v>
      </c>
      <c r="D413" s="3"/>
    </row>
    <row r="414" spans="1:4" x14ac:dyDescent="0.25">
      <c r="A414" s="2" t="s">
        <v>961</v>
      </c>
      <c r="B414" s="2" t="s">
        <v>53</v>
      </c>
      <c r="C414" s="2" t="str">
        <f>VLOOKUP(irregulares[[#This Row],[Similar a]],padroes[],2,0)</f>
        <v>EAR</v>
      </c>
      <c r="D414" s="3"/>
    </row>
    <row r="415" spans="1:4" x14ac:dyDescent="0.25">
      <c r="A415" s="2" t="s">
        <v>962</v>
      </c>
      <c r="B415" s="2" t="s">
        <v>49</v>
      </c>
      <c r="C415" s="2" t="str">
        <f>VLOOKUP(irregulares[[#This Row],[Similar a]],padroes[],2,0)</f>
        <v>OAR</v>
      </c>
      <c r="D415" s="3"/>
    </row>
    <row r="416" spans="1:4" x14ac:dyDescent="0.25">
      <c r="A416" s="2" t="s">
        <v>963</v>
      </c>
      <c r="B416" s="2" t="s">
        <v>53</v>
      </c>
      <c r="C416" s="2" t="str">
        <f>VLOOKUP(irregulares[[#This Row],[Similar a]],padroes[],2,0)</f>
        <v>EAR</v>
      </c>
      <c r="D416" s="3"/>
    </row>
    <row r="417" spans="1:4" x14ac:dyDescent="0.25">
      <c r="A417" s="2" t="s">
        <v>964</v>
      </c>
      <c r="B417" s="2" t="s">
        <v>53</v>
      </c>
      <c r="C417" s="2" t="str">
        <f>VLOOKUP(irregulares[[#This Row],[Similar a]],padroes[],2,0)</f>
        <v>EAR</v>
      </c>
      <c r="D417" s="3"/>
    </row>
    <row r="418" spans="1:4" x14ac:dyDescent="0.25">
      <c r="A418" s="2" t="s">
        <v>965</v>
      </c>
      <c r="B418" s="2" t="s">
        <v>53</v>
      </c>
      <c r="C418" s="2" t="str">
        <f>VLOOKUP(irregulares[[#This Row],[Similar a]],padroes[],2,0)</f>
        <v>EAR</v>
      </c>
      <c r="D418" s="3"/>
    </row>
    <row r="419" spans="1:4" x14ac:dyDescent="0.25">
      <c r="A419" s="2" t="s">
        <v>966</v>
      </c>
      <c r="B419" s="2" t="s">
        <v>60</v>
      </c>
      <c r="C419" s="2" t="str">
        <f>VLOOKUP(irregulares[[#This Row],[Similar a]],padroes[],2,0)</f>
        <v>GAR</v>
      </c>
      <c r="D419" s="3"/>
    </row>
    <row r="420" spans="1:4" x14ac:dyDescent="0.25">
      <c r="A420" s="2" t="s">
        <v>967</v>
      </c>
      <c r="B420" s="2" t="s">
        <v>44</v>
      </c>
      <c r="C420" s="2" t="str">
        <f>VLOOKUP(irregulares[[#This Row],[Similar a]],padroes[],2,0)</f>
        <v>CAR</v>
      </c>
      <c r="D420" s="3"/>
    </row>
    <row r="421" spans="1:4" x14ac:dyDescent="0.25">
      <c r="A421" s="2" t="s">
        <v>968</v>
      </c>
      <c r="B421" s="2" t="s">
        <v>74</v>
      </c>
      <c r="C421" s="2" t="str">
        <f>VLOOKUP(irregulares[[#This Row],[Similar a]],padroes[],2,0)</f>
        <v>GAR</v>
      </c>
      <c r="D421" s="3"/>
    </row>
    <row r="422" spans="1:4" x14ac:dyDescent="0.25">
      <c r="A422" s="2" t="s">
        <v>969</v>
      </c>
      <c r="B422" s="2" t="s">
        <v>154</v>
      </c>
      <c r="C422" s="2" t="str">
        <f>VLOOKUP(irregulares[[#This Row],[Similar a]],padroes[],2,0)</f>
        <v>GIR</v>
      </c>
      <c r="D422" s="3"/>
    </row>
    <row r="423" spans="1:4" x14ac:dyDescent="0.25">
      <c r="A423" s="2" t="s">
        <v>970</v>
      </c>
      <c r="B423" s="2" t="s">
        <v>49</v>
      </c>
      <c r="C423" s="2" t="str">
        <f>VLOOKUP(irregulares[[#This Row],[Similar a]],padroes[],2,0)</f>
        <v>OAR</v>
      </c>
      <c r="D423" s="3"/>
    </row>
    <row r="424" spans="1:4" x14ac:dyDescent="0.25">
      <c r="A424" s="2" t="s">
        <v>971</v>
      </c>
      <c r="B424" s="2" t="s">
        <v>44</v>
      </c>
      <c r="C424" s="2" t="str">
        <f>VLOOKUP(irregulares[[#This Row],[Similar a]],padroes[],2,0)</f>
        <v>CAR</v>
      </c>
      <c r="D424" s="3"/>
    </row>
    <row r="425" spans="1:4" x14ac:dyDescent="0.25">
      <c r="A425" s="2" t="s">
        <v>972</v>
      </c>
      <c r="B425" s="2" t="s">
        <v>49</v>
      </c>
      <c r="C425" s="2" t="str">
        <f>VLOOKUP(irregulares[[#This Row],[Similar a]],padroes[],2,0)</f>
        <v>OAR</v>
      </c>
      <c r="D425" s="3"/>
    </row>
    <row r="426" spans="1:4" x14ac:dyDescent="0.25">
      <c r="A426" s="2" t="s">
        <v>973</v>
      </c>
      <c r="B426" s="2" t="s">
        <v>44</v>
      </c>
      <c r="C426" s="2" t="str">
        <f>VLOOKUP(irregulares[[#This Row],[Similar a]],padroes[],2,0)</f>
        <v>CAR</v>
      </c>
      <c r="D426" s="3"/>
    </row>
    <row r="427" spans="1:4" x14ac:dyDescent="0.25">
      <c r="A427" s="2" t="s">
        <v>974</v>
      </c>
      <c r="B427" s="2" t="s">
        <v>44</v>
      </c>
      <c r="C427" s="2" t="str">
        <f>VLOOKUP(irregulares[[#This Row],[Similar a]],padroes[],2,0)</f>
        <v>CAR</v>
      </c>
      <c r="D427" s="3"/>
    </row>
    <row r="428" spans="1:4" x14ac:dyDescent="0.25">
      <c r="A428" s="2" t="s">
        <v>975</v>
      </c>
      <c r="B428" s="2" t="s">
        <v>44</v>
      </c>
      <c r="C428" s="2" t="str">
        <f>VLOOKUP(irregulares[[#This Row],[Similar a]],padroes[],2,0)</f>
        <v>CAR</v>
      </c>
      <c r="D428" s="3"/>
    </row>
    <row r="429" spans="1:4" x14ac:dyDescent="0.25">
      <c r="A429" s="2" t="s">
        <v>976</v>
      </c>
      <c r="B429" s="2" t="s">
        <v>44</v>
      </c>
      <c r="C429" s="2" t="str">
        <f>VLOOKUP(irregulares[[#This Row],[Similar a]],padroes[],2,0)</f>
        <v>CAR</v>
      </c>
      <c r="D429" s="3"/>
    </row>
    <row r="430" spans="1:4" x14ac:dyDescent="0.25">
      <c r="A430" s="2" t="s">
        <v>361</v>
      </c>
      <c r="B430" s="2" t="s">
        <v>53</v>
      </c>
      <c r="C430" s="2" t="str">
        <f>VLOOKUP(irregulares[[#This Row],[Similar a]],padroes[],2,0)</f>
        <v>EAR</v>
      </c>
      <c r="D430" s="3"/>
    </row>
    <row r="431" spans="1:4" x14ac:dyDescent="0.25">
      <c r="A431" s="2" t="s">
        <v>977</v>
      </c>
      <c r="B431" s="2" t="s">
        <v>157</v>
      </c>
      <c r="C431" s="2" t="str">
        <f>VLOOKUP(irregulares[[#This Row],[Similar a]],padroes[],2,0)</f>
        <v>ELHAR</v>
      </c>
      <c r="D431" s="3"/>
    </row>
    <row r="432" spans="1:4" x14ac:dyDescent="0.25">
      <c r="A432" s="2" t="s">
        <v>978</v>
      </c>
      <c r="B432" s="2" t="s">
        <v>44</v>
      </c>
      <c r="C432" s="2" t="str">
        <f>VLOOKUP(irregulares[[#This Row],[Similar a]],padroes[],2,0)</f>
        <v>CAR</v>
      </c>
      <c r="D432" s="3"/>
    </row>
    <row r="433" spans="1:4" x14ac:dyDescent="0.25">
      <c r="A433" s="2" t="s">
        <v>979</v>
      </c>
      <c r="B433" s="2" t="s">
        <v>42</v>
      </c>
      <c r="C433" s="2" t="str">
        <f>VLOOKUP(irregulares[[#This Row],[Similar a]],padroes[],2,0)</f>
        <v>ÇAR</v>
      </c>
      <c r="D433" s="3"/>
    </row>
    <row r="434" spans="1:4" x14ac:dyDescent="0.25">
      <c r="A434" s="2" t="s">
        <v>980</v>
      </c>
      <c r="B434" s="2" t="s">
        <v>49</v>
      </c>
      <c r="C434" s="2" t="str">
        <f>VLOOKUP(irregulares[[#This Row],[Similar a]],padroes[],2,0)</f>
        <v>OAR</v>
      </c>
      <c r="D434" s="3"/>
    </row>
    <row r="435" spans="1:4" x14ac:dyDescent="0.25">
      <c r="A435" s="2" t="s">
        <v>981</v>
      </c>
      <c r="B435" s="2" t="s">
        <v>154</v>
      </c>
      <c r="C435" s="2" t="str">
        <f>VLOOKUP(irregulares[[#This Row],[Similar a]],padroes[],2,0)</f>
        <v>GIR</v>
      </c>
      <c r="D435" s="3"/>
    </row>
    <row r="436" spans="1:4" x14ac:dyDescent="0.25">
      <c r="A436" s="2" t="s">
        <v>982</v>
      </c>
      <c r="B436" s="2" t="s">
        <v>49</v>
      </c>
      <c r="C436" s="2" t="str">
        <f>VLOOKUP(irregulares[[#This Row],[Similar a]],padroes[],2,0)</f>
        <v>OAR</v>
      </c>
      <c r="D436" s="3"/>
    </row>
    <row r="437" spans="1:4" x14ac:dyDescent="0.25">
      <c r="A437" s="2" t="s">
        <v>983</v>
      </c>
      <c r="B437" s="2" t="s">
        <v>49</v>
      </c>
      <c r="C437" s="2" t="str">
        <f>VLOOKUP(irregulares[[#This Row],[Similar a]],padroes[],2,0)</f>
        <v>OAR</v>
      </c>
      <c r="D437" s="3"/>
    </row>
    <row r="438" spans="1:4" x14ac:dyDescent="0.25">
      <c r="A438" s="2" t="s">
        <v>984</v>
      </c>
      <c r="B438" s="2" t="s">
        <v>44</v>
      </c>
      <c r="C438" s="2" t="str">
        <f>VLOOKUP(irregulares[[#This Row],[Similar a]],padroes[],2,0)</f>
        <v>CAR</v>
      </c>
      <c r="D438" s="3"/>
    </row>
    <row r="439" spans="1:4" x14ac:dyDescent="0.25">
      <c r="A439" s="2" t="s">
        <v>985</v>
      </c>
      <c r="B439" s="2" t="s">
        <v>44</v>
      </c>
      <c r="C439" s="2" t="str">
        <f>VLOOKUP(irregulares[[#This Row],[Similar a]],padroes[],2,0)</f>
        <v>CAR</v>
      </c>
      <c r="D439" s="3"/>
    </row>
    <row r="440" spans="1:4" x14ac:dyDescent="0.25">
      <c r="A440" s="2" t="s">
        <v>1261</v>
      </c>
      <c r="B440" s="2" t="s">
        <v>60</v>
      </c>
      <c r="C440" s="2" t="str">
        <f>VLOOKUP(irregulares[[#This Row],[Similar a]],padroes[],2,0)</f>
        <v>GAR</v>
      </c>
      <c r="D440" s="3"/>
    </row>
    <row r="441" spans="1:4" x14ac:dyDescent="0.25">
      <c r="A441" s="2" t="s">
        <v>986</v>
      </c>
      <c r="B441" s="2" t="s">
        <v>49</v>
      </c>
      <c r="C441" s="2" t="str">
        <f>VLOOKUP(irregulares[[#This Row],[Similar a]],padroes[],2,0)</f>
        <v>OAR</v>
      </c>
      <c r="D441" s="3"/>
    </row>
    <row r="442" spans="1:4" x14ac:dyDescent="0.25">
      <c r="A442" s="2" t="s">
        <v>987</v>
      </c>
      <c r="B442" s="2" t="s">
        <v>988</v>
      </c>
      <c r="C442" s="2" t="str">
        <f>VLOOKUP(irregulares[[#This Row],[Similar a]],padroes[],2,0)</f>
        <v>AIR</v>
      </c>
      <c r="D442" s="3"/>
    </row>
    <row r="443" spans="1:4" x14ac:dyDescent="0.25">
      <c r="A443" s="2" t="s">
        <v>989</v>
      </c>
      <c r="B443" s="2" t="s">
        <v>44</v>
      </c>
      <c r="C443" s="2" t="str">
        <f>VLOOKUP(irregulares[[#This Row],[Similar a]],padroes[],2,0)</f>
        <v>CAR</v>
      </c>
      <c r="D443" s="3"/>
    </row>
    <row r="444" spans="1:4" x14ac:dyDescent="0.25">
      <c r="A444" s="2" t="s">
        <v>990</v>
      </c>
      <c r="B444" s="2" t="s">
        <v>44</v>
      </c>
      <c r="C444" s="2" t="str">
        <f>VLOOKUP(irregulares[[#This Row],[Similar a]],padroes[],2,0)</f>
        <v>CAR</v>
      </c>
      <c r="D444" s="3"/>
    </row>
    <row r="445" spans="1:4" x14ac:dyDescent="0.25">
      <c r="A445" s="2" t="s">
        <v>1071</v>
      </c>
      <c r="B445" s="2" t="s">
        <v>44</v>
      </c>
      <c r="C445" s="2" t="str">
        <f>VLOOKUP(irregulares[[#This Row],[Similar a]],padroes[],2,0)</f>
        <v>CAR</v>
      </c>
      <c r="D445" s="3"/>
    </row>
    <row r="446" spans="1:4" x14ac:dyDescent="0.25">
      <c r="A446" s="2" t="s">
        <v>991</v>
      </c>
      <c r="B446" s="2" t="s">
        <v>434</v>
      </c>
      <c r="C446" s="2" t="str">
        <f>VLOOKUP(irregulares[[#This Row],[Similar a]],padroes[],2,0)</f>
        <v>GUAR</v>
      </c>
      <c r="D446" s="3"/>
    </row>
    <row r="447" spans="1:4" x14ac:dyDescent="0.25">
      <c r="A447" s="2" t="s">
        <v>82</v>
      </c>
      <c r="B447" s="2" t="s">
        <v>82</v>
      </c>
      <c r="C447" s="2" t="str">
        <f>VLOOKUP(irregulares[[#This Row],[Similar a]],padroes[],2,0)</f>
        <v>UIR</v>
      </c>
      <c r="D447" s="3"/>
    </row>
    <row r="448" spans="1:4" x14ac:dyDescent="0.25">
      <c r="A448" s="2" t="s">
        <v>992</v>
      </c>
      <c r="B448" s="2" t="s">
        <v>49</v>
      </c>
      <c r="C448" s="2" t="str">
        <f>VLOOKUP(irregulares[[#This Row],[Similar a]],padroes[],2,0)</f>
        <v>OAR</v>
      </c>
      <c r="D448" s="3"/>
    </row>
    <row r="449" spans="1:4" x14ac:dyDescent="0.25">
      <c r="A449" s="2" t="s">
        <v>993</v>
      </c>
      <c r="B449" s="2" t="s">
        <v>49</v>
      </c>
      <c r="C449" s="2" t="str">
        <f>VLOOKUP(irregulares[[#This Row],[Similar a]],padroes[],2,0)</f>
        <v>OAR</v>
      </c>
      <c r="D449" s="3"/>
    </row>
    <row r="450" spans="1:4" x14ac:dyDescent="0.25">
      <c r="A450" s="2" t="s">
        <v>994</v>
      </c>
      <c r="B450" s="2" t="s">
        <v>183</v>
      </c>
      <c r="C450" s="2" t="str">
        <f>VLOOKUP(irregulares[[#This Row],[Similar a]],padroes[],2,0)</f>
        <v>E-X-IR</v>
      </c>
      <c r="D450" s="3"/>
    </row>
    <row r="451" spans="1:4" x14ac:dyDescent="0.25">
      <c r="A451" s="2" t="s">
        <v>995</v>
      </c>
      <c r="B451" s="2" t="s">
        <v>995</v>
      </c>
      <c r="C451" s="2" t="str">
        <f>VLOOKUP(irregulares[[#This Row],[Similar a]],padroes[],2,0)</f>
        <v>Ú-X-AR</v>
      </c>
      <c r="D451" s="3"/>
    </row>
    <row r="452" spans="1:4" x14ac:dyDescent="0.25">
      <c r="A452" s="2" t="s">
        <v>996</v>
      </c>
      <c r="B452" s="2" t="s">
        <v>1887</v>
      </c>
      <c r="C452" s="2" t="str">
        <f>VLOOKUP(irregulares[[#This Row],[Similar a]],padroes[],2,0)</f>
        <v>UZIR</v>
      </c>
      <c r="D452" s="3"/>
    </row>
    <row r="453" spans="1:4" x14ac:dyDescent="0.25">
      <c r="A453" s="2" t="s">
        <v>997</v>
      </c>
      <c r="B453" s="2" t="s">
        <v>63</v>
      </c>
      <c r="C453" s="2" t="str">
        <f>VLOOKUP(irregulares[[#This Row],[Similar a]],padroes[],2,0)</f>
        <v>CER</v>
      </c>
      <c r="D453" s="3"/>
    </row>
    <row r="454" spans="1:4" x14ac:dyDescent="0.25">
      <c r="A454" s="2" t="s">
        <v>998</v>
      </c>
      <c r="B454" s="2" t="s">
        <v>44</v>
      </c>
      <c r="C454" s="2" t="str">
        <f>VLOOKUP(irregulares[[#This Row],[Similar a]],padroes[],2,0)</f>
        <v>CAR</v>
      </c>
      <c r="D454" s="3"/>
    </row>
    <row r="455" spans="1:4" x14ac:dyDescent="0.25">
      <c r="A455" s="2" t="s">
        <v>1262</v>
      </c>
      <c r="B455" s="2" t="s">
        <v>49</v>
      </c>
      <c r="C455" s="2" t="str">
        <f>VLOOKUP(irregulares[[#This Row],[Similar a]],padroes[],2,0)</f>
        <v>OAR</v>
      </c>
      <c r="D455" s="3"/>
    </row>
    <row r="456" spans="1:4" x14ac:dyDescent="0.25">
      <c r="A456" s="2" t="s">
        <v>999</v>
      </c>
      <c r="B456" s="2" t="s">
        <v>42</v>
      </c>
      <c r="C456" s="2" t="str">
        <f>VLOOKUP(irregulares[[#This Row],[Similar a]],padroes[],2,0)</f>
        <v>ÇAR</v>
      </c>
      <c r="D456" s="3"/>
    </row>
    <row r="457" spans="1:4" x14ac:dyDescent="0.25">
      <c r="A457" s="2" t="s">
        <v>1263</v>
      </c>
      <c r="B457" s="2" t="s">
        <v>42</v>
      </c>
      <c r="C457" s="2" t="str">
        <f>VLOOKUP(irregulares[[#This Row],[Similar a]],padroes[],2,0)</f>
        <v>ÇAR</v>
      </c>
      <c r="D457" s="3"/>
    </row>
    <row r="458" spans="1:4" x14ac:dyDescent="0.25">
      <c r="A458" s="2" t="s">
        <v>1000</v>
      </c>
      <c r="B458" s="2" t="s">
        <v>74</v>
      </c>
      <c r="C458" s="2" t="str">
        <f>VLOOKUP(irregulares[[#This Row],[Similar a]],padroes[],2,0)</f>
        <v>GAR</v>
      </c>
      <c r="D458" s="3"/>
    </row>
    <row r="459" spans="1:4" x14ac:dyDescent="0.25">
      <c r="A459" s="2" t="s">
        <v>1001</v>
      </c>
      <c r="B459" s="2" t="s">
        <v>49</v>
      </c>
      <c r="C459" s="2" t="str">
        <f>VLOOKUP(irregulares[[#This Row],[Similar a]],padroes[],2,0)</f>
        <v>OAR</v>
      </c>
      <c r="D459" s="3"/>
    </row>
    <row r="460" spans="1:4" x14ac:dyDescent="0.25">
      <c r="A460" s="2" t="s">
        <v>434</v>
      </c>
      <c r="B460" s="2" t="s">
        <v>434</v>
      </c>
      <c r="C460" s="2" t="str">
        <f>VLOOKUP(irregulares[[#This Row],[Similar a]],padroes[],2,0)</f>
        <v>GUAR</v>
      </c>
      <c r="D460" s="3"/>
    </row>
    <row r="461" spans="1:4" x14ac:dyDescent="0.25">
      <c r="A461" s="2" t="s">
        <v>1002</v>
      </c>
      <c r="B461" s="2" t="s">
        <v>351</v>
      </c>
      <c r="C461" s="2" t="str">
        <f>VLOOKUP(irregulares[[#This Row],[Similar a]],padroes[],2,0)</f>
        <v>ÇAR</v>
      </c>
      <c r="D461" s="3"/>
    </row>
    <row r="462" spans="1:4" x14ac:dyDescent="0.25">
      <c r="A462" s="2" t="s">
        <v>1003</v>
      </c>
      <c r="B462" s="2" t="s">
        <v>1122</v>
      </c>
      <c r="C462" s="2" t="str">
        <f>VLOOKUP(irregulares[[#This Row],[Similar a]],padroes[],2,0)</f>
        <v>ECHAR ê</v>
      </c>
      <c r="D462" s="3"/>
    </row>
    <row r="463" spans="1:4" x14ac:dyDescent="0.25">
      <c r="A463" s="2" t="s">
        <v>1004</v>
      </c>
      <c r="B463" s="2" t="s">
        <v>44</v>
      </c>
      <c r="C463" s="2" t="str">
        <f>VLOOKUP(irregulares[[#This Row],[Similar a]],padroes[],2,0)</f>
        <v>CAR</v>
      </c>
      <c r="D463" s="3"/>
    </row>
    <row r="464" spans="1:4" x14ac:dyDescent="0.25">
      <c r="A464" s="2" t="s">
        <v>1005</v>
      </c>
      <c r="B464" s="2" t="s">
        <v>247</v>
      </c>
      <c r="C464" s="2" t="str">
        <f>VLOOKUP(irregulares[[#This Row],[Similar a]],padroes[],2,0)</f>
        <v>VIR</v>
      </c>
      <c r="D464" s="3"/>
    </row>
    <row r="465" spans="1:4" x14ac:dyDescent="0.25">
      <c r="A465" s="2" t="s">
        <v>1006</v>
      </c>
      <c r="B465" s="2" t="s">
        <v>42</v>
      </c>
      <c r="C465" s="2" t="str">
        <f>VLOOKUP(irregulares[[#This Row],[Similar a]],padroes[],2,0)</f>
        <v>ÇAR</v>
      </c>
      <c r="D465" s="3"/>
    </row>
    <row r="466" spans="1:4" x14ac:dyDescent="0.25">
      <c r="A466" s="2" t="s">
        <v>1007</v>
      </c>
      <c r="B466" s="2" t="s">
        <v>49</v>
      </c>
      <c r="C466" s="2" t="str">
        <f>VLOOKUP(irregulares[[#This Row],[Similar a]],padroes[],2,0)</f>
        <v>OAR</v>
      </c>
      <c r="D466" s="3"/>
    </row>
    <row r="467" spans="1:4" x14ac:dyDescent="0.25">
      <c r="A467" s="2" t="s">
        <v>1008</v>
      </c>
      <c r="B467" s="2" t="s">
        <v>44</v>
      </c>
      <c r="C467" s="2" t="str">
        <f>VLOOKUP(irregulares[[#This Row],[Similar a]],padroes[],2,0)</f>
        <v>CAR</v>
      </c>
      <c r="D467" s="3"/>
    </row>
    <row r="468" spans="1:4" x14ac:dyDescent="0.25">
      <c r="A468" s="2" t="s">
        <v>1009</v>
      </c>
      <c r="B468" s="2" t="s">
        <v>55</v>
      </c>
      <c r="C468" s="2" t="str">
        <f>VLOOKUP(irregulares[[#This Row],[Similar a]],padroes[],2,0)</f>
        <v>EJAR ô</v>
      </c>
      <c r="D468" s="3"/>
    </row>
    <row r="469" spans="1:4" x14ac:dyDescent="0.25">
      <c r="A469" s="2" t="s">
        <v>1010</v>
      </c>
      <c r="B469" s="2" t="s">
        <v>53</v>
      </c>
      <c r="C469" s="2" t="str">
        <f>VLOOKUP(irregulares[[#This Row],[Similar a]],padroes[],2,0)</f>
        <v>EAR</v>
      </c>
      <c r="D469" s="3"/>
    </row>
    <row r="470" spans="1:4" x14ac:dyDescent="0.25">
      <c r="A470" s="2" t="s">
        <v>1011</v>
      </c>
      <c r="B470" s="2" t="s">
        <v>44</v>
      </c>
      <c r="C470" s="2" t="str">
        <f>VLOOKUP(irregulares[[#This Row],[Similar a]],padroes[],2,0)</f>
        <v>CAR</v>
      </c>
      <c r="D470" s="3"/>
    </row>
    <row r="471" spans="1:4" x14ac:dyDescent="0.25">
      <c r="A471" s="2" t="s">
        <v>1012</v>
      </c>
      <c r="B471" s="2" t="s">
        <v>49</v>
      </c>
      <c r="C471" s="2" t="str">
        <f>VLOOKUP(irregulares[[#This Row],[Similar a]],padroes[],2,0)</f>
        <v>OAR</v>
      </c>
      <c r="D471" s="3"/>
    </row>
    <row r="472" spans="1:4" x14ac:dyDescent="0.25">
      <c r="A472" s="2" t="s">
        <v>1013</v>
      </c>
      <c r="B472" s="2" t="s">
        <v>74</v>
      </c>
      <c r="C472" s="2" t="str">
        <f>VLOOKUP(irregulares[[#This Row],[Similar a]],padroes[],2,0)</f>
        <v>GAR</v>
      </c>
      <c r="D472" s="3"/>
    </row>
    <row r="473" spans="1:4" x14ac:dyDescent="0.25">
      <c r="A473" s="2" t="s">
        <v>1014</v>
      </c>
      <c r="B473" s="2" t="s">
        <v>1014</v>
      </c>
      <c r="C473" s="2" t="str">
        <f>VLOOKUP(irregulares[[#This Row],[Similar a]],padroes[],2,0)</f>
        <v>Ú-X-AR</v>
      </c>
      <c r="D473" s="3"/>
    </row>
    <row r="474" spans="1:4" x14ac:dyDescent="0.25">
      <c r="A474" s="2" t="s">
        <v>1015</v>
      </c>
      <c r="B474" s="2" t="s">
        <v>49</v>
      </c>
      <c r="C474" s="2" t="str">
        <f>VLOOKUP(irregulares[[#This Row],[Similar a]],padroes[],2,0)</f>
        <v>OAR</v>
      </c>
      <c r="D474" s="3"/>
    </row>
    <row r="475" spans="1:4" x14ac:dyDescent="0.25">
      <c r="A475" s="2" t="s">
        <v>1016</v>
      </c>
      <c r="B475" s="2" t="s">
        <v>74</v>
      </c>
      <c r="C475" s="2" t="str">
        <f>VLOOKUP(irregulares[[#This Row],[Similar a]],padroes[],2,0)</f>
        <v>GAR</v>
      </c>
      <c r="D475" s="3"/>
    </row>
    <row r="476" spans="1:4" x14ac:dyDescent="0.25">
      <c r="A476" s="2" t="s">
        <v>1017</v>
      </c>
      <c r="B476" s="2" t="s">
        <v>74</v>
      </c>
      <c r="C476" s="2" t="str">
        <f>VLOOKUP(irregulares[[#This Row],[Similar a]],padroes[],2,0)</f>
        <v>GAR</v>
      </c>
      <c r="D476" s="3"/>
    </row>
    <row r="477" spans="1:4" x14ac:dyDescent="0.25">
      <c r="A477" s="2" t="s">
        <v>1018</v>
      </c>
      <c r="B477" s="2" t="s">
        <v>53</v>
      </c>
      <c r="C477" s="2" t="str">
        <f>VLOOKUP(irregulares[[#This Row],[Similar a]],padroes[],2,0)</f>
        <v>EAR</v>
      </c>
      <c r="D477" s="3"/>
    </row>
    <row r="478" spans="1:4" x14ac:dyDescent="0.25">
      <c r="A478" s="2" t="s">
        <v>1019</v>
      </c>
      <c r="B478" s="2" t="s">
        <v>63</v>
      </c>
      <c r="C478" s="2" t="str">
        <f>VLOOKUP(irregulares[[#This Row],[Similar a]],padroes[],2,0)</f>
        <v>CER</v>
      </c>
      <c r="D478" s="3"/>
    </row>
    <row r="479" spans="1:4" x14ac:dyDescent="0.25">
      <c r="A479" s="2" t="s">
        <v>1020</v>
      </c>
      <c r="B479" s="2" t="s">
        <v>55</v>
      </c>
      <c r="C479" s="2" t="str">
        <f>VLOOKUP(irregulares[[#This Row],[Similar a]],padroes[],2,0)</f>
        <v>EJAR ô</v>
      </c>
      <c r="D479" s="3"/>
    </row>
    <row r="480" spans="1:4" x14ac:dyDescent="0.25">
      <c r="A480" s="2" t="s">
        <v>1083</v>
      </c>
      <c r="B480" s="2" t="s">
        <v>55</v>
      </c>
      <c r="C480" s="31" t="str">
        <f>VLOOKUP(irregulares[[#This Row],[Similar a]],padroes[],2,0)</f>
        <v>EJAR ô</v>
      </c>
      <c r="D480" s="3"/>
    </row>
    <row r="481" spans="1:4" x14ac:dyDescent="0.25">
      <c r="A481" s="2" t="s">
        <v>1084</v>
      </c>
      <c r="B481" s="2" t="s">
        <v>55</v>
      </c>
      <c r="C481" s="31" t="str">
        <f>VLOOKUP(irregulares[[#This Row],[Similar a]],padroes[],2,0)</f>
        <v>EJAR ô</v>
      </c>
      <c r="D481" s="3"/>
    </row>
    <row r="482" spans="1:4" x14ac:dyDescent="0.25">
      <c r="A482" s="2" t="s">
        <v>1085</v>
      </c>
      <c r="B482" s="2" t="s">
        <v>55</v>
      </c>
      <c r="C482" s="31" t="str">
        <f>VLOOKUP(irregulares[[#This Row],[Similar a]],padroes[],2,0)</f>
        <v>EJAR ô</v>
      </c>
      <c r="D482" s="3"/>
    </row>
    <row r="483" spans="1:4" x14ac:dyDescent="0.25">
      <c r="A483" s="2" t="s">
        <v>1086</v>
      </c>
      <c r="B483" s="2" t="s">
        <v>1540</v>
      </c>
      <c r="C483" s="31" t="str">
        <f>VLOOKUP(irregulares[[#This Row],[Similar a]],padroes[],2,0)</f>
        <v>Defectivo 3</v>
      </c>
      <c r="D483" s="3"/>
    </row>
    <row r="484" spans="1:4" x14ac:dyDescent="0.25">
      <c r="A484" s="2" t="s">
        <v>1087</v>
      </c>
      <c r="B484" s="2" t="s">
        <v>53</v>
      </c>
      <c r="C484" s="31" t="str">
        <f>VLOOKUP(irregulares[[#This Row],[Similar a]],padroes[],2,0)</f>
        <v>EAR</v>
      </c>
      <c r="D484" s="3"/>
    </row>
    <row r="485" spans="1:4" x14ac:dyDescent="0.25">
      <c r="A485" s="2" t="s">
        <v>1088</v>
      </c>
      <c r="B485" s="2" t="s">
        <v>42</v>
      </c>
      <c r="C485" s="31" t="str">
        <f>VLOOKUP(irregulares[[#This Row],[Similar a]],padroes[],2,0)</f>
        <v>ÇAR</v>
      </c>
      <c r="D485" s="3"/>
    </row>
    <row r="486" spans="1:4" x14ac:dyDescent="0.25">
      <c r="A486" s="2" t="s">
        <v>1089</v>
      </c>
      <c r="B486" s="2" t="s">
        <v>53</v>
      </c>
      <c r="C486" s="31" t="str">
        <f>VLOOKUP(irregulares[[#This Row],[Similar a]],padroes[],2,0)</f>
        <v>EAR</v>
      </c>
      <c r="D486" s="3"/>
    </row>
    <row r="487" spans="1:4" x14ac:dyDescent="0.25">
      <c r="A487" s="2" t="s">
        <v>1090</v>
      </c>
      <c r="B487" s="2" t="s">
        <v>74</v>
      </c>
      <c r="C487" s="31" t="str">
        <f>VLOOKUP(irregulares[[#This Row],[Similar a]],padroes[],2,0)</f>
        <v>GAR</v>
      </c>
      <c r="D487" s="3"/>
    </row>
    <row r="488" spans="1:4" x14ac:dyDescent="0.25">
      <c r="A488" s="2" t="s">
        <v>1091</v>
      </c>
      <c r="B488" s="2" t="s">
        <v>42</v>
      </c>
      <c r="C488" s="31" t="str">
        <f>VLOOKUP(irregulares[[#This Row],[Similar a]],padroes[],2,0)</f>
        <v>ÇAR</v>
      </c>
      <c r="D488" s="3"/>
    </row>
    <row r="489" spans="1:4" x14ac:dyDescent="0.25">
      <c r="A489" s="2" t="s">
        <v>1092</v>
      </c>
      <c r="B489" s="2" t="s">
        <v>53</v>
      </c>
      <c r="C489" s="31" t="str">
        <f>VLOOKUP(irregulares[[#This Row],[Similar a]],padroes[],2,0)</f>
        <v>EAR</v>
      </c>
      <c r="D489" s="3"/>
    </row>
    <row r="490" spans="1:4" x14ac:dyDescent="0.25">
      <c r="A490" s="2" t="s">
        <v>1093</v>
      </c>
      <c r="B490" s="2" t="s">
        <v>74</v>
      </c>
      <c r="C490" s="31" t="str">
        <f>VLOOKUP(irregulares[[#This Row],[Similar a]],padroes[],2,0)</f>
        <v>GAR</v>
      </c>
      <c r="D490" s="3"/>
    </row>
    <row r="491" spans="1:4" x14ac:dyDescent="0.25">
      <c r="A491" s="2" t="s">
        <v>1094</v>
      </c>
      <c r="B491" s="2" t="s">
        <v>53</v>
      </c>
      <c r="C491" s="31" t="str">
        <f>VLOOKUP(irregulares[[#This Row],[Similar a]],padroes[],2,0)</f>
        <v>EAR</v>
      </c>
      <c r="D491" s="3"/>
    </row>
    <row r="492" spans="1:4" x14ac:dyDescent="0.25">
      <c r="A492" s="2" t="s">
        <v>1095</v>
      </c>
      <c r="B492" s="2" t="s">
        <v>1095</v>
      </c>
      <c r="C492" s="31" t="str">
        <f>VLOOKUP(irregulares[[#This Row],[Similar a]],padroes[],2,0)</f>
        <v>Ú-X-AR</v>
      </c>
      <c r="D492" s="3"/>
    </row>
    <row r="493" spans="1:4" x14ac:dyDescent="0.25">
      <c r="A493" s="2" t="s">
        <v>1096</v>
      </c>
      <c r="B493" s="2" t="s">
        <v>53</v>
      </c>
      <c r="C493" s="31" t="str">
        <f>VLOOKUP(irregulares[[#This Row],[Similar a]],padroes[],2,0)</f>
        <v>EAR</v>
      </c>
      <c r="D493" s="3"/>
    </row>
    <row r="494" spans="1:4" x14ac:dyDescent="0.25">
      <c r="A494" s="2" t="s">
        <v>1097</v>
      </c>
      <c r="B494" s="2" t="s">
        <v>49</v>
      </c>
      <c r="C494" s="31" t="str">
        <f>VLOOKUP(irregulares[[#This Row],[Similar a]],padroes[],2,0)</f>
        <v>OAR</v>
      </c>
      <c r="D494" s="3"/>
    </row>
    <row r="495" spans="1:4" x14ac:dyDescent="0.25">
      <c r="A495" s="2" t="s">
        <v>1098</v>
      </c>
      <c r="B495" s="2" t="s">
        <v>44</v>
      </c>
      <c r="C495" s="31" t="str">
        <f>VLOOKUP(irregulares[[#This Row],[Similar a]],padroes[],2,0)</f>
        <v>CAR</v>
      </c>
      <c r="D495" s="3"/>
    </row>
    <row r="496" spans="1:4" x14ac:dyDescent="0.25">
      <c r="A496" s="2" t="s">
        <v>1099</v>
      </c>
      <c r="B496" s="2" t="s">
        <v>53</v>
      </c>
      <c r="C496" s="31" t="str">
        <f>VLOOKUP(irregulares[[#This Row],[Similar a]],padroes[],2,0)</f>
        <v>EAR</v>
      </c>
      <c r="D496" s="3"/>
    </row>
    <row r="497" spans="1:4" x14ac:dyDescent="0.25">
      <c r="A497" s="2" t="s">
        <v>1100</v>
      </c>
      <c r="B497" s="2" t="s">
        <v>1717</v>
      </c>
      <c r="C497" s="31" t="str">
        <f>VLOOKUP(irregulares[[#This Row],[Similar a]],padroes[],2,0)</f>
        <v>Defectivo 1</v>
      </c>
      <c r="D497" s="3"/>
    </row>
    <row r="498" spans="1:4" x14ac:dyDescent="0.25">
      <c r="A498" s="2" t="s">
        <v>1101</v>
      </c>
      <c r="B498" s="2" t="s">
        <v>53</v>
      </c>
      <c r="C498" s="31" t="str">
        <f>VLOOKUP(irregulares[[#This Row],[Similar a]],padroes[],2,0)</f>
        <v>EAR</v>
      </c>
      <c r="D498" s="3"/>
    </row>
    <row r="499" spans="1:4" x14ac:dyDescent="0.25">
      <c r="A499" s="2" t="s">
        <v>1102</v>
      </c>
      <c r="B499" s="2" t="s">
        <v>42</v>
      </c>
      <c r="C499" s="31" t="str">
        <f>VLOOKUP(irregulares[[#This Row],[Similar a]],padroes[],2,0)</f>
        <v>ÇAR</v>
      </c>
      <c r="D499" s="3"/>
    </row>
    <row r="500" spans="1:4" x14ac:dyDescent="0.25">
      <c r="A500" s="2" t="s">
        <v>1103</v>
      </c>
      <c r="B500" s="2" t="s">
        <v>42</v>
      </c>
      <c r="C500" s="31" t="str">
        <f>VLOOKUP(irregulares[[#This Row],[Similar a]],padroes[],2,0)</f>
        <v>ÇAR</v>
      </c>
      <c r="D500" s="3"/>
    </row>
    <row r="501" spans="1:4" x14ac:dyDescent="0.25">
      <c r="A501" s="2" t="s">
        <v>1104</v>
      </c>
      <c r="B501" s="2" t="s">
        <v>49</v>
      </c>
      <c r="C501" s="31" t="str">
        <f>VLOOKUP(irregulares[[#This Row],[Similar a]],padroes[],2,0)</f>
        <v>OAR</v>
      </c>
      <c r="D501" s="3"/>
    </row>
    <row r="502" spans="1:4" x14ac:dyDescent="0.25">
      <c r="A502" s="2" t="s">
        <v>1106</v>
      </c>
      <c r="B502" s="2" t="s">
        <v>53</v>
      </c>
      <c r="C502" s="31" t="str">
        <f>VLOOKUP(irregulares[[#This Row],[Similar a]],padroes[],2,0)</f>
        <v>EAR</v>
      </c>
      <c r="D502" s="3"/>
    </row>
    <row r="503" spans="1:4" x14ac:dyDescent="0.25">
      <c r="A503" s="2" t="s">
        <v>1107</v>
      </c>
      <c r="B503" s="2" t="s">
        <v>49</v>
      </c>
      <c r="C503" s="31" t="str">
        <f>VLOOKUP(irregulares[[#This Row],[Similar a]],padroes[],2,0)</f>
        <v>OAR</v>
      </c>
      <c r="D503" s="3"/>
    </row>
    <row r="504" spans="1:4" x14ac:dyDescent="0.25">
      <c r="A504" s="2" t="s">
        <v>1105</v>
      </c>
      <c r="B504" s="2" t="s">
        <v>53</v>
      </c>
      <c r="C504" s="31" t="str">
        <f>VLOOKUP(irregulares[[#This Row],[Similar a]],padroes[],2,0)</f>
        <v>EAR</v>
      </c>
      <c r="D504" s="3"/>
    </row>
    <row r="505" spans="1:4" x14ac:dyDescent="0.25">
      <c r="A505" s="2" t="s">
        <v>1108</v>
      </c>
      <c r="B505" s="2" t="s">
        <v>44</v>
      </c>
      <c r="C505" s="31" t="str">
        <f>VLOOKUP(irregulares[[#This Row],[Similar a]],padroes[],2,0)</f>
        <v>CAR</v>
      </c>
      <c r="D505" s="3"/>
    </row>
    <row r="506" spans="1:4" x14ac:dyDescent="0.25">
      <c r="A506" s="2" t="s">
        <v>1109</v>
      </c>
      <c r="B506" s="2" t="s">
        <v>53</v>
      </c>
      <c r="C506" s="31" t="str">
        <f>VLOOKUP(irregulares[[#This Row],[Similar a]],padroes[],2,0)</f>
        <v>EAR</v>
      </c>
      <c r="D506" s="3"/>
    </row>
    <row r="507" spans="1:4" x14ac:dyDescent="0.25">
      <c r="A507" s="2" t="s">
        <v>1110</v>
      </c>
      <c r="B507" s="2" t="s">
        <v>53</v>
      </c>
      <c r="C507" s="31" t="str">
        <f>VLOOKUP(irregulares[[#This Row],[Similar a]],padroes[],2,0)</f>
        <v>EAR</v>
      </c>
      <c r="D507" s="3"/>
    </row>
    <row r="508" spans="1:4" x14ac:dyDescent="0.25">
      <c r="A508" s="2" t="s">
        <v>1111</v>
      </c>
      <c r="B508" s="2" t="s">
        <v>53</v>
      </c>
      <c r="C508" s="31" t="str">
        <f>VLOOKUP(irregulares[[#This Row],[Similar a]],padroes[],2,0)</f>
        <v>EAR</v>
      </c>
      <c r="D508" s="3"/>
    </row>
    <row r="509" spans="1:4" x14ac:dyDescent="0.25">
      <c r="A509" s="2" t="s">
        <v>1112</v>
      </c>
      <c r="B509" s="2" t="s">
        <v>55</v>
      </c>
      <c r="C509" s="31" t="str">
        <f>VLOOKUP(irregulares[[#This Row],[Similar a]],padroes[],2,0)</f>
        <v>EJAR ô</v>
      </c>
      <c r="D509" s="3"/>
    </row>
    <row r="510" spans="1:4" x14ac:dyDescent="0.25">
      <c r="A510" s="2" t="s">
        <v>1113</v>
      </c>
      <c r="B510" s="2" t="s">
        <v>53</v>
      </c>
      <c r="C510" s="31" t="str">
        <f>VLOOKUP(irregulares[[#This Row],[Similar a]],padroes[],2,0)</f>
        <v>EAR</v>
      </c>
      <c r="D510" s="3"/>
    </row>
    <row r="511" spans="1:4" x14ac:dyDescent="0.25">
      <c r="A511" s="2" t="s">
        <v>1114</v>
      </c>
      <c r="B511" s="2" t="s">
        <v>1717</v>
      </c>
      <c r="C511" s="31" t="str">
        <f>VLOOKUP(irregulares[[#This Row],[Similar a]],padroes[],2,0)</f>
        <v>Defectivo 1</v>
      </c>
      <c r="D511" s="3"/>
    </row>
    <row r="512" spans="1:4" x14ac:dyDescent="0.25">
      <c r="A512" s="2" t="s">
        <v>1115</v>
      </c>
      <c r="B512" s="2" t="s">
        <v>53</v>
      </c>
      <c r="C512" s="31" t="str">
        <f>VLOOKUP(irregulares[[#This Row],[Similar a]],padroes[],2,0)</f>
        <v>EAR</v>
      </c>
      <c r="D512" s="3"/>
    </row>
    <row r="513" spans="1:4" x14ac:dyDescent="0.25">
      <c r="A513" s="2" t="s">
        <v>1116</v>
      </c>
      <c r="B513" s="2" t="s">
        <v>53</v>
      </c>
      <c r="C513" s="31" t="str">
        <f>VLOOKUP(irregulares[[#This Row],[Similar a]],padroes[],2,0)</f>
        <v>EAR</v>
      </c>
      <c r="D513" s="3"/>
    </row>
    <row r="514" spans="1:4" x14ac:dyDescent="0.25">
      <c r="A514" s="2" t="s">
        <v>1117</v>
      </c>
      <c r="B514" s="2" t="s">
        <v>53</v>
      </c>
      <c r="C514" s="31" t="str">
        <f>VLOOKUP(irregulares[[#This Row],[Similar a]],padroes[],2,0)</f>
        <v>EAR</v>
      </c>
      <c r="D514" s="3"/>
    </row>
    <row r="515" spans="1:4" x14ac:dyDescent="0.25">
      <c r="A515" s="2" t="s">
        <v>1118</v>
      </c>
      <c r="B515" s="2" t="s">
        <v>53</v>
      </c>
      <c r="C515" s="31" t="str">
        <f>VLOOKUP(irregulares[[#This Row],[Similar a]],padroes[],2,0)</f>
        <v>EAR</v>
      </c>
      <c r="D515" s="3"/>
    </row>
    <row r="516" spans="1:4" x14ac:dyDescent="0.25">
      <c r="A516" s="2" t="s">
        <v>1119</v>
      </c>
      <c r="B516" s="2" t="s">
        <v>53</v>
      </c>
      <c r="C516" s="31" t="str">
        <f>VLOOKUP(irregulares[[#This Row],[Similar a]],padroes[],2,0)</f>
        <v>EAR</v>
      </c>
      <c r="D516" s="3"/>
    </row>
    <row r="517" spans="1:4" x14ac:dyDescent="0.25">
      <c r="A517" s="2" t="s">
        <v>1120</v>
      </c>
      <c r="B517" s="2" t="s">
        <v>53</v>
      </c>
      <c r="C517" s="31" t="str">
        <f>VLOOKUP(irregulares[[#This Row],[Similar a]],padroes[],2,0)</f>
        <v>EAR</v>
      </c>
      <c r="D517" s="3"/>
    </row>
    <row r="518" spans="1:4" x14ac:dyDescent="0.25">
      <c r="A518" s="2" t="s">
        <v>1121</v>
      </c>
      <c r="B518" s="2" t="s">
        <v>1122</v>
      </c>
      <c r="C518" s="31" t="str">
        <f>VLOOKUP(irregulares[[#This Row],[Similar a]],padroes[],2,0)</f>
        <v>ECHAR ê</v>
      </c>
      <c r="D518" s="3"/>
    </row>
    <row r="519" spans="1:4" x14ac:dyDescent="0.25">
      <c r="A519" s="2" t="s">
        <v>1123</v>
      </c>
      <c r="B519" s="2" t="s">
        <v>53</v>
      </c>
      <c r="C519" s="31" t="str">
        <f>VLOOKUP(irregulares[[#This Row],[Similar a]],padroes[],2,0)</f>
        <v>EAR</v>
      </c>
      <c r="D519" s="3"/>
    </row>
    <row r="520" spans="1:4" x14ac:dyDescent="0.25">
      <c r="A520" s="2" t="s">
        <v>1124</v>
      </c>
      <c r="B520" s="2" t="s">
        <v>53</v>
      </c>
      <c r="C520" s="31" t="str">
        <f>VLOOKUP(irregulares[[#This Row],[Similar a]],padroes[],2,0)</f>
        <v>EAR</v>
      </c>
      <c r="D520" s="3"/>
    </row>
    <row r="521" spans="1:4" x14ac:dyDescent="0.25">
      <c r="A521" s="2" t="s">
        <v>1125</v>
      </c>
      <c r="B521" s="2" t="s">
        <v>55</v>
      </c>
      <c r="C521" s="31" t="str">
        <f>VLOOKUP(irregulares[[#This Row],[Similar a]],padroes[],2,0)</f>
        <v>EJAR ô</v>
      </c>
      <c r="D521" s="3"/>
    </row>
    <row r="522" spans="1:4" x14ac:dyDescent="0.25">
      <c r="A522" s="2" t="s">
        <v>1126</v>
      </c>
      <c r="B522" s="2" t="s">
        <v>53</v>
      </c>
      <c r="C522" s="31" t="str">
        <f>VLOOKUP(irregulares[[#This Row],[Similar a]],padroes[],2,0)</f>
        <v>EAR</v>
      </c>
      <c r="D522" s="3"/>
    </row>
    <row r="523" spans="1:4" x14ac:dyDescent="0.25">
      <c r="A523" s="2" t="s">
        <v>1127</v>
      </c>
      <c r="B523" s="2" t="s">
        <v>60</v>
      </c>
      <c r="C523" s="31" t="str">
        <f>VLOOKUP(irregulares[[#This Row],[Similar a]],padroes[],2,0)</f>
        <v>GAR</v>
      </c>
      <c r="D523" s="3"/>
    </row>
    <row r="524" spans="1:4" x14ac:dyDescent="0.25">
      <c r="A524" s="2" t="s">
        <v>1129</v>
      </c>
      <c r="B524" s="2" t="s">
        <v>53</v>
      </c>
      <c r="C524" s="31" t="str">
        <f>VLOOKUP(irregulares[[#This Row],[Similar a]],padroes[],2,0)</f>
        <v>EAR</v>
      </c>
      <c r="D524" s="3"/>
    </row>
    <row r="525" spans="1:4" x14ac:dyDescent="0.25">
      <c r="A525" s="2" t="s">
        <v>1130</v>
      </c>
      <c r="B525" s="2" t="s">
        <v>44</v>
      </c>
      <c r="C525" s="31" t="str">
        <f>VLOOKUP(irregulares[[#This Row],[Similar a]],padroes[],2,0)</f>
        <v>CAR</v>
      </c>
      <c r="D525" s="3"/>
    </row>
    <row r="526" spans="1:4" x14ac:dyDescent="0.25">
      <c r="A526" s="2" t="s">
        <v>1131</v>
      </c>
      <c r="B526" s="2" t="s">
        <v>1717</v>
      </c>
      <c r="C526" s="31" t="str">
        <f>VLOOKUP(irregulares[[#This Row],[Similar a]],padroes[],2,0)</f>
        <v>Defectivo 1</v>
      </c>
      <c r="D526" s="3"/>
    </row>
    <row r="527" spans="1:4" x14ac:dyDescent="0.25">
      <c r="A527" s="2" t="s">
        <v>1132</v>
      </c>
      <c r="B527" s="2" t="s">
        <v>1377</v>
      </c>
      <c r="C527" s="31" t="str">
        <f>VLOOKUP(irregulares[[#This Row],[Similar a]],padroes[],2,0)</f>
        <v>Defectivo 3</v>
      </c>
      <c r="D527" s="3"/>
    </row>
    <row r="528" spans="1:4" x14ac:dyDescent="0.25">
      <c r="A528" s="2" t="s">
        <v>1133</v>
      </c>
      <c r="B528" s="2" t="s">
        <v>53</v>
      </c>
      <c r="C528" s="31" t="str">
        <f>VLOOKUP(irregulares[[#This Row],[Similar a]],padroes[],2,0)</f>
        <v>EAR</v>
      </c>
      <c r="D528" s="3"/>
    </row>
    <row r="529" spans="1:4" x14ac:dyDescent="0.25">
      <c r="A529" s="2" t="s">
        <v>1134</v>
      </c>
      <c r="B529" s="2" t="s">
        <v>53</v>
      </c>
      <c r="C529" s="31" t="str">
        <f>VLOOKUP(irregulares[[#This Row],[Similar a]],padroes[],2,0)</f>
        <v>EAR</v>
      </c>
      <c r="D529" s="3"/>
    </row>
    <row r="530" spans="1:4" x14ac:dyDescent="0.25">
      <c r="A530" s="2" t="s">
        <v>1135</v>
      </c>
      <c r="B530" s="2" t="s">
        <v>53</v>
      </c>
      <c r="C530" s="31" t="str">
        <f>VLOOKUP(irregulares[[#This Row],[Similar a]],padroes[],2,0)</f>
        <v>EAR</v>
      </c>
      <c r="D530" s="3"/>
    </row>
    <row r="531" spans="1:4" x14ac:dyDescent="0.25">
      <c r="A531" s="2" t="s">
        <v>1136</v>
      </c>
      <c r="B531" s="2" t="s">
        <v>53</v>
      </c>
      <c r="C531" s="31" t="str">
        <f>VLOOKUP(irregulares[[#This Row],[Similar a]],padroes[],2,0)</f>
        <v>EAR</v>
      </c>
      <c r="D531" s="3"/>
    </row>
    <row r="532" spans="1:4" x14ac:dyDescent="0.25">
      <c r="A532" s="2" t="s">
        <v>1137</v>
      </c>
      <c r="B532" s="2" t="s">
        <v>63</v>
      </c>
      <c r="C532" s="31" t="str">
        <f>VLOOKUP(irregulares[[#This Row],[Similar a]],padroes[],2,0)</f>
        <v>CER</v>
      </c>
      <c r="D532" s="3"/>
    </row>
    <row r="533" spans="1:4" x14ac:dyDescent="0.25">
      <c r="A533" s="2" t="s">
        <v>1138</v>
      </c>
      <c r="B533" s="2" t="s">
        <v>53</v>
      </c>
      <c r="C533" s="31" t="str">
        <f>VLOOKUP(irregulares[[#This Row],[Similar a]],padroes[],2,0)</f>
        <v>EAR</v>
      </c>
      <c r="D533" s="3"/>
    </row>
    <row r="534" spans="1:4" x14ac:dyDescent="0.25">
      <c r="A534" s="2" t="s">
        <v>1139</v>
      </c>
      <c r="B534" s="2" t="s">
        <v>44</v>
      </c>
      <c r="C534" s="31" t="str">
        <f>VLOOKUP(irregulares[[#This Row],[Similar a]],padroes[],2,0)</f>
        <v>CAR</v>
      </c>
      <c r="D534" s="3"/>
    </row>
    <row r="535" spans="1:4" x14ac:dyDescent="0.25">
      <c r="A535" s="2" t="s">
        <v>1140</v>
      </c>
      <c r="B535" s="2" t="s">
        <v>53</v>
      </c>
      <c r="C535" s="31" t="str">
        <f>VLOOKUP(irregulares[[#This Row],[Similar a]],padroes[],2,0)</f>
        <v>EAR</v>
      </c>
      <c r="D535" s="3"/>
    </row>
    <row r="536" spans="1:4" x14ac:dyDescent="0.25">
      <c r="A536" s="2" t="s">
        <v>1141</v>
      </c>
      <c r="B536" s="2" t="s">
        <v>44</v>
      </c>
      <c r="C536" s="31" t="str">
        <f>VLOOKUP(irregulares[[#This Row],[Similar a]],padroes[],2,0)</f>
        <v>CAR</v>
      </c>
      <c r="D536" s="3"/>
    </row>
    <row r="537" spans="1:4" x14ac:dyDescent="0.25">
      <c r="A537" s="2" t="s">
        <v>1142</v>
      </c>
      <c r="B537" s="2" t="s">
        <v>44</v>
      </c>
      <c r="C537" s="31" t="str">
        <f>VLOOKUP(irregulares[[#This Row],[Similar a]],padroes[],2,0)</f>
        <v>CAR</v>
      </c>
      <c r="D537" s="3"/>
    </row>
    <row r="538" spans="1:4" x14ac:dyDescent="0.25">
      <c r="A538" s="2" t="s">
        <v>1143</v>
      </c>
      <c r="B538" s="2" t="s">
        <v>44</v>
      </c>
      <c r="C538" s="31" t="str">
        <f>VLOOKUP(irregulares[[#This Row],[Similar a]],padroes[],2,0)</f>
        <v>CAR</v>
      </c>
      <c r="D538" s="3"/>
    </row>
    <row r="539" spans="1:4" x14ac:dyDescent="0.25">
      <c r="A539" s="2" t="s">
        <v>1144</v>
      </c>
      <c r="B539" s="2" t="s">
        <v>44</v>
      </c>
      <c r="C539" s="31" t="str">
        <f>VLOOKUP(irregulares[[#This Row],[Similar a]],padroes[],2,0)</f>
        <v>CAR</v>
      </c>
      <c r="D539" s="3"/>
    </row>
    <row r="540" spans="1:4" x14ac:dyDescent="0.25">
      <c r="A540" s="2" t="s">
        <v>1145</v>
      </c>
      <c r="B540" s="2" t="s">
        <v>53</v>
      </c>
      <c r="C540" s="31" t="str">
        <f>VLOOKUP(irregulares[[#This Row],[Similar a]],padroes[],2,0)</f>
        <v>EAR</v>
      </c>
      <c r="D540" s="3"/>
    </row>
    <row r="541" spans="1:4" x14ac:dyDescent="0.25">
      <c r="A541" s="2" t="s">
        <v>1146</v>
      </c>
      <c r="B541" s="2" t="s">
        <v>157</v>
      </c>
      <c r="C541" s="31" t="str">
        <f>VLOOKUP(irregulares[[#This Row],[Similar a]],padroes[],2,0)</f>
        <v>ELHAR</v>
      </c>
      <c r="D541" s="3"/>
    </row>
    <row r="542" spans="1:4" x14ac:dyDescent="0.25">
      <c r="A542" s="2" t="s">
        <v>1147</v>
      </c>
      <c r="B542" s="2" t="s">
        <v>44</v>
      </c>
      <c r="C542" s="31" t="str">
        <f>VLOOKUP(irregulares[[#This Row],[Similar a]],padroes[],2,0)</f>
        <v>CAR</v>
      </c>
      <c r="D542" s="3"/>
    </row>
    <row r="543" spans="1:4" x14ac:dyDescent="0.25">
      <c r="A543" s="2" t="s">
        <v>1148</v>
      </c>
      <c r="B543" s="2" t="s">
        <v>53</v>
      </c>
      <c r="C543" s="31" t="str">
        <f>VLOOKUP(irregulares[[#This Row],[Similar a]],padroes[],2,0)</f>
        <v>EAR</v>
      </c>
      <c r="D543" s="3"/>
    </row>
    <row r="544" spans="1:4" x14ac:dyDescent="0.25">
      <c r="A544" s="2" t="s">
        <v>1149</v>
      </c>
      <c r="B544" s="2" t="s">
        <v>55</v>
      </c>
      <c r="C544" s="31" t="str">
        <f>VLOOKUP(irregulares[[#This Row],[Similar a]],padroes[],2,0)</f>
        <v>EJAR ô</v>
      </c>
      <c r="D544" s="3"/>
    </row>
    <row r="545" spans="1:4" x14ac:dyDescent="0.25">
      <c r="A545" s="2" t="s">
        <v>1150</v>
      </c>
      <c r="B545" s="2" t="s">
        <v>44</v>
      </c>
      <c r="C545" s="31" t="str">
        <f>VLOOKUP(irregulares[[#This Row],[Similar a]],padroes[],2,0)</f>
        <v>CAR</v>
      </c>
      <c r="D545" s="3"/>
    </row>
    <row r="546" spans="1:4" x14ac:dyDescent="0.25">
      <c r="A546" s="2" t="s">
        <v>1151</v>
      </c>
      <c r="B546" s="2" t="s">
        <v>419</v>
      </c>
      <c r="C546" s="31" t="str">
        <f>VLOOKUP(irregulares[[#This Row],[Similar a]],padroes[],2,0)</f>
        <v>DIZER</v>
      </c>
      <c r="D546" s="3"/>
    </row>
    <row r="547" spans="1:4" x14ac:dyDescent="0.25">
      <c r="A547" s="2" t="s">
        <v>1152</v>
      </c>
      <c r="B547" s="2" t="s">
        <v>44</v>
      </c>
      <c r="C547" s="31" t="str">
        <f>VLOOKUP(irregulares[[#This Row],[Similar a]],padroes[],2,0)</f>
        <v>CAR</v>
      </c>
      <c r="D547" s="3"/>
    </row>
    <row r="548" spans="1:4" x14ac:dyDescent="0.25">
      <c r="A548" s="2" t="s">
        <v>1153</v>
      </c>
      <c r="B548" s="2" t="s">
        <v>74</v>
      </c>
      <c r="C548" s="31" t="str">
        <f>VLOOKUP(irregulares[[#This Row],[Similar a]],padroes[],2,0)</f>
        <v>GAR</v>
      </c>
      <c r="D548" s="3"/>
    </row>
    <row r="549" spans="1:4" x14ac:dyDescent="0.25">
      <c r="A549" s="2" t="s">
        <v>1154</v>
      </c>
      <c r="B549" s="2" t="s">
        <v>44</v>
      </c>
      <c r="C549" s="31" t="str">
        <f>VLOOKUP(irregulares[[#This Row],[Similar a]],padroes[],2,0)</f>
        <v>CAR</v>
      </c>
      <c r="D549" s="3"/>
    </row>
    <row r="550" spans="1:4" x14ac:dyDescent="0.25">
      <c r="A550" s="2" t="s">
        <v>1155</v>
      </c>
      <c r="B550" s="2" t="s">
        <v>44</v>
      </c>
      <c r="C550" s="31" t="str">
        <f>VLOOKUP(irregulares[[#This Row],[Similar a]],padroes[],2,0)</f>
        <v>CAR</v>
      </c>
      <c r="D550" s="3"/>
    </row>
    <row r="551" spans="1:4" x14ac:dyDescent="0.25">
      <c r="A551" s="2" t="s">
        <v>1156</v>
      </c>
      <c r="B551" s="2" t="s">
        <v>44</v>
      </c>
      <c r="C551" s="31" t="str">
        <f>VLOOKUP(irregulares[[#This Row],[Similar a]],padroes[],2,0)</f>
        <v>CAR</v>
      </c>
      <c r="D551" s="3"/>
    </row>
    <row r="552" spans="1:4" x14ac:dyDescent="0.25">
      <c r="A552" s="2" t="s">
        <v>1157</v>
      </c>
      <c r="B552" s="2" t="s">
        <v>53</v>
      </c>
      <c r="C552" s="31" t="str">
        <f>VLOOKUP(irregulares[[#This Row],[Similar a]],padroes[],2,0)</f>
        <v>EAR</v>
      </c>
      <c r="D552" s="3"/>
    </row>
    <row r="553" spans="1:4" x14ac:dyDescent="0.25">
      <c r="A553" s="2" t="s">
        <v>1158</v>
      </c>
      <c r="B553" s="2" t="s">
        <v>434</v>
      </c>
      <c r="C553" s="31" t="str">
        <f>VLOOKUP(irregulares[[#This Row],[Similar a]],padroes[],2,0)</f>
        <v>GUAR</v>
      </c>
      <c r="D553" s="3"/>
    </row>
    <row r="554" spans="1:4" x14ac:dyDescent="0.25">
      <c r="A554" s="2" t="s">
        <v>1159</v>
      </c>
      <c r="B554" s="2" t="s">
        <v>53</v>
      </c>
      <c r="C554" s="31" t="str">
        <f>VLOOKUP(irregulares[[#This Row],[Similar a]],padroes[],2,0)</f>
        <v>EAR</v>
      </c>
      <c r="D554" s="3"/>
    </row>
    <row r="555" spans="1:4" x14ac:dyDescent="0.25">
      <c r="A555" s="2" t="s">
        <v>1160</v>
      </c>
      <c r="B555" s="2" t="s">
        <v>74</v>
      </c>
      <c r="C555" s="31" t="str">
        <f>VLOOKUP(irregulares[[#This Row],[Similar a]],padroes[],2,0)</f>
        <v>GAR</v>
      </c>
      <c r="D555" s="3"/>
    </row>
    <row r="556" spans="1:4" x14ac:dyDescent="0.25">
      <c r="A556" s="2" t="s">
        <v>1161</v>
      </c>
      <c r="B556" s="2" t="s">
        <v>44</v>
      </c>
      <c r="C556" s="31" t="str">
        <f>VLOOKUP(irregulares[[#This Row],[Similar a]],padroes[],2,0)</f>
        <v>CAR</v>
      </c>
      <c r="D556" s="3"/>
    </row>
    <row r="557" spans="1:4" x14ac:dyDescent="0.25">
      <c r="A557" s="2" t="s">
        <v>1162</v>
      </c>
      <c r="B557" s="2" t="s">
        <v>53</v>
      </c>
      <c r="C557" s="31" t="str">
        <f>VLOOKUP(irregulares[[#This Row],[Similar a]],padroes[],2,0)</f>
        <v>EAR</v>
      </c>
      <c r="D557" s="3"/>
    </row>
    <row r="558" spans="1:4" x14ac:dyDescent="0.25">
      <c r="A558" s="2" t="s">
        <v>1163</v>
      </c>
      <c r="B558" s="2" t="s">
        <v>44</v>
      </c>
      <c r="C558" s="31" t="str">
        <f>VLOOKUP(irregulares[[#This Row],[Similar a]],padroes[],2,0)</f>
        <v>CAR</v>
      </c>
      <c r="D558" s="3"/>
    </row>
    <row r="559" spans="1:4" x14ac:dyDescent="0.25">
      <c r="A559" s="2" t="s">
        <v>1164</v>
      </c>
      <c r="B559" s="2" t="s">
        <v>53</v>
      </c>
      <c r="C559" s="31" t="str">
        <f>VLOOKUP(irregulares[[#This Row],[Similar a]],padroes[],2,0)</f>
        <v>EAR</v>
      </c>
      <c r="D559" s="3"/>
    </row>
    <row r="560" spans="1:4" x14ac:dyDescent="0.25">
      <c r="A560" s="2" t="s">
        <v>1165</v>
      </c>
      <c r="B560" s="2" t="s">
        <v>49</v>
      </c>
      <c r="C560" s="31" t="str">
        <f>VLOOKUP(irregulares[[#This Row],[Similar a]],padroes[],2,0)</f>
        <v>OAR</v>
      </c>
      <c r="D560" s="3"/>
    </row>
    <row r="561" spans="1:4" x14ac:dyDescent="0.25">
      <c r="A561" s="2" t="s">
        <v>1166</v>
      </c>
      <c r="B561" s="2" t="s">
        <v>53</v>
      </c>
      <c r="C561" s="31" t="str">
        <f>VLOOKUP(irregulares[[#This Row],[Similar a]],padroes[],2,0)</f>
        <v>EAR</v>
      </c>
      <c r="D561" s="3"/>
    </row>
    <row r="562" spans="1:4" x14ac:dyDescent="0.25">
      <c r="A562" s="2" t="s">
        <v>1167</v>
      </c>
      <c r="B562" s="2" t="s">
        <v>44</v>
      </c>
      <c r="C562" s="31" t="str">
        <f>VLOOKUP(irregulares[[#This Row],[Similar a]],padroes[],2,0)</f>
        <v>CAR</v>
      </c>
      <c r="D562" s="3"/>
    </row>
    <row r="563" spans="1:4" x14ac:dyDescent="0.25">
      <c r="A563" s="2" t="s">
        <v>1168</v>
      </c>
      <c r="B563" s="2" t="s">
        <v>55</v>
      </c>
      <c r="C563" s="31" t="str">
        <f>VLOOKUP(irregulares[[#This Row],[Similar a]],padroes[],2,0)</f>
        <v>EJAR ô</v>
      </c>
      <c r="D563" s="3"/>
    </row>
    <row r="564" spans="1:4" x14ac:dyDescent="0.25">
      <c r="A564" s="2" t="s">
        <v>1169</v>
      </c>
      <c r="B564" s="2" t="s">
        <v>1122</v>
      </c>
      <c r="C564" s="31" t="str">
        <f>VLOOKUP(irregulares[[#This Row],[Similar a]],padroes[],2,0)</f>
        <v>ECHAR ê</v>
      </c>
      <c r="D564" s="3"/>
    </row>
    <row r="565" spans="1:4" x14ac:dyDescent="0.25">
      <c r="A565" s="2" t="s">
        <v>1170</v>
      </c>
      <c r="B565" s="2" t="s">
        <v>55</v>
      </c>
      <c r="C565" s="31" t="str">
        <f>VLOOKUP(irregulares[[#This Row],[Similar a]],padroes[],2,0)</f>
        <v>EJAR ô</v>
      </c>
      <c r="D565" s="3"/>
    </row>
    <row r="566" spans="1:4" x14ac:dyDescent="0.25">
      <c r="A566" s="2" t="s">
        <v>1174</v>
      </c>
      <c r="B566" s="2" t="s">
        <v>53</v>
      </c>
      <c r="C566" s="31" t="str">
        <f>VLOOKUP(irregulares[[#This Row],[Similar a]],padroes[],2,0)</f>
        <v>EAR</v>
      </c>
      <c r="D566" s="3"/>
    </row>
    <row r="567" spans="1:4" x14ac:dyDescent="0.25">
      <c r="A567" s="2" t="s">
        <v>1171</v>
      </c>
      <c r="B567" s="2" t="s">
        <v>53</v>
      </c>
      <c r="C567" s="31" t="str">
        <f>VLOOKUP(irregulares[[#This Row],[Similar a]],padroes[],2,0)</f>
        <v>EAR</v>
      </c>
      <c r="D567" s="3"/>
    </row>
    <row r="568" spans="1:4" x14ac:dyDescent="0.25">
      <c r="A568" s="2" t="s">
        <v>90</v>
      </c>
      <c r="B568" s="2" t="s">
        <v>458</v>
      </c>
      <c r="C568" s="31" t="str">
        <f>VLOOKUP(irregulares[[#This Row],[Similar a]],padroes[],2,0)</f>
        <v>OIAR</v>
      </c>
      <c r="D568" s="3"/>
    </row>
    <row r="569" spans="1:4" x14ac:dyDescent="0.25">
      <c r="A569" s="2" t="s">
        <v>1172</v>
      </c>
      <c r="B569" s="2" t="s">
        <v>42</v>
      </c>
      <c r="C569" s="31" t="str">
        <f>VLOOKUP(irregulares[[#This Row],[Similar a]],padroes[],2,0)</f>
        <v>ÇAR</v>
      </c>
      <c r="D569" s="3"/>
    </row>
    <row r="570" spans="1:4" x14ac:dyDescent="0.25">
      <c r="A570" s="2" t="s">
        <v>1173</v>
      </c>
      <c r="B570" s="2" t="s">
        <v>53</v>
      </c>
      <c r="C570" s="31" t="str">
        <f>VLOOKUP(irregulares[[#This Row],[Similar a]],padroes[],2,0)</f>
        <v>EAR</v>
      </c>
      <c r="D570" s="3"/>
    </row>
    <row r="571" spans="1:4" x14ac:dyDescent="0.25">
      <c r="A571" s="2" t="s">
        <v>1175</v>
      </c>
      <c r="B571" s="2" t="s">
        <v>53</v>
      </c>
      <c r="C571" s="31" t="str">
        <f>VLOOKUP(irregulares[[#This Row],[Similar a]],padroes[],2,0)</f>
        <v>EAR</v>
      </c>
      <c r="D571" s="3"/>
    </row>
    <row r="572" spans="1:4" x14ac:dyDescent="0.25">
      <c r="A572" s="2" t="s">
        <v>1176</v>
      </c>
      <c r="B572" s="2" t="s">
        <v>53</v>
      </c>
      <c r="C572" s="31" t="str">
        <f>VLOOKUP(irregulares[[#This Row],[Similar a]],padroes[],2,0)</f>
        <v>EAR</v>
      </c>
      <c r="D572" s="3"/>
    </row>
    <row r="573" spans="1:4" x14ac:dyDescent="0.25">
      <c r="A573" s="2" t="s">
        <v>1177</v>
      </c>
      <c r="B573" s="2" t="s">
        <v>53</v>
      </c>
      <c r="C573" s="31" t="str">
        <f>VLOOKUP(irregulares[[#This Row],[Similar a]],padroes[],2,0)</f>
        <v>EAR</v>
      </c>
      <c r="D573" s="3"/>
    </row>
    <row r="574" spans="1:4" x14ac:dyDescent="0.25">
      <c r="A574" s="2" t="s">
        <v>1178</v>
      </c>
      <c r="B574" s="2" t="s">
        <v>42</v>
      </c>
      <c r="C574" s="31" t="str">
        <f>VLOOKUP(irregulares[[#This Row],[Similar a]],padroes[],2,0)</f>
        <v>ÇAR</v>
      </c>
      <c r="D574" s="3"/>
    </row>
    <row r="575" spans="1:4" x14ac:dyDescent="0.25">
      <c r="A575" s="2" t="s">
        <v>1179</v>
      </c>
      <c r="B575" s="2" t="s">
        <v>44</v>
      </c>
      <c r="C575" s="31" t="str">
        <f>VLOOKUP(irregulares[[#This Row],[Similar a]],padroes[],2,0)</f>
        <v>CAR</v>
      </c>
      <c r="D575" s="3"/>
    </row>
    <row r="576" spans="1:4" x14ac:dyDescent="0.25">
      <c r="A576" s="2" t="s">
        <v>1180</v>
      </c>
      <c r="B576" s="2" t="s">
        <v>74</v>
      </c>
      <c r="C576" s="31" t="str">
        <f>VLOOKUP(irregulares[[#This Row],[Similar a]],padroes[],2,0)</f>
        <v>GAR</v>
      </c>
      <c r="D576" s="3"/>
    </row>
    <row r="577" spans="1:4" x14ac:dyDescent="0.25">
      <c r="A577" s="2" t="s">
        <v>1181</v>
      </c>
      <c r="B577" s="2" t="s">
        <v>44</v>
      </c>
      <c r="C577" s="31" t="str">
        <f>VLOOKUP(irregulares[[#This Row],[Similar a]],padroes[],2,0)</f>
        <v>CAR</v>
      </c>
      <c r="D577" s="3"/>
    </row>
    <row r="578" spans="1:4" x14ac:dyDescent="0.25">
      <c r="A578" s="2" t="s">
        <v>1182</v>
      </c>
      <c r="B578" s="2" t="s">
        <v>53</v>
      </c>
      <c r="C578" s="31" t="str">
        <f>VLOOKUP(irregulares[[#This Row],[Similar a]],padroes[],2,0)</f>
        <v>EAR</v>
      </c>
      <c r="D578" s="3"/>
    </row>
    <row r="579" spans="1:4" x14ac:dyDescent="0.25">
      <c r="A579" s="2" t="s">
        <v>1183</v>
      </c>
      <c r="B579" s="2" t="s">
        <v>55</v>
      </c>
      <c r="C579" s="31" t="str">
        <f>VLOOKUP(irregulares[[#This Row],[Similar a]],padroes[],2,0)</f>
        <v>EJAR ô</v>
      </c>
      <c r="D579" s="3"/>
    </row>
    <row r="580" spans="1:4" x14ac:dyDescent="0.25">
      <c r="A580" s="2" t="s">
        <v>1184</v>
      </c>
      <c r="B580" s="2" t="s">
        <v>53</v>
      </c>
      <c r="C580" s="31" t="str">
        <f>VLOOKUP(irregulares[[#This Row],[Similar a]],padroes[],2,0)</f>
        <v>EAR</v>
      </c>
      <c r="D580" s="3"/>
    </row>
    <row r="581" spans="1:4" x14ac:dyDescent="0.25">
      <c r="A581" s="2" t="s">
        <v>1185</v>
      </c>
      <c r="B581" s="2" t="s">
        <v>49</v>
      </c>
      <c r="C581" s="31" t="str">
        <f>VLOOKUP(irregulares[[#This Row],[Similar a]],padroes[],2,0)</f>
        <v>OAR</v>
      </c>
      <c r="D581" s="3"/>
    </row>
    <row r="582" spans="1:4" x14ac:dyDescent="0.25">
      <c r="A582" s="2" t="s">
        <v>1186</v>
      </c>
      <c r="B582" s="2" t="s">
        <v>53</v>
      </c>
      <c r="C582" s="31" t="str">
        <f>VLOOKUP(irregulares[[#This Row],[Similar a]],padroes[],2,0)</f>
        <v>EAR</v>
      </c>
      <c r="D582" s="3"/>
    </row>
    <row r="583" spans="1:4" x14ac:dyDescent="0.25">
      <c r="A583" s="2" t="s">
        <v>1187</v>
      </c>
      <c r="B583" s="2" t="s">
        <v>55</v>
      </c>
      <c r="C583" s="31" t="str">
        <f>VLOOKUP(irregulares[[#This Row],[Similar a]],padroes[],2,0)</f>
        <v>EJAR ô</v>
      </c>
      <c r="D583" s="3"/>
    </row>
    <row r="584" spans="1:4" x14ac:dyDescent="0.25">
      <c r="A584" s="2" t="s">
        <v>1188</v>
      </c>
      <c r="B584" s="2" t="s">
        <v>53</v>
      </c>
      <c r="C584" s="31" t="str">
        <f>VLOOKUP(irregulares[[#This Row],[Similar a]],padroes[],2,0)</f>
        <v>EAR</v>
      </c>
      <c r="D584" s="3"/>
    </row>
    <row r="585" spans="1:4" x14ac:dyDescent="0.25">
      <c r="A585" s="2" t="s">
        <v>1189</v>
      </c>
      <c r="B585" s="2" t="s">
        <v>60</v>
      </c>
      <c r="C585" s="31" t="str">
        <f>VLOOKUP(irregulares[[#This Row],[Similar a]],padroes[],2,0)</f>
        <v>GAR</v>
      </c>
      <c r="D585" s="3"/>
    </row>
    <row r="586" spans="1:4" x14ac:dyDescent="0.25">
      <c r="A586" s="2" t="s">
        <v>1190</v>
      </c>
      <c r="B586" s="2" t="s">
        <v>42</v>
      </c>
      <c r="C586" s="31" t="str">
        <f>VLOOKUP(irregulares[[#This Row],[Similar a]],padroes[],2,0)</f>
        <v>ÇAR</v>
      </c>
      <c r="D586" s="3"/>
    </row>
    <row r="587" spans="1:4" x14ac:dyDescent="0.25">
      <c r="A587" s="2" t="s">
        <v>1191</v>
      </c>
      <c r="B587" s="2" t="s">
        <v>44</v>
      </c>
      <c r="C587" s="31" t="str">
        <f>VLOOKUP(irregulares[[#This Row],[Similar a]],padroes[],2,0)</f>
        <v>CAR</v>
      </c>
      <c r="D587" s="3"/>
    </row>
    <row r="588" spans="1:4" x14ac:dyDescent="0.25">
      <c r="A588" s="2" t="s">
        <v>1192</v>
      </c>
      <c r="B588" s="2" t="s">
        <v>55</v>
      </c>
      <c r="C588" s="31" t="str">
        <f>VLOOKUP(irregulares[[#This Row],[Similar a]],padroes[],2,0)</f>
        <v>EJAR ô</v>
      </c>
      <c r="D588" s="3"/>
    </row>
    <row r="589" spans="1:4" x14ac:dyDescent="0.25">
      <c r="A589" s="2" t="s">
        <v>1193</v>
      </c>
      <c r="B589" s="2" t="s">
        <v>55</v>
      </c>
      <c r="C589" s="31" t="str">
        <f>VLOOKUP(irregulares[[#This Row],[Similar a]],padroes[],2,0)</f>
        <v>EJAR ô</v>
      </c>
      <c r="D589" s="3"/>
    </row>
    <row r="590" spans="1:4" x14ac:dyDescent="0.25">
      <c r="A590" s="2" t="s">
        <v>1194</v>
      </c>
      <c r="B590" s="2" t="s">
        <v>44</v>
      </c>
      <c r="C590" s="31" t="str">
        <f>VLOOKUP(irregulares[[#This Row],[Similar a]],padroes[],2,0)</f>
        <v>CAR</v>
      </c>
      <c r="D590" s="3"/>
    </row>
    <row r="591" spans="1:4" x14ac:dyDescent="0.25">
      <c r="A591" s="2" t="s">
        <v>1195</v>
      </c>
      <c r="B591" s="2" t="s">
        <v>42</v>
      </c>
      <c r="C591" s="31" t="str">
        <f>VLOOKUP(irregulares[[#This Row],[Similar a]],padroes[],2,0)</f>
        <v>ÇAR</v>
      </c>
      <c r="D591" s="3"/>
    </row>
    <row r="592" spans="1:4" x14ac:dyDescent="0.25">
      <c r="A592" s="2" t="s">
        <v>1196</v>
      </c>
      <c r="B592" s="2" t="s">
        <v>53</v>
      </c>
      <c r="C592" s="31" t="str">
        <f>VLOOKUP(irregulares[[#This Row],[Similar a]],padroes[],2,0)</f>
        <v>EAR</v>
      </c>
      <c r="D592" s="3"/>
    </row>
    <row r="593" spans="1:4" x14ac:dyDescent="0.25">
      <c r="A593" s="2" t="s">
        <v>1197</v>
      </c>
      <c r="B593" s="2" t="s">
        <v>53</v>
      </c>
      <c r="C593" s="31" t="str">
        <f>VLOOKUP(irregulares[[#This Row],[Similar a]],padroes[],2,0)</f>
        <v>EAR</v>
      </c>
      <c r="D593" s="3"/>
    </row>
    <row r="594" spans="1:4" x14ac:dyDescent="0.25">
      <c r="A594" s="2" t="s">
        <v>1198</v>
      </c>
      <c r="B594" s="2" t="s">
        <v>55</v>
      </c>
      <c r="C594" s="31" t="str">
        <f>VLOOKUP(irregulares[[#This Row],[Similar a]],padroes[],2,0)</f>
        <v>EJAR ô</v>
      </c>
      <c r="D594" s="3"/>
    </row>
    <row r="595" spans="1:4" x14ac:dyDescent="0.25">
      <c r="A595" s="2" t="s">
        <v>1199</v>
      </c>
      <c r="B595" s="2" t="s">
        <v>55</v>
      </c>
      <c r="C595" s="31" t="str">
        <f>VLOOKUP(irregulares[[#This Row],[Similar a]],padroes[],2,0)</f>
        <v>EJAR ô</v>
      </c>
      <c r="D595" s="3"/>
    </row>
    <row r="596" spans="1:4" x14ac:dyDescent="0.25">
      <c r="A596" s="2" t="s">
        <v>1200</v>
      </c>
      <c r="B596" s="2" t="s">
        <v>53</v>
      </c>
      <c r="C596" s="31" t="str">
        <f>VLOOKUP(irregulares[[#This Row],[Similar a]],padroes[],2,0)</f>
        <v>EAR</v>
      </c>
      <c r="D596" s="3"/>
    </row>
    <row r="597" spans="1:4" x14ac:dyDescent="0.25">
      <c r="A597" s="2" t="s">
        <v>1201</v>
      </c>
      <c r="B597" s="2" t="s">
        <v>1717</v>
      </c>
      <c r="C597" s="31" t="str">
        <f>VLOOKUP(irregulares[[#This Row],[Similar a]],padroes[],2,0)</f>
        <v>Defectivo 1</v>
      </c>
      <c r="D597" s="3"/>
    </row>
    <row r="598" spans="1:4" x14ac:dyDescent="0.25">
      <c r="A598" s="2" t="s">
        <v>1202</v>
      </c>
      <c r="B598" s="2" t="s">
        <v>53</v>
      </c>
      <c r="C598" s="31" t="str">
        <f>VLOOKUP(irregulares[[#This Row],[Similar a]],padroes[],2,0)</f>
        <v>EAR</v>
      </c>
      <c r="D598" s="3"/>
    </row>
    <row r="599" spans="1:4" x14ac:dyDescent="0.25">
      <c r="A599" s="2" t="s">
        <v>1203</v>
      </c>
      <c r="B599" s="2" t="s">
        <v>53</v>
      </c>
      <c r="C599" s="31" t="str">
        <f>VLOOKUP(irregulares[[#This Row],[Similar a]],padroes[],2,0)</f>
        <v>EAR</v>
      </c>
      <c r="D599" s="3"/>
    </row>
    <row r="600" spans="1:4" x14ac:dyDescent="0.25">
      <c r="A600" s="2" t="s">
        <v>1204</v>
      </c>
      <c r="B600" s="2" t="s">
        <v>1604</v>
      </c>
      <c r="C600" s="31" t="str">
        <f>VLOOKUP(irregulares[[#This Row],[Similar a]],padroes[],2,0)</f>
        <v>Defectivo 3</v>
      </c>
      <c r="D600" s="3"/>
    </row>
    <row r="601" spans="1:4" x14ac:dyDescent="0.25">
      <c r="A601" s="2" t="s">
        <v>1205</v>
      </c>
      <c r="B601" s="2" t="s">
        <v>53</v>
      </c>
      <c r="C601" s="31" t="str">
        <f>VLOOKUP(irregulares[[#This Row],[Similar a]],padroes[],2,0)</f>
        <v>EAR</v>
      </c>
      <c r="D601" s="3"/>
    </row>
    <row r="602" spans="1:4" x14ac:dyDescent="0.25">
      <c r="A602" s="2" t="s">
        <v>1206</v>
      </c>
      <c r="B602" s="2" t="s">
        <v>55</v>
      </c>
      <c r="C602" s="31" t="str">
        <f>VLOOKUP(irregulares[[#This Row],[Similar a]],padroes[],2,0)</f>
        <v>EJAR ô</v>
      </c>
      <c r="D602" s="3"/>
    </row>
    <row r="603" spans="1:4" x14ac:dyDescent="0.25">
      <c r="A603" s="2" t="s">
        <v>1207</v>
      </c>
      <c r="B603" s="2" t="s">
        <v>53</v>
      </c>
      <c r="C603" s="31" t="str">
        <f>VLOOKUP(irregulares[[#This Row],[Similar a]],padroes[],2,0)</f>
        <v>EAR</v>
      </c>
      <c r="D603" s="3"/>
    </row>
    <row r="604" spans="1:4" x14ac:dyDescent="0.25">
      <c r="A604" s="2" t="s">
        <v>1208</v>
      </c>
      <c r="B604" s="2" t="s">
        <v>44</v>
      </c>
      <c r="C604" s="31" t="str">
        <f>VLOOKUP(irregulares[[#This Row],[Similar a]],padroes[],2,0)</f>
        <v>CAR</v>
      </c>
      <c r="D604" s="3"/>
    </row>
    <row r="605" spans="1:4" x14ac:dyDescent="0.25">
      <c r="A605" s="2" t="s">
        <v>1209</v>
      </c>
      <c r="B605" s="2" t="s">
        <v>221</v>
      </c>
      <c r="C605" s="31" t="str">
        <f>VLOOKUP(irregulares[[#This Row],[Similar a]],padroes[],2,0)</f>
        <v>ECHAR é</v>
      </c>
      <c r="D605" s="3"/>
    </row>
    <row r="606" spans="1:4" x14ac:dyDescent="0.25">
      <c r="A606" s="2" t="s">
        <v>1210</v>
      </c>
      <c r="B606" s="2" t="s">
        <v>74</v>
      </c>
      <c r="C606" s="31" t="str">
        <f>VLOOKUP(irregulares[[#This Row],[Similar a]],padroes[],2,0)</f>
        <v>GAR</v>
      </c>
      <c r="D606" s="3"/>
    </row>
    <row r="607" spans="1:4" x14ac:dyDescent="0.25">
      <c r="A607" s="2" t="s">
        <v>1211</v>
      </c>
      <c r="B607" s="2" t="s">
        <v>44</v>
      </c>
      <c r="C607" s="31" t="str">
        <f>VLOOKUP(irregulares[[#This Row],[Similar a]],padroes[],2,0)</f>
        <v>CAR</v>
      </c>
      <c r="D607" s="3"/>
    </row>
    <row r="608" spans="1:4" x14ac:dyDescent="0.25">
      <c r="A608" s="2" t="s">
        <v>1212</v>
      </c>
      <c r="B608" s="2" t="s">
        <v>53</v>
      </c>
      <c r="C608" s="31" t="str">
        <f>VLOOKUP(irregulares[[#This Row],[Similar a]],padroes[],2,0)</f>
        <v>EAR</v>
      </c>
      <c r="D608" s="3"/>
    </row>
    <row r="609" spans="1:4" x14ac:dyDescent="0.25">
      <c r="A609" s="2" t="s">
        <v>1213</v>
      </c>
      <c r="B609" s="2" t="s">
        <v>53</v>
      </c>
      <c r="C609" s="31" t="str">
        <f>VLOOKUP(irregulares[[#This Row],[Similar a]],padroes[],2,0)</f>
        <v>EAR</v>
      </c>
      <c r="D609" s="3"/>
    </row>
    <row r="610" spans="1:4" x14ac:dyDescent="0.25">
      <c r="A610" s="2" t="s">
        <v>1214</v>
      </c>
      <c r="B610" s="2" t="s">
        <v>53</v>
      </c>
      <c r="C610" s="31" t="str">
        <f>VLOOKUP(irregulares[[#This Row],[Similar a]],padroes[],2,0)</f>
        <v>EAR</v>
      </c>
      <c r="D610" s="3"/>
    </row>
    <row r="611" spans="1:4" x14ac:dyDescent="0.25">
      <c r="A611" s="2" t="s">
        <v>1215</v>
      </c>
      <c r="B611" s="2" t="s">
        <v>1717</v>
      </c>
      <c r="C611" s="31" t="str">
        <f>VLOOKUP(irregulares[[#This Row],[Similar a]],padroes[],2,0)</f>
        <v>Defectivo 1</v>
      </c>
      <c r="D611" s="3"/>
    </row>
    <row r="612" spans="1:4" x14ac:dyDescent="0.25">
      <c r="A612" s="2" t="s">
        <v>1216</v>
      </c>
      <c r="B612" s="2" t="s">
        <v>44</v>
      </c>
      <c r="C612" s="31" t="str">
        <f>VLOOKUP(irregulares[[#This Row],[Similar a]],padroes[],2,0)</f>
        <v>CAR</v>
      </c>
      <c r="D612" s="3"/>
    </row>
    <row r="613" spans="1:4" x14ac:dyDescent="0.25">
      <c r="A613" s="2" t="s">
        <v>1217</v>
      </c>
      <c r="B613" s="2" t="s">
        <v>53</v>
      </c>
      <c r="C613" s="31" t="str">
        <f>VLOOKUP(irregulares[[#This Row],[Similar a]],padroes[],2,0)</f>
        <v>EAR</v>
      </c>
      <c r="D613" s="3"/>
    </row>
    <row r="614" spans="1:4" x14ac:dyDescent="0.25">
      <c r="A614" s="2" t="s">
        <v>1218</v>
      </c>
      <c r="B614" s="2" t="s">
        <v>53</v>
      </c>
      <c r="C614" s="31" t="str">
        <f>VLOOKUP(irregulares[[#This Row],[Similar a]],padroes[],2,0)</f>
        <v>EAR</v>
      </c>
      <c r="D614" s="3"/>
    </row>
    <row r="615" spans="1:4" x14ac:dyDescent="0.25">
      <c r="A615" s="2" t="s">
        <v>1219</v>
      </c>
      <c r="B615" s="2" t="s">
        <v>53</v>
      </c>
      <c r="C615" s="31" t="str">
        <f>VLOOKUP(irregulares[[#This Row],[Similar a]],padroes[],2,0)</f>
        <v>EAR</v>
      </c>
      <c r="D615" s="3"/>
    </row>
    <row r="616" spans="1:4" x14ac:dyDescent="0.25">
      <c r="A616" s="2" t="s">
        <v>1220</v>
      </c>
      <c r="B616" s="2" t="s">
        <v>1220</v>
      </c>
      <c r="C616" s="31" t="str">
        <f>VLOOKUP(irregulares[[#This Row],[Similar a]],padroes[],2,0)</f>
        <v>O-X-IR</v>
      </c>
      <c r="D616" s="3"/>
    </row>
    <row r="617" spans="1:4" x14ac:dyDescent="0.25">
      <c r="A617" s="2" t="s">
        <v>1221</v>
      </c>
      <c r="B617" s="2" t="s">
        <v>53</v>
      </c>
      <c r="C617" s="31" t="str">
        <f>VLOOKUP(irregulares[[#This Row],[Similar a]],padroes[],2,0)</f>
        <v>EAR</v>
      </c>
      <c r="D617" s="3"/>
    </row>
    <row r="618" spans="1:4" x14ac:dyDescent="0.25">
      <c r="A618" s="2" t="s">
        <v>1222</v>
      </c>
      <c r="B618" s="2" t="s">
        <v>74</v>
      </c>
      <c r="C618" s="31" t="str">
        <f>VLOOKUP(irregulares[[#This Row],[Similar a]],padroes[],2,0)</f>
        <v>GAR</v>
      </c>
      <c r="D618" s="3"/>
    </row>
    <row r="619" spans="1:4" x14ac:dyDescent="0.25">
      <c r="A619" s="2" t="s">
        <v>1223</v>
      </c>
      <c r="B619" s="2" t="s">
        <v>1604</v>
      </c>
      <c r="C619" s="31" t="str">
        <f>VLOOKUP(irregulares[[#This Row],[Similar a]],padroes[],2,0)</f>
        <v>Defectivo 3</v>
      </c>
      <c r="D619" s="3"/>
    </row>
    <row r="620" spans="1:4" x14ac:dyDescent="0.25">
      <c r="A620" s="2" t="s">
        <v>1224</v>
      </c>
      <c r="B620" s="2" t="s">
        <v>53</v>
      </c>
      <c r="C620" s="31" t="str">
        <f>VLOOKUP(irregulares[[#This Row],[Similar a]],padroes[],2,0)</f>
        <v>EAR</v>
      </c>
      <c r="D620" s="3"/>
    </row>
    <row r="621" spans="1:4" x14ac:dyDescent="0.25">
      <c r="A621" s="2" t="s">
        <v>1225</v>
      </c>
      <c r="B621" s="2" t="s">
        <v>53</v>
      </c>
      <c r="C621" s="31" t="str">
        <f>VLOOKUP(irregulares[[#This Row],[Similar a]],padroes[],2,0)</f>
        <v>EAR</v>
      </c>
      <c r="D621" s="3"/>
    </row>
    <row r="622" spans="1:4" x14ac:dyDescent="0.25">
      <c r="A622" s="2" t="s">
        <v>1226</v>
      </c>
      <c r="B622" s="2" t="s">
        <v>44</v>
      </c>
      <c r="C622" s="31" t="str">
        <f>VLOOKUP(irregulares[[#This Row],[Similar a]],padroes[],2,0)</f>
        <v>CAR</v>
      </c>
      <c r="D622" s="3"/>
    </row>
    <row r="623" spans="1:4" x14ac:dyDescent="0.25">
      <c r="A623" s="2" t="s">
        <v>1227</v>
      </c>
      <c r="B623" s="2" t="s">
        <v>44</v>
      </c>
      <c r="C623" s="31" t="str">
        <f>VLOOKUP(irregulares[[#This Row],[Similar a]],padroes[],2,0)</f>
        <v>CAR</v>
      </c>
      <c r="D623" s="3"/>
    </row>
    <row r="624" spans="1:4" x14ac:dyDescent="0.25">
      <c r="A624" s="2" t="s">
        <v>1228</v>
      </c>
      <c r="B624" s="2" t="s">
        <v>44</v>
      </c>
      <c r="C624" s="31" t="str">
        <f>VLOOKUP(irregulares[[#This Row],[Similar a]],padroes[],2,0)</f>
        <v>CAR</v>
      </c>
      <c r="D624" s="3"/>
    </row>
    <row r="625" spans="1:4" x14ac:dyDescent="0.25">
      <c r="A625" s="2" t="s">
        <v>1229</v>
      </c>
      <c r="B625" s="2" t="s">
        <v>44</v>
      </c>
      <c r="C625" s="31" t="str">
        <f>VLOOKUP(irregulares[[#This Row],[Similar a]],padroes[],2,0)</f>
        <v>CAR</v>
      </c>
      <c r="D625" s="3"/>
    </row>
    <row r="626" spans="1:4" x14ac:dyDescent="0.25">
      <c r="A626" s="2" t="s">
        <v>1230</v>
      </c>
      <c r="B626" s="2" t="s">
        <v>60</v>
      </c>
      <c r="C626" s="31" t="str">
        <f>VLOOKUP(irregulares[[#This Row],[Similar a]],padroes[],2,0)</f>
        <v>GAR</v>
      </c>
      <c r="D626" s="3"/>
    </row>
    <row r="627" spans="1:4" x14ac:dyDescent="0.25">
      <c r="A627" s="2" t="s">
        <v>2978</v>
      </c>
      <c r="B627" s="2" t="s">
        <v>53</v>
      </c>
      <c r="C627" s="31" t="str">
        <f>VLOOKUP(irregulares[[#This Row],[Similar a]],padroes[],2,0)</f>
        <v>EAR</v>
      </c>
      <c r="D627" s="3"/>
    </row>
    <row r="628" spans="1:4" x14ac:dyDescent="0.25">
      <c r="A628" s="2" t="s">
        <v>2979</v>
      </c>
      <c r="B628" s="2" t="s">
        <v>53</v>
      </c>
      <c r="C628" s="31" t="str">
        <f>VLOOKUP(irregulares[[#This Row],[Similar a]],padroes[],2,0)</f>
        <v>EAR</v>
      </c>
      <c r="D628" s="3"/>
    </row>
    <row r="629" spans="1:4" x14ac:dyDescent="0.25">
      <c r="A629" s="2" t="s">
        <v>3214</v>
      </c>
      <c r="B629" s="2" t="s">
        <v>3214</v>
      </c>
      <c r="C629" s="31" t="str">
        <f>VLOOKUP(irregulares[[#This Row],[Similar a]],padroes[],2,0)</f>
        <v>CABER</v>
      </c>
      <c r="D629" s="3"/>
    </row>
    <row r="630" spans="1:4" x14ac:dyDescent="0.25">
      <c r="A630" s="2" t="s">
        <v>3098</v>
      </c>
      <c r="B630" s="2" t="s">
        <v>44</v>
      </c>
      <c r="C630" s="31" t="str">
        <f>VLOOKUP(irregulares[[#This Row],[Similar a]],padroes[],2,0)</f>
        <v>CAR</v>
      </c>
      <c r="D630" s="3"/>
    </row>
    <row r="631" spans="1:4" x14ac:dyDescent="0.25">
      <c r="A631" s="2" t="s">
        <v>2980</v>
      </c>
      <c r="B631" s="2" t="s">
        <v>53</v>
      </c>
      <c r="C631" s="31" t="str">
        <f>VLOOKUP(irregulares[[#This Row],[Similar a]],padroes[],2,0)</f>
        <v>EAR</v>
      </c>
      <c r="D631" s="3"/>
    </row>
    <row r="632" spans="1:4" x14ac:dyDescent="0.25">
      <c r="A632" s="2" t="s">
        <v>3099</v>
      </c>
      <c r="B632" s="2" t="s">
        <v>44</v>
      </c>
      <c r="C632" s="31" t="str">
        <f>VLOOKUP(irregulares[[#This Row],[Similar a]],padroes[],2,0)</f>
        <v>CAR</v>
      </c>
      <c r="D632" s="3"/>
    </row>
    <row r="633" spans="1:4" x14ac:dyDescent="0.25">
      <c r="A633" s="2" t="s">
        <v>2981</v>
      </c>
      <c r="B633" s="2" t="s">
        <v>53</v>
      </c>
      <c r="C633" s="31" t="str">
        <f>VLOOKUP(irregulares[[#This Row],[Similar a]],padroes[],2,0)</f>
        <v>EAR</v>
      </c>
      <c r="D633" s="3"/>
    </row>
    <row r="634" spans="1:4" x14ac:dyDescent="0.25">
      <c r="A634" s="2" t="s">
        <v>2982</v>
      </c>
      <c r="B634" s="2" t="s">
        <v>53</v>
      </c>
      <c r="C634" s="31" t="str">
        <f>VLOOKUP(irregulares[[#This Row],[Similar a]],padroes[],2,0)</f>
        <v>EAR</v>
      </c>
      <c r="D634" s="3"/>
    </row>
    <row r="635" spans="1:4" x14ac:dyDescent="0.25">
      <c r="A635" s="2" t="s">
        <v>3100</v>
      </c>
      <c r="B635" s="2" t="s">
        <v>44</v>
      </c>
      <c r="C635" s="31" t="str">
        <f>VLOOKUP(irregulares[[#This Row],[Similar a]],padroes[],2,0)</f>
        <v>CAR</v>
      </c>
      <c r="D635" s="3"/>
    </row>
    <row r="636" spans="1:4" x14ac:dyDescent="0.25">
      <c r="A636" s="2" t="s">
        <v>3101</v>
      </c>
      <c r="B636" s="2" t="s">
        <v>44</v>
      </c>
      <c r="C636" s="31" t="str">
        <f>VLOOKUP(irregulares[[#This Row],[Similar a]],padroes[],2,0)</f>
        <v>CAR</v>
      </c>
      <c r="D636" s="3"/>
    </row>
    <row r="637" spans="1:4" x14ac:dyDescent="0.25">
      <c r="A637" s="2" t="s">
        <v>3102</v>
      </c>
      <c r="B637" s="2" t="s">
        <v>42</v>
      </c>
      <c r="C637" s="31" t="str">
        <f>VLOOKUP(irregulares[[#This Row],[Similar a]],padroes[],2,0)</f>
        <v>ÇAR</v>
      </c>
      <c r="D637" s="3"/>
    </row>
    <row r="638" spans="1:4" x14ac:dyDescent="0.25">
      <c r="A638" s="2" t="s">
        <v>2983</v>
      </c>
      <c r="B638" s="2" t="s">
        <v>53</v>
      </c>
      <c r="C638" s="31" t="str">
        <f>VLOOKUP(irregulares[[#This Row],[Similar a]],padroes[],2,0)</f>
        <v>EAR</v>
      </c>
      <c r="D638" s="3"/>
    </row>
    <row r="639" spans="1:4" x14ac:dyDescent="0.25">
      <c r="A639" s="2" t="s">
        <v>3177</v>
      </c>
      <c r="B639" s="2" t="s">
        <v>1604</v>
      </c>
      <c r="C639" s="31" t="str">
        <f>VLOOKUP(irregulares[[#This Row],[Similar a]],padroes[],2,0)</f>
        <v>Defectivo 3</v>
      </c>
      <c r="D639" s="3"/>
    </row>
    <row r="640" spans="1:4" x14ac:dyDescent="0.25">
      <c r="A640" s="2" t="s">
        <v>2984</v>
      </c>
      <c r="B640" s="2" t="s">
        <v>53</v>
      </c>
      <c r="C640" s="31" t="str">
        <f>VLOOKUP(irregulares[[#This Row],[Similar a]],padroes[],2,0)</f>
        <v>EAR</v>
      </c>
      <c r="D640" s="3"/>
    </row>
    <row r="641" spans="1:4" x14ac:dyDescent="0.25">
      <c r="A641" s="2" t="s">
        <v>2985</v>
      </c>
      <c r="B641" s="2" t="s">
        <v>53</v>
      </c>
      <c r="C641" s="31" t="str">
        <f>VLOOKUP(irregulares[[#This Row],[Similar a]],padroes[],2,0)</f>
        <v>EAR</v>
      </c>
      <c r="D641" s="3"/>
    </row>
    <row r="642" spans="1:4" x14ac:dyDescent="0.25">
      <c r="A642" s="2" t="s">
        <v>3103</v>
      </c>
      <c r="B642" s="2" t="s">
        <v>44</v>
      </c>
      <c r="C642" s="31" t="str">
        <f>VLOOKUP(irregulares[[#This Row],[Similar a]],padroes[],2,0)</f>
        <v>CAR</v>
      </c>
      <c r="D642" s="3"/>
    </row>
    <row r="643" spans="1:4" x14ac:dyDescent="0.25">
      <c r="A643" s="2" t="s">
        <v>3207</v>
      </c>
      <c r="B643" s="2" t="s">
        <v>49</v>
      </c>
      <c r="C643" s="31" t="str">
        <f>VLOOKUP(irregulares[[#This Row],[Similar a]],padroes[],2,0)</f>
        <v>OAR</v>
      </c>
      <c r="D643" s="3"/>
    </row>
    <row r="644" spans="1:4" x14ac:dyDescent="0.25">
      <c r="A644" s="2" t="s">
        <v>3104</v>
      </c>
      <c r="B644" s="2" t="s">
        <v>44</v>
      </c>
      <c r="C644" s="31" t="str">
        <f>VLOOKUP(irregulares[[#This Row],[Similar a]],padroes[],2,0)</f>
        <v>CAR</v>
      </c>
      <c r="D644" s="3"/>
    </row>
    <row r="645" spans="1:4" x14ac:dyDescent="0.25">
      <c r="A645" s="2" t="s">
        <v>3184</v>
      </c>
      <c r="B645" s="2" t="s">
        <v>74</v>
      </c>
      <c r="C645" s="31" t="str">
        <f>VLOOKUP(irregulares[[#This Row],[Similar a]],padroes[],2,0)</f>
        <v>GAR</v>
      </c>
      <c r="D645" s="3"/>
    </row>
    <row r="646" spans="1:4" x14ac:dyDescent="0.25">
      <c r="A646" s="2" t="s">
        <v>3185</v>
      </c>
      <c r="B646" s="2" t="s">
        <v>74</v>
      </c>
      <c r="C646" s="31" t="str">
        <f>VLOOKUP(irregulares[[#This Row],[Similar a]],padroes[],2,0)</f>
        <v>GAR</v>
      </c>
      <c r="D646" s="3"/>
    </row>
    <row r="647" spans="1:4" x14ac:dyDescent="0.25">
      <c r="A647" s="2" t="s">
        <v>3186</v>
      </c>
      <c r="B647" s="2" t="s">
        <v>74</v>
      </c>
      <c r="C647" s="31" t="str">
        <f>VLOOKUP(irregulares[[#This Row],[Similar a]],padroes[],2,0)</f>
        <v>GAR</v>
      </c>
      <c r="D647" s="3"/>
    </row>
    <row r="648" spans="1:4" x14ac:dyDescent="0.25">
      <c r="A648" s="2" t="s">
        <v>3206</v>
      </c>
      <c r="B648" s="2" t="s">
        <v>1377</v>
      </c>
      <c r="C648" s="31" t="str">
        <f>VLOOKUP(irregulares[[#This Row],[Similar a]],padroes[],2,0)</f>
        <v>Defectivo 3</v>
      </c>
      <c r="D648" s="3"/>
    </row>
    <row r="649" spans="1:4" x14ac:dyDescent="0.25">
      <c r="A649" s="2" t="s">
        <v>3215</v>
      </c>
      <c r="B649" s="2" t="s">
        <v>988</v>
      </c>
      <c r="C649" s="31" t="str">
        <f>VLOOKUP(irregulares[[#This Row],[Similar a]],padroes[],2,0)</f>
        <v>AIR</v>
      </c>
      <c r="D649" s="3"/>
    </row>
    <row r="650" spans="1:4" x14ac:dyDescent="0.25">
      <c r="A650" s="2" t="s">
        <v>2986</v>
      </c>
      <c r="B650" s="2" t="s">
        <v>53</v>
      </c>
      <c r="C650" s="31" t="str">
        <f>VLOOKUP(irregulares[[#This Row],[Similar a]],padroes[],2,0)</f>
        <v>EAR</v>
      </c>
      <c r="D650" s="3"/>
    </row>
    <row r="651" spans="1:4" x14ac:dyDescent="0.25">
      <c r="A651" s="2" t="s">
        <v>2987</v>
      </c>
      <c r="B651" s="2" t="s">
        <v>53</v>
      </c>
      <c r="C651" s="31" t="str">
        <f>VLOOKUP(irregulares[[#This Row],[Similar a]],padroes[],2,0)</f>
        <v>EAR</v>
      </c>
      <c r="D651" s="3"/>
    </row>
    <row r="652" spans="1:4" x14ac:dyDescent="0.25">
      <c r="A652" s="2" t="s">
        <v>2988</v>
      </c>
      <c r="B652" s="2" t="s">
        <v>53</v>
      </c>
      <c r="C652" s="31" t="str">
        <f>VLOOKUP(irregulares[[#This Row],[Similar a]],padroes[],2,0)</f>
        <v>EAR</v>
      </c>
      <c r="D652" s="3"/>
    </row>
    <row r="653" spans="1:4" x14ac:dyDescent="0.25">
      <c r="A653" s="2" t="s">
        <v>3105</v>
      </c>
      <c r="B653" s="2" t="s">
        <v>44</v>
      </c>
      <c r="C653" s="31" t="str">
        <f>VLOOKUP(irregulares[[#This Row],[Similar a]],padroes[],2,0)</f>
        <v>CAR</v>
      </c>
      <c r="D653" s="3"/>
    </row>
    <row r="654" spans="1:4" x14ac:dyDescent="0.25">
      <c r="A654" s="2" t="s">
        <v>2989</v>
      </c>
      <c r="B654" s="2" t="s">
        <v>53</v>
      </c>
      <c r="C654" s="31" t="str">
        <f>VLOOKUP(irregulares[[#This Row],[Similar a]],padroes[],2,0)</f>
        <v>EAR</v>
      </c>
      <c r="D654" s="3"/>
    </row>
    <row r="655" spans="1:4" x14ac:dyDescent="0.25">
      <c r="A655" s="2" t="s">
        <v>3106</v>
      </c>
      <c r="B655" s="2" t="s">
        <v>42</v>
      </c>
      <c r="C655" s="31" t="str">
        <f>VLOOKUP(irregulares[[#This Row],[Similar a]],padroes[],2,0)</f>
        <v>ÇAR</v>
      </c>
      <c r="D655" s="3"/>
    </row>
    <row r="656" spans="1:4" x14ac:dyDescent="0.25">
      <c r="A656" s="2" t="s">
        <v>3107</v>
      </c>
      <c r="B656" s="2" t="s">
        <v>44</v>
      </c>
      <c r="C656" s="31" t="str">
        <f>VLOOKUP(irregulares[[#This Row],[Similar a]],padroes[],2,0)</f>
        <v>CAR</v>
      </c>
      <c r="D656" s="3"/>
    </row>
    <row r="657" spans="1:4" x14ac:dyDescent="0.25">
      <c r="A657" s="2" t="s">
        <v>2990</v>
      </c>
      <c r="B657" s="2" t="s">
        <v>53</v>
      </c>
      <c r="C657" s="31" t="str">
        <f>VLOOKUP(irregulares[[#This Row],[Similar a]],padroes[],2,0)</f>
        <v>EAR</v>
      </c>
      <c r="D657" s="3"/>
    </row>
    <row r="658" spans="1:4" x14ac:dyDescent="0.25">
      <c r="A658" s="2" t="s">
        <v>2991</v>
      </c>
      <c r="B658" s="2" t="s">
        <v>53</v>
      </c>
      <c r="C658" s="31" t="str">
        <f>VLOOKUP(irregulares[[#This Row],[Similar a]],padroes[],2,0)</f>
        <v>EAR</v>
      </c>
      <c r="D658" s="3"/>
    </row>
    <row r="659" spans="1:4" x14ac:dyDescent="0.25">
      <c r="A659" s="2" t="s">
        <v>2992</v>
      </c>
      <c r="B659" s="2" t="s">
        <v>53</v>
      </c>
      <c r="C659" s="31" t="str">
        <f>VLOOKUP(irregulares[[#This Row],[Similar a]],padroes[],2,0)</f>
        <v>EAR</v>
      </c>
      <c r="D659" s="3"/>
    </row>
    <row r="660" spans="1:4" x14ac:dyDescent="0.25">
      <c r="A660" s="2" t="s">
        <v>2993</v>
      </c>
      <c r="B660" s="2" t="s">
        <v>53</v>
      </c>
      <c r="C660" s="31" t="str">
        <f>VLOOKUP(irregulares[[#This Row],[Similar a]],padroes[],2,0)</f>
        <v>EAR</v>
      </c>
      <c r="D660" s="3"/>
    </row>
    <row r="661" spans="1:4" x14ac:dyDescent="0.25">
      <c r="A661" s="2" t="s">
        <v>2994</v>
      </c>
      <c r="B661" s="2" t="s">
        <v>53</v>
      </c>
      <c r="C661" s="31" t="str">
        <f>VLOOKUP(irregulares[[#This Row],[Similar a]],padroes[],2,0)</f>
        <v>EAR</v>
      </c>
      <c r="D661" s="3"/>
    </row>
    <row r="662" spans="1:4" x14ac:dyDescent="0.25">
      <c r="A662" s="2" t="s">
        <v>2995</v>
      </c>
      <c r="B662" s="2" t="s">
        <v>53</v>
      </c>
      <c r="C662" s="31" t="str">
        <f>VLOOKUP(irregulares[[#This Row],[Similar a]],padroes[],2,0)</f>
        <v>EAR</v>
      </c>
      <c r="D662" s="3"/>
    </row>
    <row r="663" spans="1:4" x14ac:dyDescent="0.25">
      <c r="A663" s="2" t="s">
        <v>3033</v>
      </c>
      <c r="B663" s="2" t="s">
        <v>53</v>
      </c>
      <c r="C663" s="31" t="str">
        <f>VLOOKUP(irregulares[[#This Row],[Similar a]],padroes[],2,0)</f>
        <v>EAR</v>
      </c>
      <c r="D663" s="3"/>
    </row>
    <row r="664" spans="1:4" x14ac:dyDescent="0.25">
      <c r="A664" s="2" t="s">
        <v>2996</v>
      </c>
      <c r="B664" s="2" t="s">
        <v>53</v>
      </c>
      <c r="C664" s="31" t="str">
        <f>VLOOKUP(irregulares[[#This Row],[Similar a]],padroes[],2,0)</f>
        <v>EAR</v>
      </c>
      <c r="D664" s="3"/>
    </row>
    <row r="665" spans="1:4" x14ac:dyDescent="0.25">
      <c r="A665" s="2" t="s">
        <v>3188</v>
      </c>
      <c r="B665" s="2" t="s">
        <v>74</v>
      </c>
      <c r="C665" s="31" t="str">
        <f>VLOOKUP(irregulares[[#This Row],[Similar a]],padroes[],2,0)</f>
        <v>GAR</v>
      </c>
      <c r="D665" s="3"/>
    </row>
    <row r="666" spans="1:4" x14ac:dyDescent="0.25">
      <c r="A666" s="2" t="s">
        <v>3187</v>
      </c>
      <c r="B666" s="2" t="s">
        <v>74</v>
      </c>
      <c r="C666" s="31" t="str">
        <f>VLOOKUP(irregulares[[#This Row],[Similar a]],padroes[],2,0)</f>
        <v>GAR</v>
      </c>
      <c r="D666" s="3"/>
    </row>
    <row r="667" spans="1:4" x14ac:dyDescent="0.25">
      <c r="A667" s="2" t="s">
        <v>2997</v>
      </c>
      <c r="B667" s="2" t="s">
        <v>53</v>
      </c>
      <c r="C667" s="31" t="str">
        <f>VLOOKUP(irregulares[[#This Row],[Similar a]],padroes[],2,0)</f>
        <v>EAR</v>
      </c>
      <c r="D667" s="3"/>
    </row>
    <row r="668" spans="1:4" x14ac:dyDescent="0.25">
      <c r="A668" s="2" t="s">
        <v>2998</v>
      </c>
      <c r="B668" s="2" t="s">
        <v>53</v>
      </c>
      <c r="C668" s="31" t="str">
        <f>VLOOKUP(irregulares[[#This Row],[Similar a]],padroes[],2,0)</f>
        <v>EAR</v>
      </c>
      <c r="D668" s="3"/>
    </row>
    <row r="669" spans="1:4" x14ac:dyDescent="0.25">
      <c r="A669" s="2" t="s">
        <v>2999</v>
      </c>
      <c r="B669" s="2" t="s">
        <v>53</v>
      </c>
      <c r="C669" s="31" t="str">
        <f>VLOOKUP(irregulares[[#This Row],[Similar a]],padroes[],2,0)</f>
        <v>EAR</v>
      </c>
      <c r="D669" s="3"/>
    </row>
    <row r="670" spans="1:4" x14ac:dyDescent="0.25">
      <c r="A670" s="2" t="s">
        <v>3189</v>
      </c>
      <c r="B670" s="2" t="s">
        <v>74</v>
      </c>
      <c r="C670" s="31" t="str">
        <f>VLOOKUP(irregulares[[#This Row],[Similar a]],padroes[],2,0)</f>
        <v>GAR</v>
      </c>
      <c r="D670" s="3"/>
    </row>
    <row r="671" spans="1:4" x14ac:dyDescent="0.25">
      <c r="A671" s="2" t="s">
        <v>3000</v>
      </c>
      <c r="B671" s="2" t="s">
        <v>53</v>
      </c>
      <c r="C671" s="31" t="str">
        <f>VLOOKUP(irregulares[[#This Row],[Similar a]],padroes[],2,0)</f>
        <v>EAR</v>
      </c>
      <c r="D671" s="3"/>
    </row>
    <row r="672" spans="1:4" x14ac:dyDescent="0.25">
      <c r="A672" s="2" t="s">
        <v>3001</v>
      </c>
      <c r="B672" s="2" t="s">
        <v>53</v>
      </c>
      <c r="C672" s="31" t="str">
        <f>VLOOKUP(irregulares[[#This Row],[Similar a]],padroes[],2,0)</f>
        <v>EAR</v>
      </c>
      <c r="D672" s="3"/>
    </row>
    <row r="673" spans="1:4" x14ac:dyDescent="0.25">
      <c r="A673" s="2" t="s">
        <v>3002</v>
      </c>
      <c r="B673" s="2" t="s">
        <v>53</v>
      </c>
      <c r="C673" s="31" t="str">
        <f>VLOOKUP(irregulares[[#This Row],[Similar a]],padroes[],2,0)</f>
        <v>EAR</v>
      </c>
      <c r="D673" s="3"/>
    </row>
    <row r="674" spans="1:4" x14ac:dyDescent="0.25">
      <c r="A674" s="2" t="s">
        <v>3190</v>
      </c>
      <c r="B674" s="2" t="s">
        <v>74</v>
      </c>
      <c r="C674" s="31" t="str">
        <f>VLOOKUP(irregulares[[#This Row],[Similar a]],padroes[],2,0)</f>
        <v>GAR</v>
      </c>
      <c r="D674" s="3"/>
    </row>
    <row r="675" spans="1:4" x14ac:dyDescent="0.25">
      <c r="A675" s="2" t="s">
        <v>3108</v>
      </c>
      <c r="B675" s="2" t="s">
        <v>44</v>
      </c>
      <c r="C675" s="31" t="str">
        <f>VLOOKUP(irregulares[[#This Row],[Similar a]],padroes[],2,0)</f>
        <v>CAR</v>
      </c>
      <c r="D675" s="3"/>
    </row>
    <row r="676" spans="1:4" x14ac:dyDescent="0.25">
      <c r="A676" s="2" t="s">
        <v>3003</v>
      </c>
      <c r="B676" s="2" t="s">
        <v>53</v>
      </c>
      <c r="C676" s="31" t="str">
        <f>VLOOKUP(irregulares[[#This Row],[Similar a]],padroes[],2,0)</f>
        <v>EAR</v>
      </c>
      <c r="D676" s="3"/>
    </row>
    <row r="677" spans="1:4" x14ac:dyDescent="0.25">
      <c r="A677" s="2" t="s">
        <v>3109</v>
      </c>
      <c r="B677" s="2" t="s">
        <v>44</v>
      </c>
      <c r="C677" s="31" t="str">
        <f>VLOOKUP(irregulares[[#This Row],[Similar a]],padroes[],2,0)</f>
        <v>CAR</v>
      </c>
      <c r="D677" s="3"/>
    </row>
    <row r="678" spans="1:4" x14ac:dyDescent="0.25">
      <c r="A678" s="2" t="s">
        <v>3004</v>
      </c>
      <c r="B678" s="2" t="s">
        <v>53</v>
      </c>
      <c r="C678" s="31" t="str">
        <f>VLOOKUP(irregulares[[#This Row],[Similar a]],padroes[],2,0)</f>
        <v>EAR</v>
      </c>
      <c r="D678" s="3"/>
    </row>
    <row r="679" spans="1:4" x14ac:dyDescent="0.25">
      <c r="A679" s="2" t="s">
        <v>3178</v>
      </c>
      <c r="B679" s="2" t="s">
        <v>1604</v>
      </c>
      <c r="C679" s="31" t="str">
        <f>VLOOKUP(irregulares[[#This Row],[Similar a]],padroes[],2,0)</f>
        <v>Defectivo 3</v>
      </c>
      <c r="D679" s="3"/>
    </row>
    <row r="680" spans="1:4" x14ac:dyDescent="0.25">
      <c r="A680" s="2" t="s">
        <v>3005</v>
      </c>
      <c r="B680" s="2" t="s">
        <v>53</v>
      </c>
      <c r="C680" s="31" t="str">
        <f>VLOOKUP(irregulares[[#This Row],[Similar a]],padroes[],2,0)</f>
        <v>EAR</v>
      </c>
      <c r="D680" s="3"/>
    </row>
    <row r="681" spans="1:4" x14ac:dyDescent="0.25">
      <c r="A681" s="2" t="s">
        <v>3006</v>
      </c>
      <c r="B681" s="2" t="s">
        <v>53</v>
      </c>
      <c r="C681" s="31" t="str">
        <f>VLOOKUP(irregulares[[#This Row],[Similar a]],padroes[],2,0)</f>
        <v>EAR</v>
      </c>
      <c r="D681" s="3"/>
    </row>
    <row r="682" spans="1:4" x14ac:dyDescent="0.25">
      <c r="A682" s="2" t="s">
        <v>3110</v>
      </c>
      <c r="B682" s="2" t="s">
        <v>42</v>
      </c>
      <c r="C682" s="31" t="str">
        <f>VLOOKUP(irregulares[[#This Row],[Similar a]],padroes[],2,0)</f>
        <v>ÇAR</v>
      </c>
      <c r="D682" s="3"/>
    </row>
    <row r="683" spans="1:4" x14ac:dyDescent="0.25">
      <c r="A683" s="2" t="s">
        <v>3007</v>
      </c>
      <c r="B683" s="2" t="s">
        <v>53</v>
      </c>
      <c r="C683" s="31" t="str">
        <f>VLOOKUP(irregulares[[#This Row],[Similar a]],padroes[],2,0)</f>
        <v>EAR</v>
      </c>
      <c r="D683" s="3"/>
    </row>
    <row r="684" spans="1:4" x14ac:dyDescent="0.25">
      <c r="A684" s="2" t="s">
        <v>3216</v>
      </c>
      <c r="B684" s="2" t="s">
        <v>63</v>
      </c>
      <c r="C684" s="31" t="str">
        <f>VLOOKUP(irregulares[[#This Row],[Similar a]],padroes[],2,0)</f>
        <v>CER</v>
      </c>
      <c r="D684" s="3"/>
    </row>
    <row r="685" spans="1:4" x14ac:dyDescent="0.25">
      <c r="A685" s="2" t="s">
        <v>3008</v>
      </c>
      <c r="B685" s="2" t="s">
        <v>53</v>
      </c>
      <c r="C685" s="31" t="str">
        <f>VLOOKUP(irregulares[[#This Row],[Similar a]],padroes[],2,0)</f>
        <v>EAR</v>
      </c>
      <c r="D685" s="3"/>
    </row>
    <row r="686" spans="1:4" x14ac:dyDescent="0.25">
      <c r="A686" s="2" t="s">
        <v>3009</v>
      </c>
      <c r="B686" s="2" t="s">
        <v>53</v>
      </c>
      <c r="C686" s="31" t="str">
        <f>VLOOKUP(irregulares[[#This Row],[Similar a]],padroes[],2,0)</f>
        <v>EAR</v>
      </c>
      <c r="D686" s="3"/>
    </row>
    <row r="687" spans="1:4" x14ac:dyDescent="0.25">
      <c r="A687" s="2" t="s">
        <v>3010</v>
      </c>
      <c r="B687" s="2" t="s">
        <v>53</v>
      </c>
      <c r="C687" s="31" t="str">
        <f>VLOOKUP(irregulares[[#This Row],[Similar a]],padroes[],2,0)</f>
        <v>EAR</v>
      </c>
      <c r="D687" s="3"/>
    </row>
    <row r="688" spans="1:4" x14ac:dyDescent="0.25">
      <c r="A688" s="2" t="s">
        <v>3011</v>
      </c>
      <c r="B688" s="2" t="s">
        <v>53</v>
      </c>
      <c r="C688" s="31" t="str">
        <f>VLOOKUP(irregulares[[#This Row],[Similar a]],padroes[],2,0)</f>
        <v>EAR</v>
      </c>
      <c r="D688" s="3"/>
    </row>
    <row r="689" spans="1:4" x14ac:dyDescent="0.25">
      <c r="A689" s="2" t="s">
        <v>3012</v>
      </c>
      <c r="B689" s="2" t="s">
        <v>53</v>
      </c>
      <c r="C689" s="31" t="str">
        <f>VLOOKUP(irregulares[[#This Row],[Similar a]],padroes[],2,0)</f>
        <v>EAR</v>
      </c>
      <c r="D689" s="3"/>
    </row>
    <row r="690" spans="1:4" x14ac:dyDescent="0.25">
      <c r="A690" s="2" t="s">
        <v>3013</v>
      </c>
      <c r="B690" s="2" t="s">
        <v>53</v>
      </c>
      <c r="C690" s="31" t="str">
        <f>VLOOKUP(irregulares[[#This Row],[Similar a]],padroes[],2,0)</f>
        <v>EAR</v>
      </c>
      <c r="D690" s="3"/>
    </row>
    <row r="691" spans="1:4" x14ac:dyDescent="0.25">
      <c r="A691" s="2" t="s">
        <v>3217</v>
      </c>
      <c r="B691" s="2" t="s">
        <v>1717</v>
      </c>
      <c r="C691" s="31" t="str">
        <f>VLOOKUP(irregulares[[#This Row],[Similar a]],padroes[],2,0)</f>
        <v>Defectivo 1</v>
      </c>
      <c r="D691" s="3"/>
    </row>
    <row r="692" spans="1:4" x14ac:dyDescent="0.25">
      <c r="A692" s="2" t="s">
        <v>3014</v>
      </c>
      <c r="B692" s="2" t="s">
        <v>53</v>
      </c>
      <c r="C692" s="31" t="str">
        <f>VLOOKUP(irregulares[[#This Row],[Similar a]],padroes[],2,0)</f>
        <v>EAR</v>
      </c>
      <c r="D692" s="3"/>
    </row>
    <row r="693" spans="1:4" x14ac:dyDescent="0.25">
      <c r="A693" s="2" t="s">
        <v>3015</v>
      </c>
      <c r="B693" s="2" t="s">
        <v>53</v>
      </c>
      <c r="C693" s="31" t="str">
        <f>VLOOKUP(irregulares[[#This Row],[Similar a]],padroes[],2,0)</f>
        <v>EAR</v>
      </c>
      <c r="D693" s="3"/>
    </row>
    <row r="694" spans="1:4" x14ac:dyDescent="0.25">
      <c r="A694" s="2" t="s">
        <v>3016</v>
      </c>
      <c r="B694" s="2" t="s">
        <v>53</v>
      </c>
      <c r="C694" s="31" t="str">
        <f>VLOOKUP(irregulares[[#This Row],[Similar a]],padroes[],2,0)</f>
        <v>EAR</v>
      </c>
      <c r="D694" s="3"/>
    </row>
    <row r="695" spans="1:4" x14ac:dyDescent="0.25">
      <c r="A695" s="2" t="s">
        <v>2397</v>
      </c>
      <c r="B695" s="2" t="s">
        <v>60</v>
      </c>
      <c r="C695" s="31" t="str">
        <f>VLOOKUP(irregulares[[#This Row],[Similar a]],padroes[],2,0)</f>
        <v>GAR</v>
      </c>
      <c r="D695" s="3"/>
    </row>
    <row r="696" spans="1:4" x14ac:dyDescent="0.25">
      <c r="A696" s="2" t="s">
        <v>3017</v>
      </c>
      <c r="B696" s="2" t="s">
        <v>53</v>
      </c>
      <c r="C696" s="31" t="str">
        <f>VLOOKUP(irregulares[[#This Row],[Similar a]],padroes[],2,0)</f>
        <v>EAR</v>
      </c>
      <c r="D696" s="3"/>
    </row>
    <row r="697" spans="1:4" x14ac:dyDescent="0.25">
      <c r="A697" s="2" t="s">
        <v>3018</v>
      </c>
      <c r="B697" s="2" t="s">
        <v>53</v>
      </c>
      <c r="C697" s="31" t="str">
        <f>VLOOKUP(irregulares[[#This Row],[Similar a]],padroes[],2,0)</f>
        <v>EAR</v>
      </c>
      <c r="D697" s="3"/>
    </row>
    <row r="698" spans="1:4" x14ac:dyDescent="0.25">
      <c r="A698" s="2" t="s">
        <v>3111</v>
      </c>
      <c r="B698" s="2" t="s">
        <v>44</v>
      </c>
      <c r="C698" s="31" t="str">
        <f>VLOOKUP(irregulares[[#This Row],[Similar a]],padroes[],2,0)</f>
        <v>CAR</v>
      </c>
      <c r="D698" s="3"/>
    </row>
    <row r="699" spans="1:4" x14ac:dyDescent="0.25">
      <c r="A699" s="2" t="s">
        <v>3019</v>
      </c>
      <c r="B699" s="2" t="s">
        <v>53</v>
      </c>
      <c r="C699" s="31" t="str">
        <f>VLOOKUP(irregulares[[#This Row],[Similar a]],padroes[],2,0)</f>
        <v>EAR</v>
      </c>
      <c r="D699" s="3"/>
    </row>
    <row r="700" spans="1:4" x14ac:dyDescent="0.25">
      <c r="A700" s="2" t="s">
        <v>3020</v>
      </c>
      <c r="B700" s="2" t="s">
        <v>53</v>
      </c>
      <c r="C700" s="31" t="str">
        <f>VLOOKUP(irregulares[[#This Row],[Similar a]],padroes[],2,0)</f>
        <v>EAR</v>
      </c>
      <c r="D700" s="3"/>
    </row>
    <row r="701" spans="1:4" x14ac:dyDescent="0.25">
      <c r="A701" s="2" t="s">
        <v>3112</v>
      </c>
      <c r="B701" s="2" t="s">
        <v>44</v>
      </c>
      <c r="C701" s="31" t="str">
        <f>VLOOKUP(irregulares[[#This Row],[Similar a]],padroes[],2,0)</f>
        <v>CAR</v>
      </c>
      <c r="D701" s="3"/>
    </row>
    <row r="702" spans="1:4" x14ac:dyDescent="0.25">
      <c r="A702" s="2" t="s">
        <v>3218</v>
      </c>
      <c r="B702" s="2" t="s">
        <v>1604</v>
      </c>
      <c r="C702" s="31" t="str">
        <f>VLOOKUP(irregulares[[#This Row],[Similar a]],padroes[],2,0)</f>
        <v>Defectivo 3</v>
      </c>
      <c r="D702" s="3"/>
    </row>
    <row r="703" spans="1:4" x14ac:dyDescent="0.25">
      <c r="A703" s="2" t="s">
        <v>3021</v>
      </c>
      <c r="B703" s="2" t="s">
        <v>53</v>
      </c>
      <c r="C703" s="31" t="str">
        <f>VLOOKUP(irregulares[[#This Row],[Similar a]],padroes[],2,0)</f>
        <v>EAR</v>
      </c>
      <c r="D703" s="3"/>
    </row>
    <row r="704" spans="1:4" x14ac:dyDescent="0.25">
      <c r="A704" s="2" t="s">
        <v>3113</v>
      </c>
      <c r="B704" s="2" t="s">
        <v>44</v>
      </c>
      <c r="C704" s="31" t="str">
        <f>VLOOKUP(irregulares[[#This Row],[Similar a]],padroes[],2,0)</f>
        <v>CAR</v>
      </c>
      <c r="D704" s="3"/>
    </row>
    <row r="705" spans="1:4" x14ac:dyDescent="0.25">
      <c r="A705" s="2" t="s">
        <v>3114</v>
      </c>
      <c r="B705" s="2" t="s">
        <v>44</v>
      </c>
      <c r="C705" s="31" t="str">
        <f>VLOOKUP(irregulares[[#This Row],[Similar a]],padroes[],2,0)</f>
        <v>CAR</v>
      </c>
      <c r="D705" s="3"/>
    </row>
    <row r="706" spans="1:4" x14ac:dyDescent="0.25">
      <c r="A706" s="2" t="s">
        <v>3191</v>
      </c>
      <c r="B706" s="2" t="s">
        <v>74</v>
      </c>
      <c r="C706" s="31" t="str">
        <f>VLOOKUP(irregulares[[#This Row],[Similar a]],padroes[],2,0)</f>
        <v>GAR</v>
      </c>
      <c r="D706" s="3"/>
    </row>
    <row r="707" spans="1:4" x14ac:dyDescent="0.25">
      <c r="A707" s="2" t="s">
        <v>3219</v>
      </c>
      <c r="B707" s="2" t="s">
        <v>55</v>
      </c>
      <c r="C707" s="31" t="str">
        <f>VLOOKUP(irregulares[[#This Row],[Similar a]],padroes[],2,0)</f>
        <v>EJAR ô</v>
      </c>
      <c r="D707" s="3"/>
    </row>
    <row r="708" spans="1:4" x14ac:dyDescent="0.25">
      <c r="A708" s="2" t="s">
        <v>3192</v>
      </c>
      <c r="B708" s="2" t="s">
        <v>74</v>
      </c>
      <c r="C708" s="31" t="str">
        <f>VLOOKUP(irregulares[[#This Row],[Similar a]],padroes[],2,0)</f>
        <v>GAR</v>
      </c>
      <c r="D708" s="3"/>
    </row>
    <row r="709" spans="1:4" x14ac:dyDescent="0.25">
      <c r="A709" s="2" t="s">
        <v>3022</v>
      </c>
      <c r="B709" s="2" t="s">
        <v>53</v>
      </c>
      <c r="C709" s="31" t="str">
        <f>VLOOKUP(irregulares[[#This Row],[Similar a]],padroes[],2,0)</f>
        <v>EAR</v>
      </c>
      <c r="D709" s="3"/>
    </row>
    <row r="710" spans="1:4" x14ac:dyDescent="0.25">
      <c r="A710" s="2" t="s">
        <v>3193</v>
      </c>
      <c r="B710" s="2" t="s">
        <v>74</v>
      </c>
      <c r="C710" s="31" t="str">
        <f>VLOOKUP(irregulares[[#This Row],[Similar a]],padroes[],2,0)</f>
        <v>GAR</v>
      </c>
      <c r="D710" s="3"/>
    </row>
    <row r="711" spans="1:4" x14ac:dyDescent="0.25">
      <c r="A711" s="2" t="s">
        <v>3115</v>
      </c>
      <c r="B711" s="2" t="s">
        <v>44</v>
      </c>
      <c r="C711" s="31" t="str">
        <f>VLOOKUP(irregulares[[#This Row],[Similar a]],padroes[],2,0)</f>
        <v>CAR</v>
      </c>
      <c r="D711" s="3"/>
    </row>
    <row r="712" spans="1:4" x14ac:dyDescent="0.25">
      <c r="A712" s="2" t="s">
        <v>3116</v>
      </c>
      <c r="B712" s="2" t="s">
        <v>44</v>
      </c>
      <c r="C712" s="31" t="str">
        <f>VLOOKUP(irregulares[[#This Row],[Similar a]],padroes[],2,0)</f>
        <v>CAR</v>
      </c>
      <c r="D712" s="3"/>
    </row>
    <row r="713" spans="1:4" x14ac:dyDescent="0.25">
      <c r="A713" s="2" t="s">
        <v>3117</v>
      </c>
      <c r="B713" s="2" t="s">
        <v>44</v>
      </c>
      <c r="C713" s="31" t="str">
        <f>VLOOKUP(irregulares[[#This Row],[Similar a]],padroes[],2,0)</f>
        <v>CAR</v>
      </c>
      <c r="D713" s="3"/>
    </row>
    <row r="714" spans="1:4" x14ac:dyDescent="0.25">
      <c r="A714" s="2" t="s">
        <v>3023</v>
      </c>
      <c r="B714" s="2" t="s">
        <v>53</v>
      </c>
      <c r="C714" s="31" t="str">
        <f>VLOOKUP(irregulares[[#This Row],[Similar a]],padroes[],2,0)</f>
        <v>EAR</v>
      </c>
      <c r="D714" s="3"/>
    </row>
    <row r="715" spans="1:4" x14ac:dyDescent="0.25">
      <c r="A715" s="2" t="s">
        <v>3180</v>
      </c>
      <c r="B715" s="2" t="s">
        <v>74</v>
      </c>
      <c r="C715" s="31" t="str">
        <f>VLOOKUP(irregulares[[#This Row],[Similar a]],padroes[],2,0)</f>
        <v>GAR</v>
      </c>
      <c r="D715" s="3"/>
    </row>
    <row r="716" spans="1:4" x14ac:dyDescent="0.25">
      <c r="A716" s="2" t="s">
        <v>3208</v>
      </c>
      <c r="B716" s="2" t="s">
        <v>49</v>
      </c>
      <c r="C716" s="31" t="str">
        <f>VLOOKUP(irregulares[[#This Row],[Similar a]],padroes[],2,0)</f>
        <v>OAR</v>
      </c>
      <c r="D716" s="3"/>
    </row>
    <row r="717" spans="1:4" x14ac:dyDescent="0.25">
      <c r="A717" s="2" t="s">
        <v>3024</v>
      </c>
      <c r="B717" s="2" t="s">
        <v>53</v>
      </c>
      <c r="C717" s="31" t="str">
        <f>VLOOKUP(irregulares[[#This Row],[Similar a]],padroes[],2,0)</f>
        <v>EAR</v>
      </c>
      <c r="D717" s="3"/>
    </row>
    <row r="718" spans="1:4" x14ac:dyDescent="0.25">
      <c r="A718" s="2" t="s">
        <v>3025</v>
      </c>
      <c r="B718" s="2" t="s">
        <v>53</v>
      </c>
      <c r="C718" s="31" t="str">
        <f>VLOOKUP(irregulares[[#This Row],[Similar a]],padroes[],2,0)</f>
        <v>EAR</v>
      </c>
      <c r="D718" s="3"/>
    </row>
    <row r="719" spans="1:4" x14ac:dyDescent="0.25">
      <c r="A719" s="2" t="s">
        <v>3118</v>
      </c>
      <c r="B719" s="2" t="s">
        <v>44</v>
      </c>
      <c r="C719" s="31" t="str">
        <f>VLOOKUP(irregulares[[#This Row],[Similar a]],padroes[],2,0)</f>
        <v>CAR</v>
      </c>
      <c r="D719" s="3"/>
    </row>
    <row r="720" spans="1:4" x14ac:dyDescent="0.25">
      <c r="A720" s="2" t="s">
        <v>3119</v>
      </c>
      <c r="B720" s="2" t="s">
        <v>44</v>
      </c>
      <c r="C720" s="31" t="str">
        <f>VLOOKUP(irregulares[[#This Row],[Similar a]],padroes[],2,0)</f>
        <v>CAR</v>
      </c>
      <c r="D720" s="3"/>
    </row>
    <row r="721" spans="1:4" x14ac:dyDescent="0.25">
      <c r="A721" s="2" t="s">
        <v>3181</v>
      </c>
      <c r="B721" s="2" t="s">
        <v>74</v>
      </c>
      <c r="C721" s="31" t="str">
        <f>VLOOKUP(irregulares[[#This Row],[Similar a]],padroes[],2,0)</f>
        <v>GAR</v>
      </c>
      <c r="D721" s="3"/>
    </row>
    <row r="722" spans="1:4" x14ac:dyDescent="0.25">
      <c r="A722" s="2" t="s">
        <v>3026</v>
      </c>
      <c r="B722" s="2" t="s">
        <v>53</v>
      </c>
      <c r="C722" s="31" t="str">
        <f>VLOOKUP(irregulares[[#This Row],[Similar a]],padroes[],2,0)</f>
        <v>EAR</v>
      </c>
      <c r="D722" s="3"/>
    </row>
    <row r="723" spans="1:4" x14ac:dyDescent="0.25">
      <c r="A723" s="2" t="s">
        <v>3027</v>
      </c>
      <c r="B723" s="2" t="s">
        <v>53</v>
      </c>
      <c r="C723" s="31" t="str">
        <f>VLOOKUP(irregulares[[#This Row],[Similar a]],padroes[],2,0)</f>
        <v>EAR</v>
      </c>
      <c r="D723" s="3"/>
    </row>
    <row r="724" spans="1:4" x14ac:dyDescent="0.25">
      <c r="A724" s="2" t="s">
        <v>3202</v>
      </c>
      <c r="B724" s="2" t="s">
        <v>60</v>
      </c>
      <c r="C724" s="31" t="str">
        <f>VLOOKUP(irregulares[[#This Row],[Similar a]],padroes[],2,0)</f>
        <v>GAR</v>
      </c>
      <c r="D724" s="3"/>
    </row>
    <row r="725" spans="1:4" x14ac:dyDescent="0.25">
      <c r="A725" s="2" t="s">
        <v>3220</v>
      </c>
      <c r="B725" s="2" t="s">
        <v>157</v>
      </c>
      <c r="C725" s="31" t="str">
        <f>VLOOKUP(irregulares[[#This Row],[Similar a]],padroes[],2,0)</f>
        <v>ELHAR</v>
      </c>
      <c r="D725" s="3"/>
    </row>
    <row r="726" spans="1:4" x14ac:dyDescent="0.25">
      <c r="A726" s="2" t="s">
        <v>3182</v>
      </c>
      <c r="B726" s="2" t="s">
        <v>74</v>
      </c>
      <c r="C726" s="31" t="str">
        <f>VLOOKUP(irregulares[[#This Row],[Similar a]],padroes[],2,0)</f>
        <v>GAR</v>
      </c>
      <c r="D726" s="3"/>
    </row>
    <row r="727" spans="1:4" x14ac:dyDescent="0.25">
      <c r="A727" s="2" t="s">
        <v>3120</v>
      </c>
      <c r="B727" s="2" t="s">
        <v>44</v>
      </c>
      <c r="C727" s="31" t="str">
        <f>VLOOKUP(irregulares[[#This Row],[Similar a]],padroes[],2,0)</f>
        <v>CAR</v>
      </c>
      <c r="D727" s="3"/>
    </row>
    <row r="728" spans="1:4" x14ac:dyDescent="0.25">
      <c r="A728" s="2" t="s">
        <v>3121</v>
      </c>
      <c r="B728" s="2" t="s">
        <v>44</v>
      </c>
      <c r="C728" s="31" t="str">
        <f>VLOOKUP(irregulares[[#This Row],[Similar a]],padroes[],2,0)</f>
        <v>CAR</v>
      </c>
      <c r="D728" s="3"/>
    </row>
    <row r="729" spans="1:4" x14ac:dyDescent="0.25">
      <c r="A729" s="2" t="s">
        <v>3028</v>
      </c>
      <c r="B729" s="2" t="s">
        <v>53</v>
      </c>
      <c r="C729" s="31" t="str">
        <f>VLOOKUP(irregulares[[#This Row],[Similar a]],padroes[],2,0)</f>
        <v>EAR</v>
      </c>
      <c r="D729" s="3"/>
    </row>
    <row r="730" spans="1:4" x14ac:dyDescent="0.25">
      <c r="A730" s="2" t="s">
        <v>3029</v>
      </c>
      <c r="B730" s="2" t="s">
        <v>53</v>
      </c>
      <c r="C730" s="31" t="str">
        <f>VLOOKUP(irregulares[[#This Row],[Similar a]],padroes[],2,0)</f>
        <v>EAR</v>
      </c>
      <c r="D730" s="3"/>
    </row>
    <row r="731" spans="1:4" x14ac:dyDescent="0.25">
      <c r="A731" s="2" t="s">
        <v>3221</v>
      </c>
      <c r="B731" s="2" t="s">
        <v>950</v>
      </c>
      <c r="C731" s="31" t="str">
        <f>VLOOKUP(irregulares[[#This Row],[Similar a]],padroes[],2,0)</f>
        <v>E-X-IR</v>
      </c>
      <c r="D731" s="3"/>
    </row>
    <row r="732" spans="1:4" x14ac:dyDescent="0.25">
      <c r="A732" s="2" t="s">
        <v>3222</v>
      </c>
      <c r="B732" s="2" t="s">
        <v>3222</v>
      </c>
      <c r="C732" s="31" t="str">
        <f>VLOOKUP(irregulares[[#This Row],[Similar a]],padroes[],2,0)</f>
        <v>E-X-IR</v>
      </c>
      <c r="D732" s="3"/>
    </row>
    <row r="733" spans="1:4" x14ac:dyDescent="0.25">
      <c r="A733" s="2" t="s">
        <v>3122</v>
      </c>
      <c r="B733" s="2" t="s">
        <v>44</v>
      </c>
      <c r="C733" s="31" t="str">
        <f>VLOOKUP(irregulares[[#This Row],[Similar a]],padroes[],2,0)</f>
        <v>CAR</v>
      </c>
      <c r="D733" s="3"/>
    </row>
    <row r="734" spans="1:4" x14ac:dyDescent="0.25">
      <c r="A734" s="2" t="s">
        <v>3223</v>
      </c>
      <c r="B734" s="2" t="s">
        <v>55</v>
      </c>
      <c r="C734" s="31" t="str">
        <f>VLOOKUP(irregulares[[#This Row],[Similar a]],padroes[],2,0)</f>
        <v>EJAR ô</v>
      </c>
      <c r="D734" s="3"/>
    </row>
    <row r="735" spans="1:4" x14ac:dyDescent="0.25">
      <c r="A735" s="2" t="s">
        <v>3224</v>
      </c>
      <c r="B735" s="2" t="s">
        <v>3224</v>
      </c>
      <c r="C735" s="31" t="str">
        <f>VLOOKUP(irregulares[[#This Row],[Similar a]],padroes[],2,0)</f>
        <v>CERZIR</v>
      </c>
      <c r="D735" s="3"/>
    </row>
    <row r="736" spans="1:4" x14ac:dyDescent="0.25">
      <c r="A736" s="2" t="s">
        <v>3123</v>
      </c>
      <c r="B736" s="2" t="s">
        <v>42</v>
      </c>
      <c r="C736" s="31" t="str">
        <f>VLOOKUP(irregulares[[#This Row],[Similar a]],padroes[],2,0)</f>
        <v>ÇAR</v>
      </c>
      <c r="D736" s="3"/>
    </row>
    <row r="737" spans="1:4" x14ac:dyDescent="0.25">
      <c r="A737" s="2" t="s">
        <v>3030</v>
      </c>
      <c r="B737" s="2" t="s">
        <v>53</v>
      </c>
      <c r="C737" s="31" t="str">
        <f>VLOOKUP(irregulares[[#This Row],[Similar a]],padroes[],2,0)</f>
        <v>EAR</v>
      </c>
      <c r="D737" s="3"/>
    </row>
    <row r="738" spans="1:4" x14ac:dyDescent="0.25">
      <c r="A738" s="2" t="s">
        <v>3183</v>
      </c>
      <c r="B738" s="2" t="s">
        <v>74</v>
      </c>
      <c r="C738" s="31" t="str">
        <f>VLOOKUP(irregulares[[#This Row],[Similar a]],padroes[],2,0)</f>
        <v>GAR</v>
      </c>
      <c r="D738" s="3"/>
    </row>
    <row r="739" spans="1:4" x14ac:dyDescent="0.25">
      <c r="A739" s="2" t="s">
        <v>3124</v>
      </c>
      <c r="B739" s="2" t="s">
        <v>42</v>
      </c>
      <c r="C739" s="31" t="str">
        <f>VLOOKUP(irregulares[[#This Row],[Similar a]],padroes[],2,0)</f>
        <v>ÇAR</v>
      </c>
      <c r="D739" s="3"/>
    </row>
    <row r="740" spans="1:4" x14ac:dyDescent="0.25">
      <c r="A740" s="2" t="s">
        <v>3031</v>
      </c>
      <c r="B740" s="2" t="s">
        <v>53</v>
      </c>
      <c r="C740" s="31" t="str">
        <f>VLOOKUP(irregulares[[#This Row],[Similar a]],padroes[],2,0)</f>
        <v>EAR</v>
      </c>
      <c r="D740" s="3"/>
    </row>
    <row r="741" spans="1:4" x14ac:dyDescent="0.25">
      <c r="A741" s="2" t="s">
        <v>3032</v>
      </c>
      <c r="B741" s="2" t="s">
        <v>53</v>
      </c>
      <c r="C741" s="31" t="str">
        <f>VLOOKUP(irregulares[[#This Row],[Similar a]],padroes[],2,0)</f>
        <v>EAR</v>
      </c>
      <c r="D741" s="3"/>
    </row>
    <row r="742" spans="1:4" x14ac:dyDescent="0.25">
      <c r="A742" s="2" t="s">
        <v>3125</v>
      </c>
      <c r="B742" s="2" t="s">
        <v>44</v>
      </c>
      <c r="C742" s="31" t="str">
        <f>VLOOKUP(irregulares[[#This Row],[Similar a]],padroes[],2,0)</f>
        <v>CAR</v>
      </c>
      <c r="D742" s="3"/>
    </row>
    <row r="743" spans="1:4" x14ac:dyDescent="0.25">
      <c r="A743" s="2" t="s">
        <v>3225</v>
      </c>
      <c r="B743" s="2" t="s">
        <v>55</v>
      </c>
      <c r="C743" s="31" t="str">
        <f>VLOOKUP(irregulares[[#This Row],[Similar a]],padroes[],2,0)</f>
        <v>EJAR ô</v>
      </c>
      <c r="D743" s="3"/>
    </row>
    <row r="744" spans="1:4" x14ac:dyDescent="0.25">
      <c r="A744" s="2" t="s">
        <v>3126</v>
      </c>
      <c r="B744" s="2" t="s">
        <v>44</v>
      </c>
      <c r="C744" s="31" t="str">
        <f>VLOOKUP(irregulares[[#This Row],[Similar a]],padroes[],2,0)</f>
        <v>CAR</v>
      </c>
      <c r="D744" s="3"/>
    </row>
    <row r="745" spans="1:4" x14ac:dyDescent="0.25">
      <c r="A745" s="2" t="s">
        <v>3034</v>
      </c>
      <c r="B745" s="2" t="s">
        <v>53</v>
      </c>
      <c r="C745" s="31" t="str">
        <f>VLOOKUP(irregulares[[#This Row],[Similar a]],padroes[],2,0)</f>
        <v>EAR</v>
      </c>
      <c r="D745" s="3"/>
    </row>
    <row r="746" spans="1:4" x14ac:dyDescent="0.25">
      <c r="A746" s="2" t="s">
        <v>3194</v>
      </c>
      <c r="B746" s="2" t="s">
        <v>74</v>
      </c>
      <c r="C746" s="31" t="str">
        <f>VLOOKUP(irregulares[[#This Row],[Similar a]],padroes[],2,0)</f>
        <v>GAR</v>
      </c>
      <c r="D746" s="3"/>
    </row>
    <row r="747" spans="1:4" x14ac:dyDescent="0.25">
      <c r="A747" s="2" t="s">
        <v>3035</v>
      </c>
      <c r="B747" s="2" t="s">
        <v>53</v>
      </c>
      <c r="C747" s="31" t="str">
        <f>VLOOKUP(irregulares[[#This Row],[Similar a]],padroes[],2,0)</f>
        <v>EAR</v>
      </c>
      <c r="D747" s="3"/>
    </row>
    <row r="748" spans="1:4" x14ac:dyDescent="0.25">
      <c r="A748" s="2" t="s">
        <v>3036</v>
      </c>
      <c r="B748" s="2" t="s">
        <v>53</v>
      </c>
      <c r="C748" s="31" t="str">
        <f>VLOOKUP(irregulares[[#This Row],[Similar a]],padroes[],2,0)</f>
        <v>EAR</v>
      </c>
      <c r="D748" s="3"/>
    </row>
    <row r="749" spans="1:4" x14ac:dyDescent="0.25">
      <c r="A749" s="2" t="s">
        <v>3037</v>
      </c>
      <c r="B749" s="2" t="s">
        <v>53</v>
      </c>
      <c r="C749" s="31" t="str">
        <f>VLOOKUP(irregulares[[#This Row],[Similar a]],padroes[],2,0)</f>
        <v>EAR</v>
      </c>
      <c r="D749" s="3"/>
    </row>
    <row r="750" spans="1:4" x14ac:dyDescent="0.25">
      <c r="A750" s="2" t="s">
        <v>3127</v>
      </c>
      <c r="B750" s="2" t="s">
        <v>44</v>
      </c>
      <c r="C750" s="31" t="str">
        <f>VLOOKUP(irregulares[[#This Row],[Similar a]],padroes[],2,0)</f>
        <v>CAR</v>
      </c>
      <c r="D750" s="3"/>
    </row>
    <row r="751" spans="1:4" x14ac:dyDescent="0.25">
      <c r="A751" s="2" t="s">
        <v>3038</v>
      </c>
      <c r="B751" s="2" t="s">
        <v>53</v>
      </c>
      <c r="C751" s="31" t="str">
        <f>VLOOKUP(irregulares[[#This Row],[Similar a]],padroes[],2,0)</f>
        <v>EAR</v>
      </c>
      <c r="D751" s="3"/>
    </row>
    <row r="752" spans="1:4" x14ac:dyDescent="0.25">
      <c r="A752" s="2" t="s">
        <v>3039</v>
      </c>
      <c r="B752" s="2" t="s">
        <v>53</v>
      </c>
      <c r="C752" s="31" t="str">
        <f>VLOOKUP(irregulares[[#This Row],[Similar a]],padroes[],2,0)</f>
        <v>EAR</v>
      </c>
      <c r="D752" s="3"/>
    </row>
    <row r="753" spans="1:4" x14ac:dyDescent="0.25">
      <c r="A753" s="2" t="s">
        <v>3128</v>
      </c>
      <c r="B753" s="2" t="s">
        <v>44</v>
      </c>
      <c r="C753" s="31" t="str">
        <f>VLOOKUP(irregulares[[#This Row],[Similar a]],padroes[],2,0)</f>
        <v>CAR</v>
      </c>
      <c r="D753" s="3"/>
    </row>
    <row r="754" spans="1:4" x14ac:dyDescent="0.25">
      <c r="A754" s="2" t="s">
        <v>3040</v>
      </c>
      <c r="B754" s="2" t="s">
        <v>53</v>
      </c>
      <c r="C754" s="31" t="str">
        <f>VLOOKUP(irregulares[[#This Row],[Similar a]],padroes[],2,0)</f>
        <v>EAR</v>
      </c>
      <c r="D754" s="3"/>
    </row>
    <row r="755" spans="1:4" x14ac:dyDescent="0.25">
      <c r="A755" s="2" t="s">
        <v>3041</v>
      </c>
      <c r="B755" s="2" t="s">
        <v>53</v>
      </c>
      <c r="C755" s="31" t="str">
        <f>VLOOKUP(irregulares[[#This Row],[Similar a]],padroes[],2,0)</f>
        <v>EAR</v>
      </c>
      <c r="D755" s="3"/>
    </row>
    <row r="756" spans="1:4" x14ac:dyDescent="0.25">
      <c r="A756" s="2" t="s">
        <v>3042</v>
      </c>
      <c r="B756" s="2" t="s">
        <v>53</v>
      </c>
      <c r="C756" s="31" t="str">
        <f>VLOOKUP(irregulares[[#This Row],[Similar a]],padroes[],2,0)</f>
        <v>EAR</v>
      </c>
      <c r="D756" s="3"/>
    </row>
    <row r="757" spans="1:4" x14ac:dyDescent="0.25">
      <c r="A757" s="2" t="s">
        <v>3129</v>
      </c>
      <c r="B757" s="2" t="s">
        <v>44</v>
      </c>
      <c r="C757" s="31" t="str">
        <f>VLOOKUP(irregulares[[#This Row],[Similar a]],padroes[],2,0)</f>
        <v>CAR</v>
      </c>
      <c r="D757" s="3"/>
    </row>
    <row r="758" spans="1:4" x14ac:dyDescent="0.25">
      <c r="A758" s="2" t="s">
        <v>3043</v>
      </c>
      <c r="B758" s="2" t="s">
        <v>53</v>
      </c>
      <c r="C758" s="31" t="str">
        <f>VLOOKUP(irregulares[[#This Row],[Similar a]],padroes[],2,0)</f>
        <v>EAR</v>
      </c>
      <c r="D758" s="3"/>
    </row>
    <row r="759" spans="1:4" x14ac:dyDescent="0.25">
      <c r="A759" s="2" t="s">
        <v>3130</v>
      </c>
      <c r="B759" s="2" t="s">
        <v>44</v>
      </c>
      <c r="C759" s="31" t="str">
        <f>VLOOKUP(irregulares[[#This Row],[Similar a]],padroes[],2,0)</f>
        <v>CAR</v>
      </c>
      <c r="D759" s="3"/>
    </row>
    <row r="760" spans="1:4" x14ac:dyDescent="0.25">
      <c r="A760" s="2" t="s">
        <v>161</v>
      </c>
      <c r="B760" s="2" t="s">
        <v>161</v>
      </c>
      <c r="C760" s="31" t="str">
        <f>VLOOKUP(irregulares[[#This Row],[Similar a]],padroes[],2,0)</f>
        <v>GAR</v>
      </c>
      <c r="D760" s="3"/>
    </row>
    <row r="761" spans="1:4" x14ac:dyDescent="0.25">
      <c r="A761" s="2" t="s">
        <v>3044</v>
      </c>
      <c r="B761" s="2" t="s">
        <v>53</v>
      </c>
      <c r="C761" s="31" t="str">
        <f>VLOOKUP(irregulares[[#This Row],[Similar a]],padroes[],2,0)</f>
        <v>EAR</v>
      </c>
      <c r="D761" s="3"/>
    </row>
    <row r="762" spans="1:4" x14ac:dyDescent="0.25">
      <c r="A762" s="2" t="s">
        <v>3045</v>
      </c>
      <c r="B762" s="2" t="s">
        <v>53</v>
      </c>
      <c r="C762" s="31" t="str">
        <f>VLOOKUP(irregulares[[#This Row],[Similar a]],padroes[],2,0)</f>
        <v>EAR</v>
      </c>
      <c r="D762" s="3"/>
    </row>
    <row r="763" spans="1:4" x14ac:dyDescent="0.25">
      <c r="A763" s="2" t="s">
        <v>3046</v>
      </c>
      <c r="B763" s="2" t="s">
        <v>53</v>
      </c>
      <c r="C763" s="31" t="str">
        <f>VLOOKUP(irregulares[[#This Row],[Similar a]],padroes[],2,0)</f>
        <v>EAR</v>
      </c>
      <c r="D763" s="3"/>
    </row>
    <row r="764" spans="1:4" x14ac:dyDescent="0.25">
      <c r="A764" s="2" t="s">
        <v>3047</v>
      </c>
      <c r="B764" s="2" t="s">
        <v>53</v>
      </c>
      <c r="C764" s="31" t="str">
        <f>VLOOKUP(irregulares[[#This Row],[Similar a]],padroes[],2,0)</f>
        <v>EAR</v>
      </c>
      <c r="D764" s="3"/>
    </row>
    <row r="765" spans="1:4" x14ac:dyDescent="0.25">
      <c r="A765" s="2" t="s">
        <v>3048</v>
      </c>
      <c r="B765" s="2" t="s">
        <v>53</v>
      </c>
      <c r="C765" s="31" t="str">
        <f>VLOOKUP(irregulares[[#This Row],[Similar a]],padroes[],2,0)</f>
        <v>EAR</v>
      </c>
      <c r="D765" s="3"/>
    </row>
    <row r="766" spans="1:4" x14ac:dyDescent="0.25">
      <c r="A766" s="2" t="s">
        <v>3049</v>
      </c>
      <c r="B766" s="2" t="s">
        <v>53</v>
      </c>
      <c r="C766" s="31" t="str">
        <f>VLOOKUP(irregulares[[#This Row],[Similar a]],padroes[],2,0)</f>
        <v>EAR</v>
      </c>
      <c r="D766" s="3"/>
    </row>
    <row r="767" spans="1:4" x14ac:dyDescent="0.25">
      <c r="A767" s="2" t="s">
        <v>3050</v>
      </c>
      <c r="B767" s="2" t="s">
        <v>53</v>
      </c>
      <c r="C767" s="31" t="str">
        <f>VLOOKUP(irregulares[[#This Row],[Similar a]],padroes[],2,0)</f>
        <v>EAR</v>
      </c>
      <c r="D767" s="3"/>
    </row>
    <row r="768" spans="1:4" x14ac:dyDescent="0.25">
      <c r="A768" s="2" t="s">
        <v>3051</v>
      </c>
      <c r="B768" s="2" t="s">
        <v>53</v>
      </c>
      <c r="C768" s="31" t="str">
        <f>VLOOKUP(irregulares[[#This Row],[Similar a]],padroes[],2,0)</f>
        <v>EAR</v>
      </c>
      <c r="D768" s="3"/>
    </row>
    <row r="769" spans="1:4" x14ac:dyDescent="0.25">
      <c r="A769" s="2" t="s">
        <v>3131</v>
      </c>
      <c r="B769" s="2" t="s">
        <v>44</v>
      </c>
      <c r="C769" s="31" t="str">
        <f>VLOOKUP(irregulares[[#This Row],[Similar a]],padroes[],2,0)</f>
        <v>CAR</v>
      </c>
      <c r="D769" s="3"/>
    </row>
    <row r="770" spans="1:4" x14ac:dyDescent="0.25">
      <c r="A770" s="2" t="s">
        <v>3052</v>
      </c>
      <c r="B770" s="2" t="s">
        <v>53</v>
      </c>
      <c r="C770" s="31" t="str">
        <f>VLOOKUP(irregulares[[#This Row],[Similar a]],padroes[],2,0)</f>
        <v>EAR</v>
      </c>
      <c r="D770" s="3"/>
    </row>
    <row r="771" spans="1:4" x14ac:dyDescent="0.25">
      <c r="A771" s="2" t="s">
        <v>3053</v>
      </c>
      <c r="B771" s="2" t="s">
        <v>53</v>
      </c>
      <c r="C771" s="31" t="str">
        <f>VLOOKUP(irregulares[[#This Row],[Similar a]],padroes[],2,0)</f>
        <v>EAR</v>
      </c>
      <c r="D771" s="3"/>
    </row>
    <row r="772" spans="1:4" x14ac:dyDescent="0.25">
      <c r="A772" s="2" t="s">
        <v>3054</v>
      </c>
      <c r="B772" s="2" t="s">
        <v>53</v>
      </c>
      <c r="C772" s="31" t="str">
        <f>VLOOKUP(irregulares[[#This Row],[Similar a]],padroes[],2,0)</f>
        <v>EAR</v>
      </c>
      <c r="D772" s="3"/>
    </row>
    <row r="773" spans="1:4" x14ac:dyDescent="0.25">
      <c r="A773" s="2" t="s">
        <v>3132</v>
      </c>
      <c r="B773" s="2" t="s">
        <v>44</v>
      </c>
      <c r="C773" s="31" t="str">
        <f>VLOOKUP(irregulares[[#This Row],[Similar a]],padroes[],2,0)</f>
        <v>CAR</v>
      </c>
      <c r="D773" s="3"/>
    </row>
    <row r="774" spans="1:4" x14ac:dyDescent="0.25">
      <c r="A774" s="2" t="s">
        <v>3055</v>
      </c>
      <c r="B774" s="2" t="s">
        <v>53</v>
      </c>
      <c r="C774" s="31" t="str">
        <f>VLOOKUP(irregulares[[#This Row],[Similar a]],padroes[],2,0)</f>
        <v>EAR</v>
      </c>
      <c r="D774" s="3"/>
    </row>
    <row r="775" spans="1:4" x14ac:dyDescent="0.25">
      <c r="A775" s="2" t="s">
        <v>3195</v>
      </c>
      <c r="B775" s="2" t="s">
        <v>74</v>
      </c>
      <c r="C775" s="31" t="str">
        <f>VLOOKUP(irregulares[[#This Row],[Similar a]],padroes[],2,0)</f>
        <v>GAR</v>
      </c>
      <c r="D775" s="3"/>
    </row>
    <row r="776" spans="1:4" x14ac:dyDescent="0.25">
      <c r="A776" s="2" t="s">
        <v>3136</v>
      </c>
      <c r="B776" s="2" t="s">
        <v>44</v>
      </c>
      <c r="C776" s="31" t="str">
        <f>VLOOKUP(irregulares[[#This Row],[Similar a]],padroes[],2,0)</f>
        <v>CAR</v>
      </c>
      <c r="D776" s="3"/>
    </row>
    <row r="777" spans="1:4" x14ac:dyDescent="0.25">
      <c r="A777" s="2" t="s">
        <v>3137</v>
      </c>
      <c r="B777" s="2" t="s">
        <v>42</v>
      </c>
      <c r="C777" s="31" t="str">
        <f>VLOOKUP(irregulares[[#This Row],[Similar a]],padroes[],2,0)</f>
        <v>ÇAR</v>
      </c>
      <c r="D777" s="3"/>
    </row>
    <row r="778" spans="1:4" x14ac:dyDescent="0.25">
      <c r="A778" s="2" t="s">
        <v>3056</v>
      </c>
      <c r="B778" s="2" t="s">
        <v>53</v>
      </c>
      <c r="C778" s="31" t="str">
        <f>VLOOKUP(irregulares[[#This Row],[Similar a]],padroes[],2,0)</f>
        <v>EAR</v>
      </c>
      <c r="D778" s="3"/>
    </row>
    <row r="779" spans="1:4" x14ac:dyDescent="0.25">
      <c r="A779" s="2" t="s">
        <v>3057</v>
      </c>
      <c r="B779" s="2" t="s">
        <v>53</v>
      </c>
      <c r="C779" s="31" t="str">
        <f>VLOOKUP(irregulares[[#This Row],[Similar a]],padroes[],2,0)</f>
        <v>EAR</v>
      </c>
      <c r="D779" s="3"/>
    </row>
    <row r="780" spans="1:4" x14ac:dyDescent="0.25">
      <c r="A780" s="2" t="s">
        <v>3058</v>
      </c>
      <c r="B780" s="2" t="s">
        <v>53</v>
      </c>
      <c r="C780" s="31" t="str">
        <f>VLOOKUP(irregulares[[#This Row],[Similar a]],padroes[],2,0)</f>
        <v>EAR</v>
      </c>
      <c r="D780" s="3"/>
    </row>
    <row r="781" spans="1:4" x14ac:dyDescent="0.25">
      <c r="A781" s="2" t="s">
        <v>3138</v>
      </c>
      <c r="B781" s="2" t="s">
        <v>42</v>
      </c>
      <c r="C781" s="31" t="str">
        <f>VLOOKUP(irregulares[[#This Row],[Similar a]],padroes[],2,0)</f>
        <v>ÇAR</v>
      </c>
      <c r="D781" s="3"/>
    </row>
    <row r="782" spans="1:4" x14ac:dyDescent="0.25">
      <c r="A782" s="2" t="s">
        <v>3059</v>
      </c>
      <c r="B782" s="2" t="s">
        <v>53</v>
      </c>
      <c r="C782" s="31" t="str">
        <f>VLOOKUP(irregulares[[#This Row],[Similar a]],padroes[],2,0)</f>
        <v>EAR</v>
      </c>
      <c r="D782" s="3"/>
    </row>
    <row r="783" spans="1:4" x14ac:dyDescent="0.25">
      <c r="A783" s="2" t="s">
        <v>3060</v>
      </c>
      <c r="B783" s="2" t="s">
        <v>53</v>
      </c>
      <c r="C783" s="31" t="str">
        <f>VLOOKUP(irregulares[[#This Row],[Similar a]],padroes[],2,0)</f>
        <v>EAR</v>
      </c>
      <c r="D783" s="3"/>
    </row>
    <row r="784" spans="1:4" x14ac:dyDescent="0.25">
      <c r="A784" s="2" t="s">
        <v>3061</v>
      </c>
      <c r="B784" s="2" t="s">
        <v>53</v>
      </c>
      <c r="C784" s="31" t="str">
        <f>VLOOKUP(irregulares[[#This Row],[Similar a]],padroes[],2,0)</f>
        <v>EAR</v>
      </c>
      <c r="D784" s="3"/>
    </row>
    <row r="785" spans="1:4" x14ac:dyDescent="0.25">
      <c r="A785" s="2" t="s">
        <v>3133</v>
      </c>
      <c r="B785" s="2" t="s">
        <v>1613</v>
      </c>
      <c r="C785" s="31" t="str">
        <f>VLOOKUP(irregulares[[#This Row],[Similar a]],padroes[],2,0)</f>
        <v>Defectivo 3</v>
      </c>
      <c r="D785" s="3"/>
    </row>
    <row r="786" spans="1:4" x14ac:dyDescent="0.25">
      <c r="A786" s="2" t="s">
        <v>3062</v>
      </c>
      <c r="B786" s="2" t="s">
        <v>53</v>
      </c>
      <c r="C786" s="31" t="str">
        <f>VLOOKUP(irregulares[[#This Row],[Similar a]],padroes[],2,0)</f>
        <v>EAR</v>
      </c>
      <c r="D786" s="3"/>
    </row>
    <row r="787" spans="1:4" x14ac:dyDescent="0.25">
      <c r="A787" s="2" t="s">
        <v>3134</v>
      </c>
      <c r="B787" s="2" t="s">
        <v>44</v>
      </c>
      <c r="C787" s="31" t="str">
        <f>VLOOKUP(irregulares[[#This Row],[Similar a]],padroes[],2,0)</f>
        <v>CAR</v>
      </c>
      <c r="D787" s="3"/>
    </row>
    <row r="788" spans="1:4" x14ac:dyDescent="0.25">
      <c r="A788" s="2" t="s">
        <v>3063</v>
      </c>
      <c r="B788" s="2" t="s">
        <v>53</v>
      </c>
      <c r="C788" s="31" t="str">
        <f>VLOOKUP(irregulares[[#This Row],[Similar a]],padroes[],2,0)</f>
        <v>EAR</v>
      </c>
      <c r="D788" s="3"/>
    </row>
    <row r="789" spans="1:4" x14ac:dyDescent="0.25">
      <c r="A789" s="2" t="s">
        <v>3139</v>
      </c>
      <c r="B789" s="2" t="s">
        <v>44</v>
      </c>
      <c r="C789" s="31" t="str">
        <f>VLOOKUP(irregulares[[#This Row],[Similar a]],padroes[],2,0)</f>
        <v>CAR</v>
      </c>
      <c r="D789" s="3"/>
    </row>
    <row r="790" spans="1:4" x14ac:dyDescent="0.25">
      <c r="A790" s="2" t="s">
        <v>3226</v>
      </c>
      <c r="B790" s="2" t="s">
        <v>154</v>
      </c>
      <c r="C790" s="31" t="str">
        <f>VLOOKUP(irregulares[[#This Row],[Similar a]],padroes[],2,0)</f>
        <v>GIR</v>
      </c>
      <c r="D790" s="3"/>
    </row>
    <row r="791" spans="1:4" x14ac:dyDescent="0.25">
      <c r="A791" s="2" t="s">
        <v>3209</v>
      </c>
      <c r="B791" s="2" t="s">
        <v>49</v>
      </c>
      <c r="C791" s="31" t="str">
        <f>VLOOKUP(irregulares[[#This Row],[Similar a]],padroes[],2,0)</f>
        <v>OAR</v>
      </c>
      <c r="D791" s="3"/>
    </row>
    <row r="792" spans="1:4" x14ac:dyDescent="0.25">
      <c r="A792" s="2" t="s">
        <v>3196</v>
      </c>
      <c r="B792" s="2" t="s">
        <v>60</v>
      </c>
      <c r="C792" s="31" t="str">
        <f>VLOOKUP(irregulares[[#This Row],[Similar a]],padroes[],2,0)</f>
        <v>GAR</v>
      </c>
      <c r="D792" s="3"/>
    </row>
    <row r="793" spans="1:4" x14ac:dyDescent="0.25">
      <c r="A793" s="2" t="s">
        <v>3227</v>
      </c>
      <c r="B793" s="2" t="s">
        <v>82</v>
      </c>
      <c r="C793" s="31" t="str">
        <f>VLOOKUP(irregulares[[#This Row],[Similar a]],padroes[],2,0)</f>
        <v>UIR</v>
      </c>
      <c r="D793" s="3"/>
    </row>
    <row r="794" spans="1:4" x14ac:dyDescent="0.25">
      <c r="A794" s="2" t="s">
        <v>3228</v>
      </c>
      <c r="B794" s="2" t="s">
        <v>2363</v>
      </c>
      <c r="C794" s="31" t="str">
        <f>VLOOKUP(irregulares[[#This Row],[Similar a]],padroes[],2,0)</f>
        <v>Abundante</v>
      </c>
      <c r="D794" s="3"/>
    </row>
    <row r="795" spans="1:4" x14ac:dyDescent="0.25">
      <c r="A795" s="2" t="s">
        <v>3229</v>
      </c>
      <c r="B795" s="2" t="s">
        <v>3</v>
      </c>
      <c r="C795" s="31" t="str">
        <f>VLOOKUP(irregulares[[#This Row],[Similar a]],padroes[],2,0)</f>
        <v>ESTAR</v>
      </c>
      <c r="D795" s="3"/>
    </row>
    <row r="796" spans="1:4" x14ac:dyDescent="0.25">
      <c r="A796" s="2" t="s">
        <v>3230</v>
      </c>
      <c r="B796" s="2" t="s">
        <v>250</v>
      </c>
      <c r="C796" s="31" t="str">
        <f>VLOOKUP(irregulares[[#This Row],[Similar a]],padroes[],2,0)</f>
        <v>VER</v>
      </c>
      <c r="D796" s="3"/>
    </row>
    <row r="797" spans="1:4" x14ac:dyDescent="0.25">
      <c r="A797" s="2" t="s">
        <v>3210</v>
      </c>
      <c r="B797" s="2" t="s">
        <v>49</v>
      </c>
      <c r="C797" s="31" t="str">
        <f>VLOOKUP(irregulares[[#This Row],[Similar a]],padroes[],2,0)</f>
        <v>OAR</v>
      </c>
      <c r="D797" s="3"/>
    </row>
    <row r="798" spans="1:4" x14ac:dyDescent="0.25">
      <c r="A798" s="2" t="s">
        <v>3140</v>
      </c>
      <c r="B798" s="2" t="s">
        <v>44</v>
      </c>
      <c r="C798" s="31" t="str">
        <f>VLOOKUP(irregulares[[#This Row],[Similar a]],padroes[],2,0)</f>
        <v>CAR</v>
      </c>
      <c r="D798" s="3"/>
    </row>
    <row r="799" spans="1:4" x14ac:dyDescent="0.25">
      <c r="A799" s="2" t="s">
        <v>3231</v>
      </c>
      <c r="B799" s="2" t="s">
        <v>1014</v>
      </c>
      <c r="C799" s="31" t="str">
        <f>VLOOKUP(irregulares[[#This Row],[Similar a]],padroes[],2,0)</f>
        <v>Ú-X-AR</v>
      </c>
      <c r="D799" s="3"/>
    </row>
    <row r="800" spans="1:4" x14ac:dyDescent="0.25">
      <c r="A800" s="2" t="s">
        <v>3064</v>
      </c>
      <c r="B800" s="2" t="s">
        <v>53</v>
      </c>
      <c r="C800" s="31" t="str">
        <f>VLOOKUP(irregulares[[#This Row],[Similar a]],padroes[],2,0)</f>
        <v>EAR</v>
      </c>
      <c r="D800" s="3"/>
    </row>
    <row r="801" spans="1:4" x14ac:dyDescent="0.25">
      <c r="A801" s="2" t="s">
        <v>3232</v>
      </c>
      <c r="B801" s="2" t="s">
        <v>55</v>
      </c>
      <c r="C801" s="31" t="str">
        <f>VLOOKUP(irregulares[[#This Row],[Similar a]],padroes[],2,0)</f>
        <v>EJAR ô</v>
      </c>
      <c r="D801" s="3"/>
    </row>
    <row r="802" spans="1:4" x14ac:dyDescent="0.25">
      <c r="A802" s="2" t="s">
        <v>3065</v>
      </c>
      <c r="B802" s="2" t="s">
        <v>53</v>
      </c>
      <c r="C802" s="31" t="str">
        <f>VLOOKUP(irregulares[[#This Row],[Similar a]],padroes[],2,0)</f>
        <v>EAR</v>
      </c>
      <c r="D802" s="3"/>
    </row>
    <row r="803" spans="1:4" x14ac:dyDescent="0.25">
      <c r="A803" s="2" t="s">
        <v>3233</v>
      </c>
      <c r="B803" s="2" t="s">
        <v>55</v>
      </c>
      <c r="C803" s="31" t="str">
        <f>VLOOKUP(irregulares[[#This Row],[Similar a]],padroes[],2,0)</f>
        <v>EJAR ô</v>
      </c>
      <c r="D803" s="3"/>
    </row>
    <row r="804" spans="1:4" x14ac:dyDescent="0.25">
      <c r="A804" s="2" t="s">
        <v>3141</v>
      </c>
      <c r="B804" s="2" t="s">
        <v>44</v>
      </c>
      <c r="C804" s="31" t="str">
        <f>VLOOKUP(irregulares[[#This Row],[Similar a]],padroes[],2,0)</f>
        <v>CAR</v>
      </c>
      <c r="D804" s="3"/>
    </row>
    <row r="805" spans="1:4" x14ac:dyDescent="0.25">
      <c r="A805" s="2" t="s">
        <v>3142</v>
      </c>
      <c r="B805" s="2" t="s">
        <v>44</v>
      </c>
      <c r="C805" s="31" t="str">
        <f>VLOOKUP(irregulares[[#This Row],[Similar a]],padroes[],2,0)</f>
        <v>CAR</v>
      </c>
      <c r="D805" s="3"/>
    </row>
    <row r="806" spans="1:4" x14ac:dyDescent="0.25">
      <c r="A806" s="2" t="s">
        <v>3143</v>
      </c>
      <c r="B806" s="2" t="s">
        <v>44</v>
      </c>
      <c r="C806" s="31" t="str">
        <f>VLOOKUP(irregulares[[#This Row],[Similar a]],padroes[],2,0)</f>
        <v>CAR</v>
      </c>
      <c r="D806" s="3"/>
    </row>
    <row r="807" spans="1:4" x14ac:dyDescent="0.25">
      <c r="A807" s="2" t="s">
        <v>3144</v>
      </c>
      <c r="B807" s="2" t="s">
        <v>44</v>
      </c>
      <c r="C807" s="31" t="str">
        <f>VLOOKUP(irregulares[[#This Row],[Similar a]],padroes[],2,0)</f>
        <v>CAR</v>
      </c>
      <c r="D807" s="3"/>
    </row>
    <row r="808" spans="1:4" x14ac:dyDescent="0.25">
      <c r="A808" s="2" t="s">
        <v>3234</v>
      </c>
      <c r="B808" s="2" t="s">
        <v>154</v>
      </c>
      <c r="C808" s="31" t="str">
        <f>VLOOKUP(irregulares[[#This Row],[Similar a]],padroes[],2,0)</f>
        <v>GIR</v>
      </c>
      <c r="D808" s="3"/>
    </row>
    <row r="809" spans="1:4" x14ac:dyDescent="0.25">
      <c r="A809" s="2" t="s">
        <v>3235</v>
      </c>
      <c r="B809" s="2" t="s">
        <v>63</v>
      </c>
      <c r="C809" s="31" t="str">
        <f>VLOOKUP(irregulares[[#This Row],[Similar a]],padroes[],2,0)</f>
        <v>CER</v>
      </c>
      <c r="D809" s="3"/>
    </row>
    <row r="810" spans="1:4" x14ac:dyDescent="0.25">
      <c r="A810" s="2" t="s">
        <v>1902</v>
      </c>
      <c r="B810" s="2" t="s">
        <v>1902</v>
      </c>
      <c r="C810" s="31" t="str">
        <f>VLOOKUP(irregulares[[#This Row],[Similar a]],padroes[],2,0)</f>
        <v>COAR</v>
      </c>
      <c r="D810" s="3"/>
    </row>
    <row r="811" spans="1:4" x14ac:dyDescent="0.25">
      <c r="A811" s="2" t="s">
        <v>3145</v>
      </c>
      <c r="B811" s="2" t="s">
        <v>42</v>
      </c>
      <c r="C811" s="31" t="str">
        <f>VLOOKUP(irregulares[[#This Row],[Similar a]],padroes[],2,0)</f>
        <v>ÇAR</v>
      </c>
      <c r="D811" s="3"/>
    </row>
    <row r="812" spans="1:4" x14ac:dyDescent="0.25">
      <c r="A812" s="2" t="s">
        <v>3067</v>
      </c>
      <c r="B812" s="2" t="s">
        <v>53</v>
      </c>
      <c r="C812" s="31" t="str">
        <f>VLOOKUP(irregulares[[#This Row],[Similar a]],padroes[],2,0)</f>
        <v>EAR</v>
      </c>
      <c r="D812" s="3"/>
    </row>
    <row r="813" spans="1:4" x14ac:dyDescent="0.25">
      <c r="A813" s="2" t="s">
        <v>3236</v>
      </c>
      <c r="B813" s="2" t="s">
        <v>55</v>
      </c>
      <c r="C813" s="31" t="str">
        <f>VLOOKUP(irregulares[[#This Row],[Similar a]],padroes[],2,0)</f>
        <v>EJAR ô</v>
      </c>
      <c r="D813" s="3"/>
    </row>
    <row r="814" spans="1:4" x14ac:dyDescent="0.25">
      <c r="A814" s="2" t="s">
        <v>3237</v>
      </c>
      <c r="B814" s="2" t="s">
        <v>3237</v>
      </c>
      <c r="C814" s="31" t="str">
        <f>VLOOKUP(irregulares[[#This Row],[Similar a]],padroes[],2,0)</f>
        <v>COBRIR</v>
      </c>
      <c r="D814" s="3"/>
    </row>
    <row r="815" spans="1:4" x14ac:dyDescent="0.25">
      <c r="A815" s="2" t="s">
        <v>3146</v>
      </c>
      <c r="B815" s="2" t="s">
        <v>42</v>
      </c>
      <c r="C815" s="31" t="str">
        <f>VLOOKUP(irregulares[[#This Row],[Similar a]],padroes[],2,0)</f>
        <v>ÇAR</v>
      </c>
      <c r="D815" s="3"/>
    </row>
    <row r="816" spans="1:4" x14ac:dyDescent="0.25">
      <c r="A816" s="2" t="s">
        <v>3203</v>
      </c>
      <c r="B816" s="2" t="s">
        <v>74</v>
      </c>
      <c r="C816" s="31" t="str">
        <f>VLOOKUP(irregulares[[#This Row],[Similar a]],padroes[],2,0)</f>
        <v>GAR</v>
      </c>
      <c r="D816" s="3"/>
    </row>
    <row r="817" spans="1:4" x14ac:dyDescent="0.25">
      <c r="A817" s="2" t="s">
        <v>3135</v>
      </c>
      <c r="B817" s="2" t="s">
        <v>1613</v>
      </c>
      <c r="C817" s="31" t="str">
        <f>VLOOKUP(irregulares[[#This Row],[Similar a]],padroes[],2,0)</f>
        <v>Defectivo 3</v>
      </c>
      <c r="D817" s="3"/>
    </row>
    <row r="818" spans="1:4" x14ac:dyDescent="0.25">
      <c r="A818" s="2" t="s">
        <v>3147</v>
      </c>
      <c r="B818" s="2" t="s">
        <v>44</v>
      </c>
      <c r="C818" s="31" t="str">
        <f>VLOOKUP(irregulares[[#This Row],[Similar a]],padroes[],2,0)</f>
        <v>CAR</v>
      </c>
      <c r="D818" s="3"/>
    </row>
    <row r="819" spans="1:4" x14ac:dyDescent="0.25">
      <c r="A819" s="2" t="s">
        <v>3148</v>
      </c>
      <c r="B819" s="2" t="s">
        <v>44</v>
      </c>
      <c r="C819" s="31" t="str">
        <f>VLOOKUP(irregulares[[#This Row],[Similar a]],padroes[],2,0)</f>
        <v>CAR</v>
      </c>
      <c r="D819" s="3"/>
    </row>
    <row r="820" spans="1:4" x14ac:dyDescent="0.25">
      <c r="A820" s="2" t="s">
        <v>3238</v>
      </c>
      <c r="B820" s="2" t="s">
        <v>3238</v>
      </c>
      <c r="C820" s="31" t="str">
        <f>VLOOKUP(irregulares[[#This Row],[Similar a]],padroes[],2,0)</f>
        <v>E-X-IR</v>
      </c>
      <c r="D820" s="3"/>
    </row>
    <row r="821" spans="1:4" x14ac:dyDescent="0.25">
      <c r="A821" s="2" t="s">
        <v>3068</v>
      </c>
      <c r="B821" s="2" t="s">
        <v>53</v>
      </c>
      <c r="C821" s="31" t="str">
        <f>VLOOKUP(irregulares[[#This Row],[Similar a]],padroes[],2,0)</f>
        <v>EAR</v>
      </c>
      <c r="D821" s="3"/>
    </row>
    <row r="822" spans="1:4" x14ac:dyDescent="0.25">
      <c r="A822" s="2" t="s">
        <v>3149</v>
      </c>
      <c r="B822" s="2" t="s">
        <v>42</v>
      </c>
      <c r="C822" s="31" t="str">
        <f>VLOOKUP(irregulares[[#This Row],[Similar a]],padroes[],2,0)</f>
        <v>ÇAR</v>
      </c>
      <c r="D822" s="3"/>
    </row>
    <row r="823" spans="1:4" x14ac:dyDescent="0.25">
      <c r="A823" s="2" t="s">
        <v>3069</v>
      </c>
      <c r="B823" s="2" t="s">
        <v>53</v>
      </c>
      <c r="C823" s="31" t="str">
        <f>VLOOKUP(irregulares[[#This Row],[Similar a]],padroes[],2,0)</f>
        <v>EAR</v>
      </c>
      <c r="D823" s="3"/>
    </row>
    <row r="824" spans="1:4" x14ac:dyDescent="0.25">
      <c r="A824" s="2" t="s">
        <v>3150</v>
      </c>
      <c r="B824" s="2" t="s">
        <v>44</v>
      </c>
      <c r="C824" s="31" t="str">
        <f>VLOOKUP(irregulares[[#This Row],[Similar a]],padroes[],2,0)</f>
        <v>CAR</v>
      </c>
      <c r="D824" s="3"/>
    </row>
    <row r="825" spans="1:4" x14ac:dyDescent="0.25">
      <c r="A825" s="2" t="s">
        <v>3070</v>
      </c>
      <c r="B825" s="2" t="s">
        <v>53</v>
      </c>
      <c r="C825" s="31" t="str">
        <f>VLOOKUP(irregulares[[#This Row],[Similar a]],padroes[],2,0)</f>
        <v>EAR</v>
      </c>
      <c r="D825" s="3"/>
    </row>
    <row r="826" spans="1:4" x14ac:dyDescent="0.25">
      <c r="A826" s="2" t="s">
        <v>3197</v>
      </c>
      <c r="B826" s="2" t="s">
        <v>74</v>
      </c>
      <c r="C826" s="31" t="str">
        <f>VLOOKUP(irregulares[[#This Row],[Similar a]],padroes[],2,0)</f>
        <v>GAR</v>
      </c>
      <c r="D826" s="3"/>
    </row>
    <row r="827" spans="1:4" x14ac:dyDescent="0.25">
      <c r="A827" s="2" t="s">
        <v>3198</v>
      </c>
      <c r="B827" s="2" t="s">
        <v>74</v>
      </c>
      <c r="C827" s="31" t="str">
        <f>VLOOKUP(irregulares[[#This Row],[Similar a]],padroes[],2,0)</f>
        <v>GAR</v>
      </c>
      <c r="D827" s="3"/>
    </row>
    <row r="828" spans="1:4" x14ac:dyDescent="0.25">
      <c r="A828" s="2" t="s">
        <v>3239</v>
      </c>
      <c r="B828" s="2" t="s">
        <v>154</v>
      </c>
      <c r="C828" s="31" t="str">
        <f>VLOOKUP(irregulares[[#This Row],[Similar a]],padroes[],2,0)</f>
        <v>GIR</v>
      </c>
      <c r="D828" s="3"/>
    </row>
    <row r="829" spans="1:4" x14ac:dyDescent="0.25">
      <c r="A829" s="2" t="s">
        <v>3071</v>
      </c>
      <c r="B829" s="2" t="s">
        <v>53</v>
      </c>
      <c r="C829" s="31" t="str">
        <f>VLOOKUP(irregulares[[#This Row],[Similar a]],padroes[],2,0)</f>
        <v>EAR</v>
      </c>
      <c r="D829" s="3"/>
    </row>
    <row r="830" spans="1:4" x14ac:dyDescent="0.25">
      <c r="A830" s="2" t="s">
        <v>3151</v>
      </c>
      <c r="B830" s="2" t="s">
        <v>44</v>
      </c>
      <c r="C830" s="31" t="str">
        <f>VLOOKUP(irregulares[[#This Row],[Similar a]],padroes[],2,0)</f>
        <v>CAR</v>
      </c>
      <c r="D830" s="3"/>
    </row>
    <row r="831" spans="1:4" x14ac:dyDescent="0.25">
      <c r="A831" s="2" t="s">
        <v>3072</v>
      </c>
      <c r="B831" s="2" t="s">
        <v>53</v>
      </c>
      <c r="C831" s="31" t="str">
        <f>VLOOKUP(irregulares[[#This Row],[Similar a]],padroes[],2,0)</f>
        <v>EAR</v>
      </c>
      <c r="D831" s="3"/>
    </row>
    <row r="832" spans="1:4" x14ac:dyDescent="0.25">
      <c r="A832" s="2" t="s">
        <v>3240</v>
      </c>
      <c r="B832" s="2" t="s">
        <v>1717</v>
      </c>
      <c r="C832" s="31" t="str">
        <f>VLOOKUP(irregulares[[#This Row],[Similar a]],padroes[],2,0)</f>
        <v>Defectivo 1</v>
      </c>
      <c r="D832" s="3"/>
    </row>
    <row r="833" spans="1:4" x14ac:dyDescent="0.25">
      <c r="A833" s="2" t="s">
        <v>3073</v>
      </c>
      <c r="B833" s="2" t="s">
        <v>53</v>
      </c>
      <c r="C833" s="31" t="str">
        <f>VLOOKUP(irregulares[[#This Row],[Similar a]],padroes[],2,0)</f>
        <v>EAR</v>
      </c>
      <c r="D833" s="3"/>
    </row>
    <row r="834" spans="1:4" x14ac:dyDescent="0.25">
      <c r="A834" s="2" t="s">
        <v>3241</v>
      </c>
      <c r="B834" s="2" t="s">
        <v>185</v>
      </c>
      <c r="C834" s="31" t="str">
        <f>VLOOKUP(irregulares[[#This Row],[Similar a]],padroes[],2,0)</f>
        <v>Defectivo 2</v>
      </c>
      <c r="D834" s="3"/>
    </row>
    <row r="835" spans="1:4" x14ac:dyDescent="0.25">
      <c r="A835" s="2" t="s">
        <v>3242</v>
      </c>
      <c r="B835" s="2" t="s">
        <v>458</v>
      </c>
      <c r="C835" s="31" t="str">
        <f>VLOOKUP(irregulares[[#This Row],[Similar a]],padroes[],2,0)</f>
        <v>OIAR</v>
      </c>
      <c r="D835" s="3"/>
    </row>
    <row r="836" spans="1:4" x14ac:dyDescent="0.25">
      <c r="A836" s="2" t="s">
        <v>3243</v>
      </c>
      <c r="B836" s="2" t="s">
        <v>1717</v>
      </c>
      <c r="C836" s="31" t="str">
        <f>VLOOKUP(irregulares[[#This Row],[Similar a]],padroes[],2,0)</f>
        <v>Defectivo 1</v>
      </c>
      <c r="D836" s="3"/>
    </row>
    <row r="837" spans="1:4" x14ac:dyDescent="0.25">
      <c r="A837" s="2" t="s">
        <v>351</v>
      </c>
      <c r="B837" s="2" t="s">
        <v>351</v>
      </c>
      <c r="C837" s="2" t="str">
        <f>VLOOKUP(irregulares[[#This Row],[Similar a]],padroes[],2,0)</f>
        <v>ÇAR</v>
      </c>
      <c r="D837" s="3"/>
    </row>
    <row r="838" spans="1:4" x14ac:dyDescent="0.25">
      <c r="A838" s="2" t="s">
        <v>3244</v>
      </c>
      <c r="B838" s="2" t="s">
        <v>1717</v>
      </c>
      <c r="C838" s="31" t="str">
        <f>VLOOKUP(irregulares[[#This Row],[Similar a]],padroes[],2,0)</f>
        <v>Defectivo 1</v>
      </c>
      <c r="D838" s="3"/>
    </row>
    <row r="839" spans="1:4" x14ac:dyDescent="0.25">
      <c r="A839" s="2" t="s">
        <v>3074</v>
      </c>
      <c r="B839" s="2" t="s">
        <v>53</v>
      </c>
      <c r="C839" s="31" t="str">
        <f>VLOOKUP(irregulares[[#This Row],[Similar a]],padroes[],2,0)</f>
        <v>EAR</v>
      </c>
      <c r="D839" s="3"/>
    </row>
    <row r="840" spans="1:4" x14ac:dyDescent="0.25">
      <c r="A840" s="2" t="s">
        <v>3245</v>
      </c>
      <c r="B840" s="2" t="s">
        <v>82</v>
      </c>
      <c r="C840" s="31" t="str">
        <f>VLOOKUP(irregulares[[#This Row],[Similar a]],padroes[],2,0)</f>
        <v>UIR</v>
      </c>
      <c r="D840" s="3"/>
    </row>
    <row r="841" spans="1:4" x14ac:dyDescent="0.25">
      <c r="A841" s="2" t="s">
        <v>3246</v>
      </c>
      <c r="B841" s="2" t="s">
        <v>63</v>
      </c>
      <c r="C841" s="31" t="str">
        <f>VLOOKUP(irregulares[[#This Row],[Similar a]],padroes[],2,0)</f>
        <v>CER</v>
      </c>
      <c r="D841" s="3"/>
    </row>
    <row r="842" spans="1:4" x14ac:dyDescent="0.25">
      <c r="A842" s="2" t="s">
        <v>3075</v>
      </c>
      <c r="B842" s="2" t="s">
        <v>53</v>
      </c>
      <c r="C842" s="31" t="str">
        <f>VLOOKUP(irregulares[[#This Row],[Similar a]],padroes[],2,0)</f>
        <v>EAR</v>
      </c>
      <c r="D842" s="3"/>
    </row>
    <row r="843" spans="1:4" x14ac:dyDescent="0.25">
      <c r="A843" s="2" t="s">
        <v>3247</v>
      </c>
      <c r="B843" s="2" t="s">
        <v>63</v>
      </c>
      <c r="C843" s="31" t="str">
        <f>VLOOKUP(irregulares[[#This Row],[Similar a]],padroes[],2,0)</f>
        <v>CER</v>
      </c>
      <c r="D843" s="3"/>
    </row>
    <row r="844" spans="1:4" x14ac:dyDescent="0.25">
      <c r="A844" s="2" t="s">
        <v>3248</v>
      </c>
      <c r="B844" s="2" t="s">
        <v>1999</v>
      </c>
      <c r="C844" s="31" t="str">
        <f>VLOOKUP(irregulares[[#This Row],[Similar a]],padroes[],2,0)</f>
        <v>E-X-IR</v>
      </c>
      <c r="D844" s="3"/>
    </row>
    <row r="845" spans="1:4" x14ac:dyDescent="0.25">
      <c r="A845" s="2" t="s">
        <v>3249</v>
      </c>
      <c r="B845" s="2" t="s">
        <v>3249</v>
      </c>
      <c r="C845" s="31" t="str">
        <f>VLOOKUP(irregulares[[#This Row],[Similar a]],padroes[],2,0)</f>
        <v>E-X-IR</v>
      </c>
      <c r="D845" s="3"/>
    </row>
    <row r="846" spans="1:4" x14ac:dyDescent="0.25">
      <c r="A846" s="2" t="s">
        <v>3152</v>
      </c>
      <c r="B846" s="2" t="s">
        <v>44</v>
      </c>
      <c r="C846" s="31" t="str">
        <f>VLOOKUP(irregulares[[#This Row],[Similar a]],padroes[],2,0)</f>
        <v>CAR</v>
      </c>
      <c r="D846" s="3"/>
    </row>
    <row r="847" spans="1:4" x14ac:dyDescent="0.25">
      <c r="A847" s="2" t="s">
        <v>3250</v>
      </c>
      <c r="B847" s="2" t="s">
        <v>267</v>
      </c>
      <c r="C847" s="31" t="str">
        <f>VLOOKUP(irregulares[[#This Row],[Similar a]],padroes[],2,0)</f>
        <v>POR</v>
      </c>
      <c r="D847" s="3"/>
    </row>
    <row r="848" spans="1:4" x14ac:dyDescent="0.25">
      <c r="A848" s="2" t="s">
        <v>3251</v>
      </c>
      <c r="B848" s="2" t="s">
        <v>187</v>
      </c>
      <c r="C848" s="31" t="str">
        <f>VLOOKUP(irregulares[[#This Row],[Similar a]],padroes[],2,0)</f>
        <v>AZER</v>
      </c>
      <c r="D848" s="3"/>
    </row>
    <row r="849" spans="1:4" x14ac:dyDescent="0.25">
      <c r="A849" s="2" t="s">
        <v>3252</v>
      </c>
      <c r="B849" s="2" t="s">
        <v>154</v>
      </c>
      <c r="C849" s="31" t="str">
        <f>VLOOKUP(irregulares[[#This Row],[Similar a]],padroes[],2,0)</f>
        <v>GIR</v>
      </c>
      <c r="D849" s="3"/>
    </row>
    <row r="850" spans="1:4" x14ac:dyDescent="0.25">
      <c r="A850" s="2" t="s">
        <v>3253</v>
      </c>
      <c r="B850" s="2" t="s">
        <v>3253</v>
      </c>
      <c r="C850" s="31" t="str">
        <f>VLOOKUP(irregulares[[#This Row],[Similar a]],padroes[],2,0)</f>
        <v>Defectivo 5</v>
      </c>
      <c r="D850" s="3"/>
    </row>
    <row r="851" spans="1:4" x14ac:dyDescent="0.25">
      <c r="A851" s="2" t="s">
        <v>3199</v>
      </c>
      <c r="B851" s="2" t="s">
        <v>74</v>
      </c>
      <c r="C851" s="31" t="str">
        <f>VLOOKUP(irregulares[[#This Row],[Similar a]],padroes[],2,0)</f>
        <v>GAR</v>
      </c>
      <c r="D851" s="3"/>
    </row>
    <row r="852" spans="1:4" x14ac:dyDescent="0.25">
      <c r="A852" s="2" t="s">
        <v>3153</v>
      </c>
      <c r="B852" s="2" t="s">
        <v>44</v>
      </c>
      <c r="C852" s="31" t="str">
        <f>VLOOKUP(irregulares[[#This Row],[Similar a]],padroes[],2,0)</f>
        <v>CAR</v>
      </c>
      <c r="D852" s="3"/>
    </row>
    <row r="853" spans="1:4" x14ac:dyDescent="0.25">
      <c r="A853" s="2" t="s">
        <v>3254</v>
      </c>
      <c r="B853" s="2" t="s">
        <v>3254</v>
      </c>
      <c r="C853" s="31" t="str">
        <f>VLOOKUP(irregulares[[#This Row],[Similar a]],padroes[],2,0)</f>
        <v>defectivo 3</v>
      </c>
      <c r="D853" s="3"/>
    </row>
    <row r="854" spans="1:4" x14ac:dyDescent="0.25">
      <c r="A854" s="2" t="s">
        <v>3076</v>
      </c>
      <c r="B854" s="2" t="s">
        <v>53</v>
      </c>
      <c r="C854" s="31" t="str">
        <f>VLOOKUP(irregulares[[#This Row],[Similar a]],padroes[],2,0)</f>
        <v>EAR</v>
      </c>
      <c r="D854" s="3"/>
    </row>
    <row r="855" spans="1:4" x14ac:dyDescent="0.25">
      <c r="A855" s="2" t="s">
        <v>3204</v>
      </c>
      <c r="B855" s="2" t="s">
        <v>161</v>
      </c>
      <c r="C855" s="31" t="str">
        <f>VLOOKUP(irregulares[[#This Row],[Similar a]],padroes[],2,0)</f>
        <v>GAR</v>
      </c>
      <c r="D855" s="3"/>
    </row>
    <row r="856" spans="1:4" x14ac:dyDescent="0.25">
      <c r="A856" s="2" t="s">
        <v>3255</v>
      </c>
      <c r="B856" s="2" t="s">
        <v>82</v>
      </c>
      <c r="C856" s="31" t="str">
        <f>VLOOKUP(irregulares[[#This Row],[Similar a]],padroes[],2,0)</f>
        <v>UIR</v>
      </c>
      <c r="D856" s="3"/>
    </row>
    <row r="857" spans="1:4" x14ac:dyDescent="0.25">
      <c r="A857" s="2" t="s">
        <v>3256</v>
      </c>
      <c r="B857" s="2" t="s">
        <v>63</v>
      </c>
      <c r="C857" s="31" t="str">
        <f>VLOOKUP(irregulares[[#This Row],[Similar a]],padroes[],2,0)</f>
        <v>CER</v>
      </c>
      <c r="D857" s="3"/>
    </row>
    <row r="858" spans="1:4" x14ac:dyDescent="0.25">
      <c r="A858" s="2" t="s">
        <v>3154</v>
      </c>
      <c r="B858" s="2" t="s">
        <v>44</v>
      </c>
      <c r="C858" s="31" t="str">
        <f>VLOOKUP(irregulares[[#This Row],[Similar a]],padroes[],2,0)</f>
        <v>CAR</v>
      </c>
      <c r="D858" s="3"/>
    </row>
    <row r="859" spans="1:4" x14ac:dyDescent="0.25">
      <c r="A859" s="2" t="s">
        <v>3257</v>
      </c>
      <c r="B859" s="2" t="s">
        <v>419</v>
      </c>
      <c r="C859" s="31" t="str">
        <f>VLOOKUP(irregulares[[#This Row],[Similar a]],padroes[],2,0)</f>
        <v>DIZER</v>
      </c>
      <c r="D859" s="3"/>
    </row>
    <row r="860" spans="1:4" x14ac:dyDescent="0.25">
      <c r="A860" s="2" t="s">
        <v>3258</v>
      </c>
      <c r="B860" s="2" t="s">
        <v>3259</v>
      </c>
      <c r="C860" s="31" t="str">
        <f>VLOOKUP(irregulares[[#This Row],[Similar a]],padroes[],2,0)</f>
        <v>OER</v>
      </c>
      <c r="D860" s="3"/>
    </row>
    <row r="861" spans="1:4" x14ac:dyDescent="0.25">
      <c r="A861" s="2" t="s">
        <v>3260</v>
      </c>
      <c r="B861" s="2" t="s">
        <v>1887</v>
      </c>
      <c r="C861" s="31" t="str">
        <f>VLOOKUP(irregulares[[#This Row],[Similar a]],padroes[],2,0)</f>
        <v>UZIR</v>
      </c>
      <c r="D861" s="3"/>
    </row>
    <row r="862" spans="1:4" x14ac:dyDescent="0.25">
      <c r="A862" s="2" t="s">
        <v>3211</v>
      </c>
      <c r="B862" s="2" t="s">
        <v>49</v>
      </c>
      <c r="C862" s="31" t="str">
        <f>VLOOKUP(irregulares[[#This Row],[Similar a]],padroes[],2,0)</f>
        <v>OAR</v>
      </c>
      <c r="D862" s="3"/>
    </row>
    <row r="863" spans="1:4" x14ac:dyDescent="0.25">
      <c r="A863" s="2" t="s">
        <v>3261</v>
      </c>
      <c r="B863" s="2" t="s">
        <v>183</v>
      </c>
      <c r="C863" s="31" t="str">
        <f>VLOOKUP(irregulares[[#This Row],[Similar a]],padroes[],2,0)</f>
        <v>E-X-IR</v>
      </c>
      <c r="D863" s="3"/>
    </row>
    <row r="864" spans="1:4" x14ac:dyDescent="0.25">
      <c r="A864" s="2" t="s">
        <v>3155</v>
      </c>
      <c r="B864" s="2" t="s">
        <v>44</v>
      </c>
      <c r="C864" s="31" t="str">
        <f>VLOOKUP(irregulares[[#This Row],[Similar a]],padroes[],2,0)</f>
        <v>CAR</v>
      </c>
      <c r="D864" s="3"/>
    </row>
    <row r="865" spans="1:4" x14ac:dyDescent="0.25">
      <c r="A865" s="2" t="s">
        <v>3262</v>
      </c>
      <c r="B865" s="2" t="s">
        <v>82</v>
      </c>
      <c r="C865" s="31" t="str">
        <f>VLOOKUP(irregulares[[#This Row],[Similar a]],padroes[],2,0)</f>
        <v>UIR</v>
      </c>
      <c r="D865" s="3"/>
    </row>
    <row r="866" spans="1:4" x14ac:dyDescent="0.25">
      <c r="A866" s="2" t="s">
        <v>3264</v>
      </c>
      <c r="B866" s="2" t="s">
        <v>110</v>
      </c>
      <c r="C866" s="31" t="str">
        <f>VLOOKUP(irregulares[[#This Row],[Similar a]],padroes[],2,0)</f>
        <v>ANGER</v>
      </c>
      <c r="D866" s="3"/>
    </row>
    <row r="867" spans="1:4" x14ac:dyDescent="0.25">
      <c r="A867" s="2" t="s">
        <v>3265</v>
      </c>
      <c r="B867" s="2" t="s">
        <v>1785</v>
      </c>
      <c r="C867" s="31" t="str">
        <f>VLOOKUP(irregulares[[#This Row],[Similar a]],padroes[],2,0)</f>
        <v>FUGIR</v>
      </c>
      <c r="D867" s="3"/>
    </row>
    <row r="868" spans="1:4" x14ac:dyDescent="0.25">
      <c r="A868" s="2" t="s">
        <v>3156</v>
      </c>
      <c r="B868" s="2" t="s">
        <v>42</v>
      </c>
      <c r="C868" s="31" t="str">
        <f>VLOOKUP(irregulares[[#This Row],[Similar a]],padroes[],2,0)</f>
        <v>ÇAR</v>
      </c>
      <c r="D868" s="3"/>
    </row>
    <row r="869" spans="1:4" x14ac:dyDescent="0.25">
      <c r="A869" s="2" t="s">
        <v>3205</v>
      </c>
      <c r="B869" s="2" t="s">
        <v>60</v>
      </c>
      <c r="C869" s="31" t="str">
        <f>VLOOKUP(irregulares[[#This Row],[Similar a]],padroes[],2,0)</f>
        <v>GAR</v>
      </c>
      <c r="D869" s="3"/>
    </row>
    <row r="870" spans="1:4" x14ac:dyDescent="0.25">
      <c r="A870" s="2" t="s">
        <v>3266</v>
      </c>
      <c r="B870" s="2" t="s">
        <v>63</v>
      </c>
      <c r="C870" s="31" t="str">
        <f>VLOOKUP(irregulares[[#This Row],[Similar a]],padroes[],2,0)</f>
        <v>CER</v>
      </c>
      <c r="D870" s="3"/>
    </row>
    <row r="871" spans="1:4" x14ac:dyDescent="0.25">
      <c r="A871" s="2" t="s">
        <v>3200</v>
      </c>
      <c r="B871" s="2" t="s">
        <v>74</v>
      </c>
      <c r="C871" s="31" t="str">
        <f>VLOOKUP(irregulares[[#This Row],[Similar a]],padroes[],2,0)</f>
        <v>GAR</v>
      </c>
      <c r="D871" s="3"/>
    </row>
    <row r="872" spans="1:4" x14ac:dyDescent="0.25">
      <c r="A872" s="2" t="s">
        <v>3267</v>
      </c>
      <c r="B872" s="2" t="s">
        <v>154</v>
      </c>
      <c r="C872" s="31" t="str">
        <f>VLOOKUP(irregulares[[#This Row],[Similar a]],padroes[],2,0)</f>
        <v>GIR</v>
      </c>
      <c r="D872" s="3"/>
    </row>
    <row r="873" spans="1:4" x14ac:dyDescent="0.25">
      <c r="A873" s="2" t="s">
        <v>3078</v>
      </c>
      <c r="B873" s="2" t="s">
        <v>53</v>
      </c>
      <c r="C873" s="31" t="str">
        <f>VLOOKUP(irregulares[[#This Row],[Similar a]],padroes[],2,0)</f>
        <v>EAR</v>
      </c>
      <c r="D873" s="3"/>
    </row>
    <row r="874" spans="1:4" x14ac:dyDescent="0.25">
      <c r="A874" s="2" t="s">
        <v>3268</v>
      </c>
      <c r="B874" s="2" t="s">
        <v>2303</v>
      </c>
      <c r="C874" s="31" t="str">
        <f>VLOOKUP(irregulares[[#This Row],[Similar a]],padroes[],2,0)</f>
        <v>E-X-IR</v>
      </c>
      <c r="D874" s="3"/>
    </row>
    <row r="875" spans="1:4" x14ac:dyDescent="0.25">
      <c r="A875" s="2" t="s">
        <v>3269</v>
      </c>
      <c r="B875" s="2" t="s">
        <v>157</v>
      </c>
      <c r="C875" s="31" t="str">
        <f>VLOOKUP(irregulares[[#This Row],[Similar a]],padroes[],2,0)</f>
        <v>ELHAR</v>
      </c>
      <c r="D875" s="3"/>
    </row>
    <row r="876" spans="1:4" x14ac:dyDescent="0.25">
      <c r="A876" s="2" t="s">
        <v>3270</v>
      </c>
      <c r="B876" s="2" t="s">
        <v>958</v>
      </c>
      <c r="C876" s="31" t="str">
        <f>VLOOKUP(irregulares[[#This Row],[Similar a]],padroes[],2,0)</f>
        <v>SENTIR</v>
      </c>
      <c r="D876" s="3"/>
    </row>
    <row r="877" spans="1:4" x14ac:dyDescent="0.25">
      <c r="A877" s="2" t="s">
        <v>3212</v>
      </c>
      <c r="B877" s="2" t="s">
        <v>49</v>
      </c>
      <c r="C877" s="31" t="str">
        <f>VLOOKUP(irregulares[[#This Row],[Similar a]],padroes[],2,0)</f>
        <v>OAR</v>
      </c>
      <c r="D877" s="3"/>
    </row>
    <row r="878" spans="1:4" x14ac:dyDescent="0.25">
      <c r="A878" s="2" t="s">
        <v>3157</v>
      </c>
      <c r="B878" s="2" t="s">
        <v>44</v>
      </c>
      <c r="C878" s="31" t="str">
        <f>VLOOKUP(irregulares[[#This Row],[Similar a]],padroes[],2,0)</f>
        <v>CAR</v>
      </c>
      <c r="D878" s="3"/>
    </row>
    <row r="879" spans="1:4" x14ac:dyDescent="0.25">
      <c r="A879" s="2" t="s">
        <v>3271</v>
      </c>
      <c r="B879" s="2" t="s">
        <v>82</v>
      </c>
      <c r="C879" s="31" t="str">
        <f>VLOOKUP(irregulares[[#This Row],[Similar a]],padroes[],2,0)</f>
        <v>UIR</v>
      </c>
      <c r="D879" s="3"/>
    </row>
    <row r="880" spans="1:4" x14ac:dyDescent="0.25">
      <c r="A880" s="2" t="s">
        <v>3263</v>
      </c>
      <c r="B880" s="2" t="s">
        <v>110</v>
      </c>
      <c r="C880" s="31" t="str">
        <f>VLOOKUP(irregulares[[#This Row],[Similar a]],padroes[],2,0)</f>
        <v>ANGER</v>
      </c>
      <c r="D880" s="3"/>
    </row>
    <row r="881" spans="1:4" x14ac:dyDescent="0.25">
      <c r="A881" s="2" t="s">
        <v>3273</v>
      </c>
      <c r="B881" s="2" t="s">
        <v>154</v>
      </c>
      <c r="C881" s="31" t="str">
        <f>VLOOKUP(irregulares[[#This Row],[Similar a]],padroes[],2,0)</f>
        <v>GIR</v>
      </c>
      <c r="D881" s="3"/>
    </row>
    <row r="882" spans="1:4" x14ac:dyDescent="0.25">
      <c r="A882" s="2" t="s">
        <v>3274</v>
      </c>
      <c r="B882" s="2" t="s">
        <v>2440</v>
      </c>
      <c r="C882" s="31" t="str">
        <f>VLOOKUP(irregulares[[#This Row],[Similar a]],padroes[],2,0)</f>
        <v>SUMIR</v>
      </c>
      <c r="D882" s="3"/>
    </row>
    <row r="883" spans="1:4" x14ac:dyDescent="0.25">
      <c r="A883" s="2" t="s">
        <v>3275</v>
      </c>
      <c r="B883" s="2" t="s">
        <v>63</v>
      </c>
      <c r="C883" s="31" t="str">
        <f>VLOOKUP(irregulares[[#This Row],[Similar a]],padroes[],2,0)</f>
        <v>CER</v>
      </c>
      <c r="D883" s="3"/>
    </row>
    <row r="884" spans="1:4" x14ac:dyDescent="0.25">
      <c r="A884" s="2" t="s">
        <v>3276</v>
      </c>
      <c r="B884" s="2" t="s">
        <v>1</v>
      </c>
      <c r="C884" s="31" t="str">
        <f>VLOOKUP(irregulares[[#This Row],[Similar a]],padroes[],2,0)</f>
        <v>TER</v>
      </c>
      <c r="D884" s="3"/>
    </row>
    <row r="885" spans="1:4" x14ac:dyDescent="0.25">
      <c r="A885" s="2" t="s">
        <v>3277</v>
      </c>
      <c r="B885" s="2" t="s">
        <v>434</v>
      </c>
      <c r="C885" s="31" t="str">
        <f>VLOOKUP(irregulares[[#This Row],[Similar a]],padroes[],2,0)</f>
        <v>GUAR</v>
      </c>
      <c r="D885" s="3"/>
    </row>
    <row r="886" spans="1:4" x14ac:dyDescent="0.25">
      <c r="A886" s="2" t="s">
        <v>3278</v>
      </c>
      <c r="B886" s="2" t="s">
        <v>63</v>
      </c>
      <c r="C886" s="31" t="str">
        <f>VLOOKUP(irregulares[[#This Row],[Similar a]],padroes[],2,0)</f>
        <v>CER</v>
      </c>
      <c r="D886" s="3"/>
    </row>
    <row r="887" spans="1:4" x14ac:dyDescent="0.25">
      <c r="A887" s="2" t="s">
        <v>3077</v>
      </c>
      <c r="B887" s="2" t="s">
        <v>53</v>
      </c>
      <c r="C887" s="31" t="str">
        <f>VLOOKUP(irregulares[[#This Row],[Similar a]],padroes[],2,0)</f>
        <v>EAR</v>
      </c>
      <c r="D887" s="3"/>
    </row>
    <row r="888" spans="1:4" x14ac:dyDescent="0.25">
      <c r="A888" s="2" t="s">
        <v>3213</v>
      </c>
      <c r="B888" s="2" t="s">
        <v>49</v>
      </c>
      <c r="C888" s="31" t="str">
        <f>VLOOKUP(irregulares[[#This Row],[Similar a]],padroes[],2,0)</f>
        <v>OAR</v>
      </c>
      <c r="D888" s="3"/>
    </row>
    <row r="889" spans="1:4" x14ac:dyDescent="0.25">
      <c r="A889" s="2" t="s">
        <v>3158</v>
      </c>
      <c r="B889" s="2" t="s">
        <v>44</v>
      </c>
      <c r="C889" s="31" t="str">
        <f>VLOOKUP(irregulares[[#This Row],[Similar a]],padroes[],2,0)</f>
        <v>CAR</v>
      </c>
      <c r="D889" s="3"/>
    </row>
    <row r="890" spans="1:4" x14ac:dyDescent="0.25">
      <c r="A890" s="2" t="s">
        <v>3159</v>
      </c>
      <c r="B890" s="2" t="s">
        <v>42</v>
      </c>
      <c r="C890" s="31" t="str">
        <f>VLOOKUP(irregulares[[#This Row],[Similar a]],padroes[],2,0)</f>
        <v>ÇAR</v>
      </c>
      <c r="D890" s="3"/>
    </row>
    <row r="891" spans="1:4" x14ac:dyDescent="0.25">
      <c r="A891" s="2" t="s">
        <v>3079</v>
      </c>
      <c r="B891" s="2" t="s">
        <v>53</v>
      </c>
      <c r="C891" s="31" t="str">
        <f>VLOOKUP(irregulares[[#This Row],[Similar a]],padroes[],2,0)</f>
        <v>EAR</v>
      </c>
      <c r="D891" s="3"/>
    </row>
    <row r="892" spans="1:4" x14ac:dyDescent="0.25">
      <c r="A892" s="2" t="s">
        <v>3160</v>
      </c>
      <c r="B892" s="2" t="s">
        <v>42</v>
      </c>
      <c r="C892" s="31" t="str">
        <f>VLOOKUP(irregulares[[#This Row],[Similar a]],padroes[],2,0)</f>
        <v>ÇAR</v>
      </c>
      <c r="D892" s="3"/>
    </row>
    <row r="893" spans="1:4" x14ac:dyDescent="0.25">
      <c r="A893" s="2" t="s">
        <v>3279</v>
      </c>
      <c r="B893" s="2" t="s">
        <v>419</v>
      </c>
      <c r="C893" s="31" t="str">
        <f>VLOOKUP(irregulares[[#This Row],[Similar a]],padroes[],2,0)</f>
        <v>DIZER</v>
      </c>
      <c r="D893" s="3"/>
    </row>
    <row r="894" spans="1:4" x14ac:dyDescent="0.25">
      <c r="A894" s="2" t="s">
        <v>3280</v>
      </c>
      <c r="B894" s="2" t="s">
        <v>859</v>
      </c>
      <c r="C894" s="31" t="str">
        <f>VLOOKUP(irregulares[[#This Row],[Similar a]],padroes[],2,0)</f>
        <v>FAZER</v>
      </c>
      <c r="D894" s="3"/>
    </row>
    <row r="895" spans="1:4" x14ac:dyDescent="0.25">
      <c r="A895" s="2" t="s">
        <v>3281</v>
      </c>
      <c r="B895" s="2" t="s">
        <v>1999</v>
      </c>
      <c r="C895" s="31" t="str">
        <f>VLOOKUP(irregulares[[#This Row],[Similar a]],padroes[],2,0)</f>
        <v>E-X-IR</v>
      </c>
      <c r="D895" s="3"/>
    </row>
    <row r="896" spans="1:4" x14ac:dyDescent="0.25">
      <c r="A896" s="2" t="s">
        <v>3161</v>
      </c>
      <c r="B896" s="2" t="s">
        <v>44</v>
      </c>
      <c r="C896" s="31" t="str">
        <f>VLOOKUP(irregulares[[#This Row],[Similar a]],padroes[],2,0)</f>
        <v>CAR</v>
      </c>
      <c r="D896" s="3"/>
    </row>
    <row r="897" spans="1:4" x14ac:dyDescent="0.25">
      <c r="A897" s="2" t="s">
        <v>3282</v>
      </c>
      <c r="B897" s="2" t="s">
        <v>988</v>
      </c>
      <c r="C897" s="31" t="str">
        <f>VLOOKUP(irregulares[[#This Row],[Similar a]],padroes[],2,0)</f>
        <v>AIR</v>
      </c>
      <c r="D897" s="3"/>
    </row>
    <row r="898" spans="1:4" x14ac:dyDescent="0.25">
      <c r="A898" s="2" t="s">
        <v>3162</v>
      </c>
      <c r="B898" s="2" t="s">
        <v>44</v>
      </c>
      <c r="C898" s="31" t="str">
        <f>VLOOKUP(irregulares[[#This Row],[Similar a]],padroes[],2,0)</f>
        <v>CAR</v>
      </c>
      <c r="D898" s="3"/>
    </row>
    <row r="899" spans="1:4" x14ac:dyDescent="0.25">
      <c r="A899" s="2" t="s">
        <v>3080</v>
      </c>
      <c r="B899" s="2" t="s">
        <v>53</v>
      </c>
      <c r="C899" s="31" t="str">
        <f>VLOOKUP(irregulares[[#This Row],[Similar a]],padroes[],2,0)</f>
        <v>EAR</v>
      </c>
      <c r="D899" s="3"/>
    </row>
    <row r="900" spans="1:4" x14ac:dyDescent="0.25">
      <c r="A900" s="2" t="s">
        <v>3283</v>
      </c>
      <c r="B900" s="2" t="s">
        <v>267</v>
      </c>
      <c r="C900" s="31" t="str">
        <f>VLOOKUP(irregulares[[#This Row],[Similar a]],padroes[],2,0)</f>
        <v>POR</v>
      </c>
      <c r="D900" s="3"/>
    </row>
    <row r="901" spans="1:4" x14ac:dyDescent="0.25">
      <c r="A901" s="2" t="s">
        <v>3284</v>
      </c>
      <c r="B901" s="2" t="s">
        <v>2859</v>
      </c>
      <c r="C901" s="31" t="str">
        <f>VLOOKUP(irregulares[[#This Row],[Similar a]],padroes[],2,0)</f>
        <v>Defectivo 3</v>
      </c>
      <c r="D901" s="3"/>
    </row>
    <row r="902" spans="1:4" x14ac:dyDescent="0.25">
      <c r="A902" s="2" t="s">
        <v>3285</v>
      </c>
      <c r="B902" s="2" t="s">
        <v>267</v>
      </c>
      <c r="C902" s="31" t="str">
        <f>VLOOKUP(irregulares[[#This Row],[Similar a]],padroes[],2,0)</f>
        <v>POR</v>
      </c>
      <c r="D902" s="3"/>
    </row>
    <row r="903" spans="1:4" x14ac:dyDescent="0.25">
      <c r="A903" s="2" t="s">
        <v>3081</v>
      </c>
      <c r="B903" s="2" t="s">
        <v>53</v>
      </c>
      <c r="C903" s="31" t="str">
        <f>VLOOKUP(irregulares[[#This Row],[Similar a]],padroes[],2,0)</f>
        <v>EAR</v>
      </c>
      <c r="D903" s="3"/>
    </row>
    <row r="904" spans="1:4" x14ac:dyDescent="0.25">
      <c r="A904" s="2" t="s">
        <v>3286</v>
      </c>
      <c r="B904" s="2" t="s">
        <v>247</v>
      </c>
      <c r="C904" s="31" t="str">
        <f>VLOOKUP(irregulares[[#This Row],[Similar a]],padroes[],2,0)</f>
        <v>VIR</v>
      </c>
      <c r="D904" s="3"/>
    </row>
    <row r="905" spans="1:4" x14ac:dyDescent="0.25">
      <c r="A905" s="2" t="s">
        <v>3287</v>
      </c>
      <c r="B905" s="2" t="s">
        <v>82</v>
      </c>
      <c r="C905" s="31" t="str">
        <f>VLOOKUP(irregulares[[#This Row],[Similar a]],padroes[],2,0)</f>
        <v>UIR</v>
      </c>
      <c r="D905" s="3"/>
    </row>
    <row r="906" spans="1:4" x14ac:dyDescent="0.25">
      <c r="A906" s="2" t="s">
        <v>3288</v>
      </c>
      <c r="B906" s="2" t="s">
        <v>63</v>
      </c>
      <c r="C906" s="31" t="str">
        <f>VLOOKUP(irregulares[[#This Row],[Similar a]],padroes[],2,0)</f>
        <v>CER</v>
      </c>
      <c r="D906" s="3"/>
    </row>
    <row r="907" spans="1:4" x14ac:dyDescent="0.25">
      <c r="A907" s="2" t="s">
        <v>3289</v>
      </c>
      <c r="B907" s="2" t="s">
        <v>1999</v>
      </c>
      <c r="C907" s="31" t="str">
        <f>VLOOKUP(irregulares[[#This Row],[Similar a]],padroes[],2,0)</f>
        <v>E-X-IR</v>
      </c>
      <c r="D907" s="3"/>
    </row>
    <row r="908" spans="1:4" x14ac:dyDescent="0.25">
      <c r="A908" s="2" t="s">
        <v>3290</v>
      </c>
      <c r="B908" s="2" t="s">
        <v>63</v>
      </c>
      <c r="C908" s="31" t="str">
        <f>VLOOKUP(irregulares[[#This Row],[Similar a]],padroes[],2,0)</f>
        <v>CER</v>
      </c>
      <c r="D908" s="3"/>
    </row>
    <row r="909" spans="1:4" x14ac:dyDescent="0.25">
      <c r="A909" s="2" t="s">
        <v>3291</v>
      </c>
      <c r="B909" s="2" t="s">
        <v>950</v>
      </c>
      <c r="C909" s="31" t="str">
        <f>VLOOKUP(irregulares[[#This Row],[Similar a]],padroes[],2,0)</f>
        <v>E-X-IR</v>
      </c>
      <c r="D909" s="3"/>
    </row>
    <row r="910" spans="1:4" x14ac:dyDescent="0.25">
      <c r="A910" s="2" t="s">
        <v>3292</v>
      </c>
      <c r="B910" s="2" t="s">
        <v>247</v>
      </c>
      <c r="C910" s="31" t="str">
        <f>VLOOKUP(irregulares[[#This Row],[Similar a]],padroes[],2,0)</f>
        <v>VIR</v>
      </c>
      <c r="D910" s="3"/>
    </row>
    <row r="911" spans="1:4" x14ac:dyDescent="0.25">
      <c r="A911" s="2" t="s">
        <v>3163</v>
      </c>
      <c r="B911" s="2" t="s">
        <v>44</v>
      </c>
      <c r="C911" s="31" t="str">
        <f>VLOOKUP(irregulares[[#This Row],[Similar a]],padroes[],2,0)</f>
        <v>CAR</v>
      </c>
      <c r="D911" s="3"/>
    </row>
    <row r="912" spans="1:4" x14ac:dyDescent="0.25">
      <c r="A912" s="2" t="s">
        <v>3293</v>
      </c>
      <c r="B912" s="2" t="s">
        <v>55</v>
      </c>
      <c r="C912" s="31" t="str">
        <f>VLOOKUP(irregulares[[#This Row],[Similar a]],padroes[],2,0)</f>
        <v>EJAR ô</v>
      </c>
      <c r="D912" s="3"/>
    </row>
    <row r="913" spans="1:4" x14ac:dyDescent="0.25">
      <c r="A913" s="2" t="s">
        <v>3167</v>
      </c>
      <c r="B913" s="2" t="s">
        <v>44</v>
      </c>
      <c r="C913" s="31" t="str">
        <f>VLOOKUP(irregulares[[#This Row],[Similar a]],padroes[],2,0)</f>
        <v>CAR</v>
      </c>
      <c r="D913" s="3"/>
    </row>
    <row r="914" spans="1:4" x14ac:dyDescent="0.25">
      <c r="A914" s="2" t="s">
        <v>3294</v>
      </c>
      <c r="B914" s="2" t="s">
        <v>1887</v>
      </c>
      <c r="C914" s="31" t="str">
        <f>VLOOKUP(irregulares[[#This Row],[Similar a]],padroes[],2,0)</f>
        <v>UZIR</v>
      </c>
      <c r="D914" s="3"/>
    </row>
    <row r="915" spans="1:4" x14ac:dyDescent="0.25">
      <c r="A915" s="2" t="s">
        <v>3168</v>
      </c>
      <c r="B915" s="2" t="s">
        <v>44</v>
      </c>
      <c r="C915" s="31" t="str">
        <f>VLOOKUP(irregulares[[#This Row],[Similar a]],padroes[],2,0)</f>
        <v>CAR</v>
      </c>
      <c r="D915" s="3"/>
    </row>
    <row r="916" spans="1:4" x14ac:dyDescent="0.25">
      <c r="A916" s="2" t="s">
        <v>3082</v>
      </c>
      <c r="B916" s="2" t="s">
        <v>53</v>
      </c>
      <c r="C916" s="31" t="str">
        <f>VLOOKUP(irregulares[[#This Row],[Similar a]],padroes[],2,0)</f>
        <v>EAR</v>
      </c>
      <c r="D916" s="3"/>
    </row>
    <row r="917" spans="1:4" x14ac:dyDescent="0.25">
      <c r="A917" s="2" t="s">
        <v>3083</v>
      </c>
      <c r="B917" s="2" t="s">
        <v>53</v>
      </c>
      <c r="C917" s="31" t="str">
        <f>VLOOKUP(irregulares[[#This Row],[Similar a]],padroes[],2,0)</f>
        <v>EAR</v>
      </c>
      <c r="D917" s="3"/>
    </row>
    <row r="918" spans="1:4" x14ac:dyDescent="0.25">
      <c r="A918" s="2" t="s">
        <v>3169</v>
      </c>
      <c r="B918" s="2" t="s">
        <v>44</v>
      </c>
      <c r="C918" s="31" t="str">
        <f>VLOOKUP(irregulares[[#This Row],[Similar a]],padroes[],2,0)</f>
        <v>CAR</v>
      </c>
      <c r="D918" s="3"/>
    </row>
    <row r="919" spans="1:4" x14ac:dyDescent="0.25">
      <c r="A919" s="2" t="s">
        <v>3084</v>
      </c>
      <c r="B919" s="2" t="s">
        <v>53</v>
      </c>
      <c r="C919" s="31" t="str">
        <f>VLOOKUP(irregulares[[#This Row],[Similar a]],padroes[],2,0)</f>
        <v>EAR</v>
      </c>
      <c r="D919" s="3"/>
    </row>
    <row r="920" spans="1:4" x14ac:dyDescent="0.25">
      <c r="A920" s="2" t="s">
        <v>3085</v>
      </c>
      <c r="B920" s="2" t="s">
        <v>53</v>
      </c>
      <c r="C920" s="31" t="str">
        <f>VLOOKUP(irregulares[[#This Row],[Similar a]],padroes[],2,0)</f>
        <v>EAR</v>
      </c>
      <c r="D920" s="3"/>
    </row>
    <row r="921" spans="1:4" x14ac:dyDescent="0.25">
      <c r="A921" s="2" t="s">
        <v>49</v>
      </c>
      <c r="B921" s="2" t="s">
        <v>49</v>
      </c>
      <c r="C921" s="2" t="str">
        <f>VLOOKUP(irregulares[[#This Row],[Similar a]],padroes[],2,0)</f>
        <v>OAR</v>
      </c>
      <c r="D921" s="3"/>
    </row>
    <row r="922" spans="1:4" x14ac:dyDescent="0.25">
      <c r="A922" s="2" t="s">
        <v>3170</v>
      </c>
      <c r="B922" s="2" t="s">
        <v>44</v>
      </c>
      <c r="C922" s="31" t="str">
        <f>VLOOKUP(irregulares[[#This Row],[Similar a]],padroes[],2,0)</f>
        <v>CAR</v>
      </c>
      <c r="D922" s="3"/>
    </row>
    <row r="923" spans="1:4" x14ac:dyDescent="0.25">
      <c r="A923" s="2" t="s">
        <v>3295</v>
      </c>
      <c r="B923" s="2" t="s">
        <v>121</v>
      </c>
      <c r="C923" s="31" t="str">
        <f>VLOOKUP(irregulares[[#This Row],[Similar a]],padroes[],2,0)</f>
        <v>GER</v>
      </c>
      <c r="D923" s="3"/>
    </row>
    <row r="924" spans="1:4" x14ac:dyDescent="0.25">
      <c r="A924" s="2" t="s">
        <v>3171</v>
      </c>
      <c r="B924" s="2" t="s">
        <v>44</v>
      </c>
      <c r="C924" s="31" t="str">
        <f>VLOOKUP(irregulares[[#This Row],[Similar a]],padroes[],2,0)</f>
        <v>CAR</v>
      </c>
      <c r="D924" s="3"/>
    </row>
    <row r="925" spans="1:4" x14ac:dyDescent="0.25">
      <c r="A925" s="2" t="s">
        <v>301</v>
      </c>
      <c r="B925" s="2" t="s">
        <v>154</v>
      </c>
      <c r="C925" s="31" t="str">
        <f>VLOOKUP(irregulares[[#This Row],[Similar a]],padroes[],2,0)</f>
        <v>GIR</v>
      </c>
      <c r="D925" s="3"/>
    </row>
    <row r="926" spans="1:4" x14ac:dyDescent="0.25">
      <c r="A926" s="2" t="s">
        <v>3296</v>
      </c>
      <c r="B926" s="2" t="s">
        <v>3259</v>
      </c>
      <c r="C926" s="31" t="str">
        <f>VLOOKUP(irregulares[[#This Row],[Similar a]],padroes[],2,0)</f>
        <v>OER</v>
      </c>
      <c r="D926" s="3"/>
    </row>
    <row r="927" spans="1:4" x14ac:dyDescent="0.25">
      <c r="A927" s="2" t="s">
        <v>3201</v>
      </c>
      <c r="B927" s="2" t="s">
        <v>74</v>
      </c>
      <c r="C927" s="31" t="str">
        <f>VLOOKUP(irregulares[[#This Row],[Similar a]],padroes[],2,0)</f>
        <v>GAR</v>
      </c>
      <c r="D927" s="3"/>
    </row>
    <row r="928" spans="1:4" x14ac:dyDescent="0.25">
      <c r="A928" s="2" t="s">
        <v>3086</v>
      </c>
      <c r="B928" s="2" t="s">
        <v>53</v>
      </c>
      <c r="C928" s="31" t="str">
        <f>VLOOKUP(irregulares[[#This Row],[Similar a]],padroes[],2,0)</f>
        <v>EAR</v>
      </c>
      <c r="D928" s="3"/>
    </row>
    <row r="929" spans="1:4" x14ac:dyDescent="0.25">
      <c r="A929" s="2" t="s">
        <v>3164</v>
      </c>
      <c r="B929" s="2" t="s">
        <v>1613</v>
      </c>
      <c r="C929" s="31" t="str">
        <f>VLOOKUP(irregulares[[#This Row],[Similar a]],padroes[],2,0)</f>
        <v>Defectivo 3</v>
      </c>
      <c r="D929" s="3"/>
    </row>
    <row r="930" spans="1:4" x14ac:dyDescent="0.25">
      <c r="A930" s="2" t="s">
        <v>3066</v>
      </c>
      <c r="B930" s="2" t="s">
        <v>1540</v>
      </c>
      <c r="C930" s="31" t="str">
        <f>VLOOKUP(irregulares[[#This Row],[Similar a]],padroes[],2,0)</f>
        <v>Defectivo 3</v>
      </c>
      <c r="D930" s="3"/>
    </row>
    <row r="931" spans="1:4" x14ac:dyDescent="0.25">
      <c r="A931" s="2" t="s">
        <v>3087</v>
      </c>
      <c r="B931" s="2" t="s">
        <v>53</v>
      </c>
      <c r="C931" s="31" t="str">
        <f>VLOOKUP(irregulares[[#This Row],[Similar a]],padroes[],2,0)</f>
        <v>EAR</v>
      </c>
      <c r="D931" s="3"/>
    </row>
    <row r="932" spans="1:4" x14ac:dyDescent="0.25">
      <c r="A932" s="2" t="s">
        <v>3088</v>
      </c>
      <c r="B932" s="2" t="s">
        <v>53</v>
      </c>
      <c r="C932" s="31" t="str">
        <f>VLOOKUP(irregulares[[#This Row],[Similar a]],padroes[],2,0)</f>
        <v>EAR</v>
      </c>
      <c r="D932" s="3"/>
    </row>
    <row r="933" spans="1:4" x14ac:dyDescent="0.25">
      <c r="A933" s="2" t="s">
        <v>3089</v>
      </c>
      <c r="B933" s="2" t="s">
        <v>53</v>
      </c>
      <c r="C933" s="31" t="str">
        <f>VLOOKUP(irregulares[[#This Row],[Similar a]],padroes[],2,0)</f>
        <v>EAR</v>
      </c>
      <c r="D933" s="3"/>
    </row>
    <row r="934" spans="1:4" x14ac:dyDescent="0.25">
      <c r="A934" s="2" t="s">
        <v>3172</v>
      </c>
      <c r="B934" s="2" t="s">
        <v>44</v>
      </c>
      <c r="C934" s="31" t="str">
        <f>VLOOKUP(irregulares[[#This Row],[Similar a]],padroes[],2,0)</f>
        <v>CAR</v>
      </c>
      <c r="D934" s="3"/>
    </row>
    <row r="935" spans="1:4" x14ac:dyDescent="0.25">
      <c r="A935" s="2" t="s">
        <v>3090</v>
      </c>
      <c r="B935" s="2" t="s">
        <v>53</v>
      </c>
      <c r="C935" s="31" t="str">
        <f>VLOOKUP(irregulares[[#This Row],[Similar a]],padroes[],2,0)</f>
        <v>EAR</v>
      </c>
      <c r="D935" s="3"/>
    </row>
    <row r="936" spans="1:4" x14ac:dyDescent="0.25">
      <c r="A936" s="2" t="s">
        <v>3091</v>
      </c>
      <c r="B936" s="2" t="s">
        <v>53</v>
      </c>
      <c r="C936" s="31" t="str">
        <f>VLOOKUP(irregulares[[#This Row],[Similar a]],padroes[],2,0)</f>
        <v>EAR</v>
      </c>
      <c r="D936" s="3"/>
    </row>
    <row r="937" spans="1:4" x14ac:dyDescent="0.25">
      <c r="A937" s="2" t="s">
        <v>3092</v>
      </c>
      <c r="B937" s="2" t="s">
        <v>53</v>
      </c>
      <c r="C937" s="31" t="str">
        <f>VLOOKUP(irregulares[[#This Row],[Similar a]],padroes[],2,0)</f>
        <v>EAR</v>
      </c>
      <c r="D937" s="3"/>
    </row>
    <row r="938" spans="1:4" x14ac:dyDescent="0.25">
      <c r="A938" s="2" t="s">
        <v>3093</v>
      </c>
      <c r="B938" s="2" t="s">
        <v>53</v>
      </c>
      <c r="C938" s="31" t="str">
        <f>VLOOKUP(irregulares[[#This Row],[Similar a]],padroes[],2,0)</f>
        <v>EAR</v>
      </c>
      <c r="D938" s="3"/>
    </row>
    <row r="939" spans="1:4" x14ac:dyDescent="0.25">
      <c r="A939" s="2" t="s">
        <v>3298</v>
      </c>
      <c r="B939" s="2" t="s">
        <v>55</v>
      </c>
      <c r="C939" s="31" t="str">
        <f>VLOOKUP(irregulares[[#This Row],[Similar a]],padroes[],2,0)</f>
        <v>EJAR ô</v>
      </c>
      <c r="D939" s="3"/>
    </row>
    <row r="940" spans="1:4" x14ac:dyDescent="0.25">
      <c r="A940" s="2" t="s">
        <v>3179</v>
      </c>
      <c r="B940" s="2" t="s">
        <v>1604</v>
      </c>
      <c r="C940" s="31" t="str">
        <f>VLOOKUP(irregulares[[#This Row],[Similar a]],padroes[],2,0)</f>
        <v>Defectivo 3</v>
      </c>
      <c r="D940" s="3"/>
    </row>
    <row r="941" spans="1:4" x14ac:dyDescent="0.25">
      <c r="A941" s="2" t="s">
        <v>1607</v>
      </c>
      <c r="B941" s="2" t="s">
        <v>1607</v>
      </c>
      <c r="C941" s="31" t="str">
        <f>VLOOKUP(irregulares[[#This Row],[Similar a]],padroes[],2,0)</f>
        <v>CRER</v>
      </c>
      <c r="D941" s="3"/>
    </row>
    <row r="942" spans="1:4" x14ac:dyDescent="0.25">
      <c r="A942" s="2" t="s">
        <v>170</v>
      </c>
      <c r="B942" s="2" t="s">
        <v>63</v>
      </c>
      <c r="C942" s="31" t="str">
        <f>VLOOKUP(irregulares[[#This Row],[Similar a]],padroes[],2,0)</f>
        <v>CER</v>
      </c>
      <c r="D942" s="3"/>
    </row>
    <row r="943" spans="1:4" x14ac:dyDescent="0.25">
      <c r="A943" s="2" t="s">
        <v>3299</v>
      </c>
      <c r="B943" s="2" t="s">
        <v>1542</v>
      </c>
      <c r="C943" s="31" t="str">
        <f>VLOOKUP(irregulares[[#This Row],[Similar a]],padroes[],2,0)</f>
        <v>Defectivo 3</v>
      </c>
      <c r="D943" s="3"/>
    </row>
    <row r="944" spans="1:4" x14ac:dyDescent="0.25">
      <c r="A944" s="2" t="s">
        <v>3094</v>
      </c>
      <c r="B944" s="2" t="s">
        <v>53</v>
      </c>
      <c r="C944" s="31" t="str">
        <f>VLOOKUP(irregulares[[#This Row],[Similar a]],padroes[],2,0)</f>
        <v>EAR</v>
      </c>
      <c r="D944" s="3"/>
    </row>
    <row r="945" spans="1:4" x14ac:dyDescent="0.25">
      <c r="A945" s="2" t="s">
        <v>3173</v>
      </c>
      <c r="B945" s="2" t="s">
        <v>44</v>
      </c>
      <c r="C945" s="31" t="str">
        <f>VLOOKUP(irregulares[[#This Row],[Similar a]],padroes[],2,0)</f>
        <v>CAR</v>
      </c>
      <c r="D945" s="3"/>
    </row>
    <row r="946" spans="1:4" x14ac:dyDescent="0.25">
      <c r="A946" s="2" t="s">
        <v>3174</v>
      </c>
      <c r="B946" s="2" t="s">
        <v>44</v>
      </c>
      <c r="C946" s="31" t="str">
        <f>VLOOKUP(irregulares[[#This Row],[Similar a]],padroes[],2,0)</f>
        <v>CAR</v>
      </c>
      <c r="D946" s="3"/>
    </row>
    <row r="947" spans="1:4" x14ac:dyDescent="0.25">
      <c r="A947" s="2" t="s">
        <v>3175</v>
      </c>
      <c r="B947" s="2" t="s">
        <v>44</v>
      </c>
      <c r="C947" s="31" t="str">
        <f>VLOOKUP(irregulares[[#This Row],[Similar a]],padroes[],2,0)</f>
        <v>CAR</v>
      </c>
      <c r="D947" s="3"/>
    </row>
    <row r="948" spans="1:4" x14ac:dyDescent="0.25">
      <c r="A948" s="2" t="s">
        <v>3165</v>
      </c>
      <c r="B948" s="2" t="s">
        <v>44</v>
      </c>
      <c r="C948" s="31" t="str">
        <f>VLOOKUP(irregulares[[#This Row],[Similar a]],padroes[],2,0)</f>
        <v>CAR</v>
      </c>
      <c r="D948" s="3"/>
    </row>
    <row r="949" spans="1:4" x14ac:dyDescent="0.25">
      <c r="A949" s="2" t="s">
        <v>3300</v>
      </c>
      <c r="B949" s="2" t="s">
        <v>1542</v>
      </c>
      <c r="C949" s="31" t="str">
        <f>VLOOKUP(irregulares[[#This Row],[Similar a]],padroes[],2,0)</f>
        <v>Defectivo 3</v>
      </c>
      <c r="D949" s="3"/>
    </row>
    <row r="950" spans="1:4" x14ac:dyDescent="0.25">
      <c r="A950" s="2" t="s">
        <v>3166</v>
      </c>
      <c r="B950" s="2" t="s">
        <v>1613</v>
      </c>
      <c r="C950" s="31" t="str">
        <f>VLOOKUP(irregulares[[#This Row],[Similar a]],padroes[],2,0)</f>
        <v>Defectivo 3</v>
      </c>
      <c r="D950" s="3"/>
    </row>
    <row r="951" spans="1:4" x14ac:dyDescent="0.25">
      <c r="A951" s="2" t="s">
        <v>3301</v>
      </c>
      <c r="B951" s="2" t="s">
        <v>1542</v>
      </c>
      <c r="C951" s="31" t="str">
        <f>VLOOKUP(irregulares[[#This Row],[Similar a]],padroes[],2,0)</f>
        <v>Defectivo 3</v>
      </c>
      <c r="D951" s="3"/>
    </row>
    <row r="952" spans="1:4" x14ac:dyDescent="0.25">
      <c r="A952" s="2" t="s">
        <v>3095</v>
      </c>
      <c r="B952" s="2" t="s">
        <v>53</v>
      </c>
      <c r="C952" s="31" t="str">
        <f>VLOOKUP(irregulares[[#This Row],[Similar a]],padroes[],2,0)</f>
        <v>EAR</v>
      </c>
      <c r="D952" s="3"/>
    </row>
    <row r="953" spans="1:4" x14ac:dyDescent="0.25">
      <c r="A953" s="2" t="s">
        <v>3096</v>
      </c>
      <c r="B953" s="2" t="s">
        <v>53</v>
      </c>
      <c r="C953" s="31" t="str">
        <f>VLOOKUP(irregulares[[#This Row],[Similar a]],padroes[],2,0)</f>
        <v>EAR</v>
      </c>
      <c r="D953" s="3"/>
    </row>
    <row r="954" spans="1:4" x14ac:dyDescent="0.25">
      <c r="A954" s="2" t="s">
        <v>3302</v>
      </c>
      <c r="B954" s="2" t="s">
        <v>3302</v>
      </c>
      <c r="C954" s="31" t="str">
        <f>VLOOKUP(irregulares[[#This Row],[Similar a]],padroes[],2,0)</f>
        <v>O-X-IR</v>
      </c>
      <c r="D954" s="3"/>
    </row>
    <row r="955" spans="1:4" x14ac:dyDescent="0.25">
      <c r="A955" s="2" t="s">
        <v>3097</v>
      </c>
      <c r="B955" s="2" t="s">
        <v>53</v>
      </c>
      <c r="C955" s="31" t="str">
        <f>VLOOKUP(irregulares[[#This Row],[Similar a]],padroes[],2,0)</f>
        <v>EAR</v>
      </c>
      <c r="D955" s="3"/>
    </row>
    <row r="956" spans="1:4" x14ac:dyDescent="0.25">
      <c r="A956" s="2" t="s">
        <v>3176</v>
      </c>
      <c r="B956" s="2" t="s">
        <v>44</v>
      </c>
      <c r="C956" s="31" t="str">
        <f>VLOOKUP(irregulares[[#This Row],[Similar a]],padroes[],2,0)</f>
        <v>CAR</v>
      </c>
      <c r="D956" s="3"/>
    </row>
    <row r="957" spans="1:4" x14ac:dyDescent="0.25">
      <c r="A957" s="2" t="s">
        <v>4124</v>
      </c>
      <c r="B957" s="2" t="s">
        <v>55</v>
      </c>
      <c r="C957" s="31" t="str">
        <f>VLOOKUP(irregulares[[#This Row],[Similar a]],padroes[],2,0)</f>
        <v>EJAR ô</v>
      </c>
      <c r="D957" s="3"/>
    </row>
    <row r="958" spans="1:4" x14ac:dyDescent="0.25">
      <c r="A958" s="2" t="s">
        <v>2295</v>
      </c>
      <c r="B958" s="2" t="s">
        <v>2295</v>
      </c>
      <c r="C958" s="31" t="str">
        <f>VLOOKUP(irregulares[[#This Row],[Similar a]],padroes[],2,0)</f>
        <v>DAR</v>
      </c>
      <c r="D958" s="3"/>
    </row>
    <row r="959" spans="1:4" x14ac:dyDescent="0.25">
      <c r="A959" s="2" t="s">
        <v>4125</v>
      </c>
      <c r="B959" s="2" t="s">
        <v>55</v>
      </c>
      <c r="C959" s="31" t="str">
        <f>VLOOKUP(irregulares[[#This Row],[Similar a]],padroes[],2,0)</f>
        <v>EJAR ô</v>
      </c>
      <c r="D959" s="3"/>
    </row>
    <row r="960" spans="1:4" x14ac:dyDescent="0.25">
      <c r="A960" s="2" t="s">
        <v>3867</v>
      </c>
      <c r="B960" s="2" t="s">
        <v>337</v>
      </c>
      <c r="C960" s="31" t="str">
        <f>VLOOKUP(irregulares[[#This Row],[Similar a]],padroes[],2,0)</f>
        <v>IDEAR</v>
      </c>
      <c r="D960" s="3"/>
    </row>
    <row r="961" spans="1:4" x14ac:dyDescent="0.25">
      <c r="A961" s="2" t="s">
        <v>4376</v>
      </c>
      <c r="B961" s="2" t="s">
        <v>988</v>
      </c>
      <c r="C961" s="31" t="str">
        <f>VLOOKUP(irregulares[[#This Row],[Similar a]],padroes[],2,0)</f>
        <v>AIR</v>
      </c>
      <c r="D961" s="3"/>
    </row>
    <row r="962" spans="1:4" x14ac:dyDescent="0.25">
      <c r="A962" s="2" t="s">
        <v>4157</v>
      </c>
      <c r="B962" s="2" t="s">
        <v>49</v>
      </c>
      <c r="C962" s="31" t="str">
        <f>VLOOKUP(irregulares[[#This Row],[Similar a]],padroes[],2,0)</f>
        <v>OAR</v>
      </c>
      <c r="D962" s="3"/>
    </row>
    <row r="963" spans="1:4" x14ac:dyDescent="0.25">
      <c r="A963" s="2" t="s">
        <v>4377</v>
      </c>
      <c r="B963" s="2" t="s">
        <v>267</v>
      </c>
      <c r="C963" s="31" t="str">
        <f>VLOOKUP(irregulares[[#This Row],[Similar a]],padroes[],2,0)</f>
        <v>POR</v>
      </c>
      <c r="D963" s="3"/>
    </row>
    <row r="964" spans="1:4" x14ac:dyDescent="0.25">
      <c r="A964" s="2" t="s">
        <v>4235</v>
      </c>
      <c r="B964" s="2" t="s">
        <v>63</v>
      </c>
      <c r="C964" s="31" t="str">
        <f>VLOOKUP(irregulares[[#This Row],[Similar a]],padroes[],2,0)</f>
        <v>CER</v>
      </c>
      <c r="D964" s="3"/>
    </row>
    <row r="965" spans="1:4" x14ac:dyDescent="0.25">
      <c r="A965" s="2" t="s">
        <v>4378</v>
      </c>
      <c r="B965" s="2" t="s">
        <v>1887</v>
      </c>
      <c r="C965" s="31" t="str">
        <f>VLOOKUP(irregulares[[#This Row],[Similar a]],padroes[],2,0)</f>
        <v>UZIR</v>
      </c>
      <c r="D965" s="3"/>
    </row>
    <row r="966" spans="1:4" x14ac:dyDescent="0.25">
      <c r="A966" s="2" t="s">
        <v>4379</v>
      </c>
      <c r="B966" s="2" t="s">
        <v>2860</v>
      </c>
      <c r="C966" s="31" t="str">
        <f>VLOOKUP(irregulares[[#This Row],[Similar a]],padroes[],2,0)</f>
        <v>Abundante</v>
      </c>
      <c r="D966" s="3"/>
    </row>
    <row r="967" spans="1:4" x14ac:dyDescent="0.25">
      <c r="A967" s="2" t="s">
        <v>4380</v>
      </c>
      <c r="B967" s="2" t="s">
        <v>183</v>
      </c>
      <c r="C967" s="31" t="str">
        <f>VLOOKUP(irregulares[[#This Row],[Similar a]],padroes[],2,0)</f>
        <v>E-X-IR</v>
      </c>
      <c r="D967" s="3"/>
    </row>
    <row r="968" spans="1:4" x14ac:dyDescent="0.25">
      <c r="A968" s="2" t="s">
        <v>4381</v>
      </c>
      <c r="B968" s="2" t="s">
        <v>1717</v>
      </c>
      <c r="C968" s="31" t="str">
        <f>VLOOKUP(irregulares[[#This Row],[Similar a]],padroes[],2,0)</f>
        <v>Defectivo 1</v>
      </c>
      <c r="D968" s="3"/>
    </row>
    <row r="969" spans="1:4" x14ac:dyDescent="0.25">
      <c r="A969" s="2" t="s">
        <v>4382</v>
      </c>
      <c r="B969" s="2" t="s">
        <v>1717</v>
      </c>
      <c r="C969" s="31" t="str">
        <f>VLOOKUP(irregulares[[#This Row],[Similar a]],padroes[],2,0)</f>
        <v>Defectivo 1</v>
      </c>
      <c r="D969" s="3"/>
    </row>
    <row r="970" spans="1:4" x14ac:dyDescent="0.25">
      <c r="A970" s="2" t="s">
        <v>4383</v>
      </c>
      <c r="B970" s="2" t="s">
        <v>82</v>
      </c>
      <c r="C970" s="31" t="str">
        <f>VLOOKUP(irregulares[[#This Row],[Similar a]],padroes[],2,0)</f>
        <v>UIR</v>
      </c>
      <c r="D970" s="3"/>
    </row>
    <row r="971" spans="1:4" x14ac:dyDescent="0.25">
      <c r="A971" s="2" t="s">
        <v>3868</v>
      </c>
      <c r="B971" s="2" t="s">
        <v>53</v>
      </c>
      <c r="C971" s="31" t="str">
        <f>VLOOKUP(irregulares[[#This Row],[Similar a]],padroes[],2,0)</f>
        <v>EAR</v>
      </c>
      <c r="D971" s="3"/>
    </row>
    <row r="972" spans="1:4" x14ac:dyDescent="0.25">
      <c r="A972" s="2" t="s">
        <v>4384</v>
      </c>
      <c r="B972" s="2" t="s">
        <v>1717</v>
      </c>
      <c r="C972" s="31" t="str">
        <f>VLOOKUP(irregulares[[#This Row],[Similar a]],padroes[],2,0)</f>
        <v>Defectivo 1</v>
      </c>
      <c r="D972" s="3"/>
    </row>
    <row r="973" spans="1:4" x14ac:dyDescent="0.25">
      <c r="A973" s="2" t="s">
        <v>3999</v>
      </c>
      <c r="B973" s="2" t="s">
        <v>60</v>
      </c>
      <c r="C973" s="31" t="str">
        <f>VLOOKUP(irregulares[[#This Row],[Similar a]],padroes[],2,0)</f>
        <v>GAR</v>
      </c>
      <c r="D973" s="3"/>
    </row>
    <row r="974" spans="1:4" x14ac:dyDescent="0.25">
      <c r="A974" s="2" t="s">
        <v>3869</v>
      </c>
      <c r="B974" s="2" t="s">
        <v>53</v>
      </c>
      <c r="C974" s="31" t="str">
        <f>VLOOKUP(irregulares[[#This Row],[Similar a]],padroes[],2,0)</f>
        <v>EAR</v>
      </c>
      <c r="D974" s="3"/>
    </row>
    <row r="975" spans="1:4" x14ac:dyDescent="0.25">
      <c r="A975" s="2" t="s">
        <v>3870</v>
      </c>
      <c r="B975" s="2" t="s">
        <v>53</v>
      </c>
      <c r="C975" s="31" t="str">
        <f>VLOOKUP(irregulares[[#This Row],[Similar a]],padroes[],2,0)</f>
        <v>EAR</v>
      </c>
      <c r="D975" s="3"/>
    </row>
    <row r="976" spans="1:4" x14ac:dyDescent="0.25">
      <c r="A976" s="2" t="s">
        <v>4385</v>
      </c>
      <c r="B976" s="2" t="s">
        <v>1717</v>
      </c>
      <c r="C976" s="31" t="str">
        <f>VLOOKUP(irregulares[[#This Row],[Similar a]],padroes[],2,0)</f>
        <v>Defectivo 1</v>
      </c>
      <c r="D976" s="3"/>
    </row>
    <row r="977" spans="1:4" x14ac:dyDescent="0.25">
      <c r="A977" s="2" t="s">
        <v>4236</v>
      </c>
      <c r="B977" s="2" t="s">
        <v>63</v>
      </c>
      <c r="C977" s="31" t="str">
        <f>VLOOKUP(irregulares[[#This Row],[Similar a]],padroes[],2,0)</f>
        <v>CER</v>
      </c>
      <c r="D977" s="3"/>
    </row>
    <row r="978" spans="1:4" x14ac:dyDescent="0.25">
      <c r="A978" s="2" t="s">
        <v>4386</v>
      </c>
      <c r="B978" s="2" t="s">
        <v>1717</v>
      </c>
      <c r="C978" s="31" t="str">
        <f>VLOOKUP(irregulares[[#This Row],[Similar a]],padroes[],2,0)</f>
        <v>Defectivo 1</v>
      </c>
      <c r="D978" s="3"/>
    </row>
    <row r="979" spans="1:4" x14ac:dyDescent="0.25">
      <c r="A979" s="2" t="s">
        <v>4029</v>
      </c>
      <c r="B979" s="2" t="s">
        <v>74</v>
      </c>
      <c r="C979" s="31" t="str">
        <f>VLOOKUP(irregulares[[#This Row],[Similar a]],padroes[],2,0)</f>
        <v>GAR</v>
      </c>
      <c r="D979" s="3"/>
    </row>
    <row r="980" spans="1:4" x14ac:dyDescent="0.25">
      <c r="A980" s="2" t="s">
        <v>4387</v>
      </c>
      <c r="B980" s="2" t="s">
        <v>2859</v>
      </c>
      <c r="C980" s="31" t="str">
        <f>VLOOKUP(irregulares[[#This Row],[Similar a]],padroes[],2,0)</f>
        <v>Defectivo 3</v>
      </c>
      <c r="D980" s="3"/>
    </row>
    <row r="981" spans="1:4" x14ac:dyDescent="0.25">
      <c r="A981" s="2" t="s">
        <v>4388</v>
      </c>
      <c r="B981" s="2" t="s">
        <v>1717</v>
      </c>
      <c r="C981" s="31" t="str">
        <f>VLOOKUP(irregulares[[#This Row],[Similar a]],padroes[],2,0)</f>
        <v>Defectivo 1</v>
      </c>
      <c r="D981" s="3"/>
    </row>
    <row r="982" spans="1:4" x14ac:dyDescent="0.25">
      <c r="A982" s="2" t="s">
        <v>4000</v>
      </c>
      <c r="B982" s="2" t="s">
        <v>60</v>
      </c>
      <c r="C982" s="31" t="str">
        <f>VLOOKUP(irregulares[[#This Row],[Similar a]],padroes[],2,0)</f>
        <v>GAR</v>
      </c>
      <c r="D982" s="3"/>
    </row>
    <row r="983" spans="1:4" x14ac:dyDescent="0.25">
      <c r="A983" s="2" t="s">
        <v>4237</v>
      </c>
      <c r="B983" s="2" t="s">
        <v>63</v>
      </c>
      <c r="C983" s="31" t="str">
        <f>VLOOKUP(irregulares[[#This Row],[Similar a]],padroes[],2,0)</f>
        <v>CER</v>
      </c>
      <c r="D983" s="3"/>
    </row>
    <row r="984" spans="1:4" x14ac:dyDescent="0.25">
      <c r="A984" s="2" t="s">
        <v>4389</v>
      </c>
      <c r="B984" s="2" t="s">
        <v>4389</v>
      </c>
      <c r="C984" s="31" t="str">
        <f>VLOOKUP(irregulares[[#This Row],[Similar a]],padroes[],2,0)</f>
        <v>DENEGRIR</v>
      </c>
      <c r="D984" s="3"/>
    </row>
    <row r="985" spans="1:4" x14ac:dyDescent="0.25">
      <c r="A985" s="2" t="s">
        <v>3897</v>
      </c>
      <c r="B985" s="2" t="s">
        <v>53</v>
      </c>
      <c r="C985" s="31" t="str">
        <f>VLOOKUP(irregulares[[#This Row],[Similar a]],padroes[],2,0)</f>
        <v>EAR</v>
      </c>
      <c r="D985" s="3"/>
    </row>
    <row r="986" spans="1:4" x14ac:dyDescent="0.25">
      <c r="A986" s="2" t="s">
        <v>3871</v>
      </c>
      <c r="B986" s="2" t="s">
        <v>53</v>
      </c>
      <c r="C986" s="31" t="str">
        <f>VLOOKUP(irregulares[[#This Row],[Similar a]],padroes[],2,0)</f>
        <v>EAR</v>
      </c>
      <c r="D986" s="3"/>
    </row>
    <row r="987" spans="1:4" x14ac:dyDescent="0.25">
      <c r="A987" s="2" t="s">
        <v>4238</v>
      </c>
      <c r="B987" s="2" t="s">
        <v>63</v>
      </c>
      <c r="C987" s="31" t="str">
        <f>VLOOKUP(irregulares[[#This Row],[Similar a]],padroes[],2,0)</f>
        <v>CER</v>
      </c>
      <c r="D987" s="3"/>
    </row>
    <row r="988" spans="1:4" x14ac:dyDescent="0.25">
      <c r="A988" s="2" t="s">
        <v>4400</v>
      </c>
      <c r="B988" s="2" t="s">
        <v>267</v>
      </c>
      <c r="C988" s="31" t="str">
        <f>VLOOKUP(irregulares[[#This Row],[Similar a]],padroes[],2,0)</f>
        <v>POR</v>
      </c>
      <c r="D988" s="3"/>
    </row>
    <row r="989" spans="1:4" x14ac:dyDescent="0.25">
      <c r="A989" s="2" t="s">
        <v>3872</v>
      </c>
      <c r="B989" s="2" t="s">
        <v>53</v>
      </c>
      <c r="C989" s="31" t="str">
        <f>VLOOKUP(irregulares[[#This Row],[Similar a]],padroes[],2,0)</f>
        <v>EAR</v>
      </c>
      <c r="D989" s="3"/>
    </row>
    <row r="990" spans="1:4" x14ac:dyDescent="0.25">
      <c r="A990" s="2" t="s">
        <v>4001</v>
      </c>
      <c r="B990" s="2" t="s">
        <v>60</v>
      </c>
      <c r="C990" s="31" t="str">
        <f>VLOOKUP(irregulares[[#This Row],[Similar a]],padroes[],2,0)</f>
        <v>GAR</v>
      </c>
      <c r="D990" s="3"/>
    </row>
    <row r="991" spans="1:4" x14ac:dyDescent="0.25">
      <c r="A991" s="2" t="s">
        <v>4030</v>
      </c>
      <c r="B991" s="2" t="s">
        <v>74</v>
      </c>
      <c r="C991" s="31" t="str">
        <f>VLOOKUP(irregulares[[#This Row],[Similar a]],padroes[],2,0)</f>
        <v>GAR</v>
      </c>
      <c r="D991" s="3"/>
    </row>
    <row r="992" spans="1:4" x14ac:dyDescent="0.25">
      <c r="A992" s="2" t="s">
        <v>4031</v>
      </c>
      <c r="B992" s="2" t="s">
        <v>74</v>
      </c>
      <c r="C992" s="31" t="str">
        <f>VLOOKUP(irregulares[[#This Row],[Similar a]],padroes[],2,0)</f>
        <v>GAR</v>
      </c>
      <c r="D992" s="3"/>
    </row>
    <row r="993" spans="1:4" x14ac:dyDescent="0.25">
      <c r="A993" s="2" t="s">
        <v>4401</v>
      </c>
      <c r="B993" s="2" t="s">
        <v>82</v>
      </c>
      <c r="C993" s="31" t="str">
        <f>VLOOKUP(irregulares[[#This Row],[Similar a]],padroes[],2,0)</f>
        <v>UIR</v>
      </c>
      <c r="D993" s="3"/>
    </row>
    <row r="994" spans="1:4" x14ac:dyDescent="0.25">
      <c r="A994" s="2" t="s">
        <v>4158</v>
      </c>
      <c r="B994" s="2" t="s">
        <v>49</v>
      </c>
      <c r="C994" s="31" t="str">
        <f>VLOOKUP(irregulares[[#This Row],[Similar a]],padroes[],2,0)</f>
        <v>OAR</v>
      </c>
      <c r="D994" s="3"/>
    </row>
    <row r="995" spans="1:4" x14ac:dyDescent="0.25">
      <c r="A995" s="2" t="s">
        <v>4239</v>
      </c>
      <c r="B995" s="2" t="s">
        <v>63</v>
      </c>
      <c r="C995" s="31" t="str">
        <f>VLOOKUP(irregulares[[#This Row],[Similar a]],padroes[],2,0)</f>
        <v>CER</v>
      </c>
      <c r="D995" s="3"/>
    </row>
    <row r="996" spans="1:4" x14ac:dyDescent="0.25">
      <c r="A996" s="2" t="s">
        <v>4402</v>
      </c>
      <c r="B996" s="2" t="s">
        <v>157</v>
      </c>
      <c r="C996" s="31" t="str">
        <f>VLOOKUP(irregulares[[#This Row],[Similar a]],padroes[],2,0)</f>
        <v>ELHAR</v>
      </c>
      <c r="D996" s="3"/>
    </row>
    <row r="997" spans="1:4" x14ac:dyDescent="0.25">
      <c r="A997" s="2" t="s">
        <v>4159</v>
      </c>
      <c r="B997" s="2" t="s">
        <v>49</v>
      </c>
      <c r="C997" s="31" t="str">
        <f>VLOOKUP(irregulares[[#This Row],[Similar a]],padroes[],2,0)</f>
        <v>OAR</v>
      </c>
      <c r="D997" s="3"/>
    </row>
    <row r="998" spans="1:4" x14ac:dyDescent="0.25">
      <c r="A998" s="2" t="s">
        <v>4032</v>
      </c>
      <c r="B998" s="2" t="s">
        <v>74</v>
      </c>
      <c r="C998" s="31" t="str">
        <f>VLOOKUP(irregulares[[#This Row],[Similar a]],padroes[],2,0)</f>
        <v>GAR</v>
      </c>
      <c r="D998" s="3"/>
    </row>
    <row r="999" spans="1:4" x14ac:dyDescent="0.25">
      <c r="A999" s="2" t="s">
        <v>4403</v>
      </c>
      <c r="B999" s="2" t="s">
        <v>115</v>
      </c>
      <c r="C999" s="31" t="str">
        <f>VLOOKUP(irregulares[[#This Row],[Similar a]],padroes[],2,0)</f>
        <v>Abundante</v>
      </c>
      <c r="D999" s="3"/>
    </row>
    <row r="1000" spans="1:4" x14ac:dyDescent="0.25">
      <c r="A1000" s="2" t="s">
        <v>3996</v>
      </c>
      <c r="B1000" s="2" t="s">
        <v>161</v>
      </c>
      <c r="C1000" s="31" t="str">
        <f>VLOOKUP(irregulares[[#This Row],[Similar a]],padroes[],2,0)</f>
        <v>GAR</v>
      </c>
      <c r="D1000" s="3"/>
    </row>
    <row r="1001" spans="1:4" x14ac:dyDescent="0.25">
      <c r="A1001" s="2" t="s">
        <v>4160</v>
      </c>
      <c r="B1001" s="2" t="s">
        <v>49</v>
      </c>
      <c r="C1001" s="31" t="str">
        <f>VLOOKUP(irregulares[[#This Row],[Similar a]],padroes[],2,0)</f>
        <v>OAR</v>
      </c>
      <c r="D1001" s="3"/>
    </row>
    <row r="1002" spans="1:4" x14ac:dyDescent="0.25">
      <c r="A1002" s="2" t="s">
        <v>3997</v>
      </c>
      <c r="B1002" s="2" t="s">
        <v>161</v>
      </c>
      <c r="C1002" s="31" t="str">
        <f>VLOOKUP(irregulares[[#This Row],[Similar a]],padroes[],2,0)</f>
        <v>GAR</v>
      </c>
      <c r="D1002" s="3"/>
    </row>
    <row r="1003" spans="1:4" x14ac:dyDescent="0.25">
      <c r="A1003" s="2" t="s">
        <v>4161</v>
      </c>
      <c r="B1003" s="2" t="s">
        <v>49</v>
      </c>
      <c r="C1003" s="31" t="str">
        <f>VLOOKUP(irregulares[[#This Row],[Similar a]],padroes[],2,0)</f>
        <v>OAR</v>
      </c>
      <c r="D1003" s="3"/>
    </row>
    <row r="1004" spans="1:4" x14ac:dyDescent="0.25">
      <c r="A1004" s="2" t="s">
        <v>4162</v>
      </c>
      <c r="B1004" s="2" t="s">
        <v>49</v>
      </c>
      <c r="C1004" s="31" t="str">
        <f>VLOOKUP(irregulares[[#This Row],[Similar a]],padroes[],2,0)</f>
        <v>OAR</v>
      </c>
      <c r="D1004" s="3"/>
    </row>
    <row r="1005" spans="1:4" x14ac:dyDescent="0.25">
      <c r="A1005" s="2" t="s">
        <v>4240</v>
      </c>
      <c r="B1005" s="2" t="s">
        <v>63</v>
      </c>
      <c r="C1005" s="31" t="str">
        <f>VLOOKUP(irregulares[[#This Row],[Similar a]],padroes[],2,0)</f>
        <v>CER</v>
      </c>
      <c r="D1005" s="3"/>
    </row>
    <row r="1006" spans="1:4" x14ac:dyDescent="0.25">
      <c r="A1006" s="2" t="s">
        <v>4404</v>
      </c>
      <c r="B1006" s="2" t="s">
        <v>859</v>
      </c>
      <c r="C1006" s="31" t="str">
        <f>VLOOKUP(irregulares[[#This Row],[Similar a]],padroes[],2,0)</f>
        <v>FAZER</v>
      </c>
      <c r="D1006" s="3"/>
    </row>
    <row r="1007" spans="1:4" x14ac:dyDescent="0.25">
      <c r="A1007" s="2" t="s">
        <v>3873</v>
      </c>
      <c r="B1007" s="2" t="s">
        <v>53</v>
      </c>
      <c r="C1007" s="31" t="str">
        <f>VLOOKUP(irregulares[[#This Row],[Similar a]],padroes[],2,0)</f>
        <v>EAR</v>
      </c>
      <c r="D1007" s="3"/>
    </row>
    <row r="1008" spans="1:4" x14ac:dyDescent="0.25">
      <c r="A1008" s="2" t="s">
        <v>4163</v>
      </c>
      <c r="B1008" s="2" t="s">
        <v>49</v>
      </c>
      <c r="C1008" s="31" t="str">
        <f>VLOOKUP(irregulares[[#This Row],[Similar a]],padroes[],2,0)</f>
        <v>OAR</v>
      </c>
      <c r="D1008" s="3"/>
    </row>
    <row r="1009" spans="1:4" x14ac:dyDescent="0.25">
      <c r="A1009" s="2" t="s">
        <v>4033</v>
      </c>
      <c r="B1009" s="2" t="s">
        <v>74</v>
      </c>
      <c r="C1009" s="31" t="str">
        <f>VLOOKUP(irregulares[[#This Row],[Similar a]],padroes[],2,0)</f>
        <v>GAR</v>
      </c>
      <c r="D1009" s="3"/>
    </row>
    <row r="1010" spans="1:4" x14ac:dyDescent="0.25">
      <c r="A1010" s="2" t="s">
        <v>3874</v>
      </c>
      <c r="B1010" s="2" t="s">
        <v>53</v>
      </c>
      <c r="C1010" s="31" t="str">
        <f>VLOOKUP(irregulares[[#This Row],[Similar a]],padroes[],2,0)</f>
        <v>EAR</v>
      </c>
      <c r="D1010" s="3"/>
    </row>
    <row r="1011" spans="1:4" x14ac:dyDescent="0.25">
      <c r="A1011" s="2" t="s">
        <v>4164</v>
      </c>
      <c r="B1011" s="2" t="s">
        <v>49</v>
      </c>
      <c r="C1011" s="31" t="str">
        <f>VLOOKUP(irregulares[[#This Row],[Similar a]],padroes[],2,0)</f>
        <v>OAR</v>
      </c>
      <c r="D1011" s="3"/>
    </row>
    <row r="1012" spans="1:4" x14ac:dyDescent="0.25">
      <c r="A1012" s="2" t="s">
        <v>4241</v>
      </c>
      <c r="B1012" s="2" t="s">
        <v>63</v>
      </c>
      <c r="C1012" s="31" t="str">
        <f>VLOOKUP(irregulares[[#This Row],[Similar a]],padroes[],2,0)</f>
        <v>CER</v>
      </c>
      <c r="D1012" s="3"/>
    </row>
    <row r="1013" spans="1:4" x14ac:dyDescent="0.25">
      <c r="A1013" s="2" t="s">
        <v>4002</v>
      </c>
      <c r="B1013" s="2" t="s">
        <v>60</v>
      </c>
      <c r="C1013" s="31" t="str">
        <f>VLOOKUP(irregulares[[#This Row],[Similar a]],padroes[],2,0)</f>
        <v>GAR</v>
      </c>
      <c r="D1013" s="3"/>
    </row>
    <row r="1014" spans="1:4" x14ac:dyDescent="0.25">
      <c r="A1014" s="2" t="s">
        <v>4165</v>
      </c>
      <c r="B1014" s="2" t="s">
        <v>49</v>
      </c>
      <c r="C1014" s="31" t="str">
        <f>VLOOKUP(irregulares[[#This Row],[Similar a]],padroes[],2,0)</f>
        <v>OAR</v>
      </c>
      <c r="D1014" s="3"/>
    </row>
    <row r="1015" spans="1:4" x14ac:dyDescent="0.25">
      <c r="A1015" s="2" t="s">
        <v>4405</v>
      </c>
      <c r="B1015" s="2" t="s">
        <v>313</v>
      </c>
      <c r="C1015" s="31" t="str">
        <f>VLOOKUP(irregulares[[#This Row],[Similar a]],padroes[],2,0)</f>
        <v>´-GUAR</v>
      </c>
      <c r="D1015" s="3"/>
    </row>
    <row r="1016" spans="1:4" x14ac:dyDescent="0.25">
      <c r="A1016" s="2" t="s">
        <v>4406</v>
      </c>
      <c r="B1016" s="2" t="s">
        <v>319</v>
      </c>
      <c r="C1016" s="31" t="str">
        <f>VLOOKUP(irregulares[[#This Row],[Similar a]],padroes[],2,0)</f>
        <v>Í-X-AR</v>
      </c>
      <c r="D1016" s="3"/>
    </row>
    <row r="1017" spans="1:4" x14ac:dyDescent="0.25">
      <c r="A1017" s="2" t="s">
        <v>4034</v>
      </c>
      <c r="B1017" s="2" t="s">
        <v>74</v>
      </c>
      <c r="C1017" s="31" t="str">
        <f>VLOOKUP(irregulares[[#This Row],[Similar a]],padroes[],2,0)</f>
        <v>GAR</v>
      </c>
      <c r="D1017" s="3"/>
    </row>
    <row r="1018" spans="1:4" x14ac:dyDescent="0.25">
      <c r="A1018" s="2" t="s">
        <v>3875</v>
      </c>
      <c r="B1018" s="2" t="s">
        <v>53</v>
      </c>
      <c r="C1018" s="31" t="str">
        <f>VLOOKUP(irregulares[[#This Row],[Similar a]],padroes[],2,0)</f>
        <v>EAR</v>
      </c>
      <c r="D1018" s="3"/>
    </row>
    <row r="1019" spans="1:4" x14ac:dyDescent="0.25">
      <c r="A1019" s="2" t="s">
        <v>4035</v>
      </c>
      <c r="B1019" s="2" t="s">
        <v>74</v>
      </c>
      <c r="C1019" s="31" t="str">
        <f>VLOOKUP(irregulares[[#This Row],[Similar a]],padroes[],2,0)</f>
        <v>GAR</v>
      </c>
      <c r="D1019" s="3"/>
    </row>
    <row r="1020" spans="1:4" x14ac:dyDescent="0.25">
      <c r="A1020" s="2" t="s">
        <v>4036</v>
      </c>
      <c r="B1020" s="2" t="s">
        <v>74</v>
      </c>
      <c r="C1020" s="31" t="str">
        <f>VLOOKUP(irregulares[[#This Row],[Similar a]],padroes[],2,0)</f>
        <v>GAR</v>
      </c>
      <c r="D1020" s="3"/>
    </row>
    <row r="1021" spans="1:4" x14ac:dyDescent="0.25">
      <c r="A1021" s="2" t="s">
        <v>4166</v>
      </c>
      <c r="B1021" s="2" t="s">
        <v>49</v>
      </c>
      <c r="C1021" s="31" t="str">
        <f>VLOOKUP(irregulares[[#This Row],[Similar a]],padroes[],2,0)</f>
        <v>OAR</v>
      </c>
      <c r="D1021" s="3"/>
    </row>
    <row r="1022" spans="1:4" x14ac:dyDescent="0.25">
      <c r="A1022" s="2" t="s">
        <v>4037</v>
      </c>
      <c r="B1022" s="2" t="s">
        <v>74</v>
      </c>
      <c r="C1022" s="31" t="str">
        <f>VLOOKUP(irregulares[[#This Row],[Similar a]],padroes[],2,0)</f>
        <v>GAR</v>
      </c>
      <c r="D1022" s="3"/>
    </row>
    <row r="1023" spans="1:4" x14ac:dyDescent="0.25">
      <c r="A1023" s="2" t="s">
        <v>4242</v>
      </c>
      <c r="B1023" s="2" t="s">
        <v>63</v>
      </c>
      <c r="C1023" s="31" t="str">
        <f>VLOOKUP(irregulares[[#This Row],[Similar a]],padroes[],2,0)</f>
        <v>CER</v>
      </c>
      <c r="D1023" s="3"/>
    </row>
    <row r="1024" spans="1:4" x14ac:dyDescent="0.25">
      <c r="A1024" s="2" t="s">
        <v>4407</v>
      </c>
      <c r="B1024" s="2" t="s">
        <v>157</v>
      </c>
      <c r="C1024" s="31" t="str">
        <f>VLOOKUP(irregulares[[#This Row],[Similar a]],padroes[],2,0)</f>
        <v>ELHAR</v>
      </c>
      <c r="D1024" s="3"/>
    </row>
    <row r="1025" spans="1:4" x14ac:dyDescent="0.25">
      <c r="A1025" s="2" t="s">
        <v>3876</v>
      </c>
      <c r="B1025" s="2" t="s">
        <v>53</v>
      </c>
      <c r="C1025" s="31" t="str">
        <f>VLOOKUP(irregulares[[#This Row],[Similar a]],padroes[],2,0)</f>
        <v>EAR</v>
      </c>
      <c r="D1025" s="3"/>
    </row>
    <row r="1026" spans="1:4" x14ac:dyDescent="0.25">
      <c r="A1026" s="2" t="s">
        <v>4003</v>
      </c>
      <c r="B1026" s="2" t="s">
        <v>60</v>
      </c>
      <c r="C1026" s="31" t="str">
        <f>VLOOKUP(irregulares[[#This Row],[Similar a]],padroes[],2,0)</f>
        <v>GAR</v>
      </c>
      <c r="D1026" s="3"/>
    </row>
    <row r="1027" spans="1:4" x14ac:dyDescent="0.25">
      <c r="A1027" s="2" t="s">
        <v>4408</v>
      </c>
      <c r="B1027" s="2" t="s">
        <v>458</v>
      </c>
      <c r="C1027" s="31" t="str">
        <f>VLOOKUP(irregulares[[#This Row],[Similar a]],padroes[],2,0)</f>
        <v>OIAR</v>
      </c>
      <c r="D1027" s="3"/>
    </row>
    <row r="1028" spans="1:4" x14ac:dyDescent="0.25">
      <c r="A1028" s="2" t="s">
        <v>4409</v>
      </c>
      <c r="B1028" s="2" t="s">
        <v>187</v>
      </c>
      <c r="C1028" s="31" t="str">
        <f>VLOOKUP(irregulares[[#This Row],[Similar a]],padroes[],2,0)</f>
        <v>AZER</v>
      </c>
      <c r="D1028" s="3"/>
    </row>
    <row r="1029" spans="1:4" x14ac:dyDescent="0.25">
      <c r="A1029" s="2" t="s">
        <v>4410</v>
      </c>
      <c r="B1029" s="2" t="s">
        <v>351</v>
      </c>
      <c r="C1029" s="31" t="str">
        <f>VLOOKUP(irregulares[[#This Row],[Similar a]],padroes[],2,0)</f>
        <v>ÇAR</v>
      </c>
      <c r="D1029" s="3"/>
    </row>
    <row r="1030" spans="1:4" x14ac:dyDescent="0.25">
      <c r="A1030" s="2" t="s">
        <v>4243</v>
      </c>
      <c r="B1030" s="2" t="s">
        <v>63</v>
      </c>
      <c r="C1030" s="31" t="str">
        <f>VLOOKUP(irregulares[[#This Row],[Similar a]],padroes[],2,0)</f>
        <v>CER</v>
      </c>
      <c r="D1030" s="3"/>
    </row>
    <row r="1031" spans="1:4" x14ac:dyDescent="0.25">
      <c r="A1031" s="2" t="s">
        <v>4167</v>
      </c>
      <c r="B1031" s="2" t="s">
        <v>49</v>
      </c>
      <c r="C1031" s="31" t="str">
        <f>VLOOKUP(irregulares[[#This Row],[Similar a]],padroes[],2,0)</f>
        <v>OAR</v>
      </c>
      <c r="D1031" s="3"/>
    </row>
    <row r="1032" spans="1:4" x14ac:dyDescent="0.25">
      <c r="A1032" s="2" t="s">
        <v>3877</v>
      </c>
      <c r="B1032" s="2" t="s">
        <v>53</v>
      </c>
      <c r="C1032" s="31" t="str">
        <f>VLOOKUP(irregulares[[#This Row],[Similar a]],padroes[],2,0)</f>
        <v>EAR</v>
      </c>
      <c r="D1032" s="3"/>
    </row>
    <row r="1033" spans="1:4" x14ac:dyDescent="0.25">
      <c r="A1033" s="2" t="s">
        <v>3878</v>
      </c>
      <c r="B1033" s="2" t="s">
        <v>53</v>
      </c>
      <c r="C1033" s="31" t="str">
        <f>VLOOKUP(irregulares[[#This Row],[Similar a]],padroes[],2,0)</f>
        <v>EAR</v>
      </c>
      <c r="D1033" s="3"/>
    </row>
    <row r="1034" spans="1:4" x14ac:dyDescent="0.25">
      <c r="A1034" s="2" t="s">
        <v>4038</v>
      </c>
      <c r="B1034" s="2" t="s">
        <v>74</v>
      </c>
      <c r="C1034" s="31" t="str">
        <f>VLOOKUP(irregulares[[#This Row],[Similar a]],padroes[],2,0)</f>
        <v>GAR</v>
      </c>
      <c r="D1034" s="3"/>
    </row>
    <row r="1035" spans="1:4" x14ac:dyDescent="0.25">
      <c r="A1035" s="2" t="s">
        <v>4168</v>
      </c>
      <c r="B1035" s="2" t="s">
        <v>49</v>
      </c>
      <c r="C1035" s="31" t="str">
        <f>VLOOKUP(irregulares[[#This Row],[Similar a]],padroes[],2,0)</f>
        <v>OAR</v>
      </c>
      <c r="D1035" s="3"/>
    </row>
    <row r="1036" spans="1:4" x14ac:dyDescent="0.25">
      <c r="A1036" s="2" t="s">
        <v>3879</v>
      </c>
      <c r="B1036" s="2" t="s">
        <v>53</v>
      </c>
      <c r="C1036" s="31" t="str">
        <f>VLOOKUP(irregulares[[#This Row],[Similar a]],padroes[],2,0)</f>
        <v>EAR</v>
      </c>
      <c r="D1036" s="3"/>
    </row>
    <row r="1037" spans="1:4" x14ac:dyDescent="0.25">
      <c r="A1037" s="2" t="s">
        <v>4039</v>
      </c>
      <c r="B1037" s="2" t="s">
        <v>74</v>
      </c>
      <c r="C1037" s="31" t="str">
        <f>VLOOKUP(irregulares[[#This Row],[Similar a]],padroes[],2,0)</f>
        <v>GAR</v>
      </c>
      <c r="D1037" s="3"/>
    </row>
    <row r="1038" spans="1:4" x14ac:dyDescent="0.25">
      <c r="A1038" s="2" t="s">
        <v>4040</v>
      </c>
      <c r="B1038" s="2" t="s">
        <v>74</v>
      </c>
      <c r="C1038" s="31" t="str">
        <f>VLOOKUP(irregulares[[#This Row],[Similar a]],padroes[],2,0)</f>
        <v>GAR</v>
      </c>
      <c r="D1038" s="3"/>
    </row>
    <row r="1039" spans="1:4" x14ac:dyDescent="0.25">
      <c r="A1039" s="2" t="s">
        <v>4411</v>
      </c>
      <c r="B1039" s="2" t="s">
        <v>157</v>
      </c>
      <c r="C1039" s="31" t="str">
        <f>VLOOKUP(irregulares[[#This Row],[Similar a]],padroes[],2,0)</f>
        <v>ELHAR</v>
      </c>
      <c r="D1039" s="3"/>
    </row>
    <row r="1040" spans="1:4" x14ac:dyDescent="0.25">
      <c r="A1040" s="2" t="s">
        <v>3880</v>
      </c>
      <c r="B1040" s="2" t="s">
        <v>53</v>
      </c>
      <c r="C1040" s="31" t="str">
        <f>VLOOKUP(irregulares[[#This Row],[Similar a]],padroes[],2,0)</f>
        <v>EAR</v>
      </c>
      <c r="D1040" s="3"/>
    </row>
    <row r="1041" spans="1:4" x14ac:dyDescent="0.25">
      <c r="A1041" s="2" t="s">
        <v>3881</v>
      </c>
      <c r="B1041" s="2" t="s">
        <v>53</v>
      </c>
      <c r="C1041" s="31" t="str">
        <f>VLOOKUP(irregulares[[#This Row],[Similar a]],padroes[],2,0)</f>
        <v>EAR</v>
      </c>
      <c r="D1041" s="3"/>
    </row>
    <row r="1042" spans="1:4" x14ac:dyDescent="0.25">
      <c r="A1042" s="2" t="s">
        <v>4004</v>
      </c>
      <c r="B1042" s="2" t="s">
        <v>60</v>
      </c>
      <c r="C1042" s="31" t="str">
        <f>VLOOKUP(irregulares[[#This Row],[Similar a]],padroes[],2,0)</f>
        <v>GAR</v>
      </c>
      <c r="D1042" s="3"/>
    </row>
    <row r="1043" spans="1:4" x14ac:dyDescent="0.25">
      <c r="A1043" s="2" t="s">
        <v>4169</v>
      </c>
      <c r="B1043" s="2" t="s">
        <v>49</v>
      </c>
      <c r="C1043" s="31" t="str">
        <f>VLOOKUP(irregulares[[#This Row],[Similar a]],padroes[],2,0)</f>
        <v>OAR</v>
      </c>
      <c r="D1043" s="3"/>
    </row>
    <row r="1044" spans="1:4" x14ac:dyDescent="0.25">
      <c r="A1044" s="2" t="s">
        <v>4041</v>
      </c>
      <c r="B1044" s="2" t="s">
        <v>74</v>
      </c>
      <c r="C1044" s="31" t="str">
        <f>VLOOKUP(irregulares[[#This Row],[Similar a]],padroes[],2,0)</f>
        <v>GAR</v>
      </c>
      <c r="D1044" s="3"/>
    </row>
    <row r="1045" spans="1:4" x14ac:dyDescent="0.25">
      <c r="A1045" s="2" t="s">
        <v>4412</v>
      </c>
      <c r="B1045" s="2" t="s">
        <v>1122</v>
      </c>
      <c r="C1045" s="31" t="str">
        <f>VLOOKUP(irregulares[[#This Row],[Similar a]],padroes[],2,0)</f>
        <v>ECHAR ê</v>
      </c>
      <c r="D1045" s="3"/>
    </row>
    <row r="1046" spans="1:4" x14ac:dyDescent="0.25">
      <c r="A1046" s="2" t="s">
        <v>4413</v>
      </c>
      <c r="B1046" s="2" t="s">
        <v>247</v>
      </c>
      <c r="C1046" s="31" t="str">
        <f>VLOOKUP(irregulares[[#This Row],[Similar a]],padroes[],2,0)</f>
        <v>VIR</v>
      </c>
      <c r="D1046" s="3"/>
    </row>
    <row r="1047" spans="1:4" x14ac:dyDescent="0.25">
      <c r="A1047" s="2" t="s">
        <v>4170</v>
      </c>
      <c r="B1047" s="2" t="s">
        <v>49</v>
      </c>
      <c r="C1047" s="31" t="str">
        <f>VLOOKUP(irregulares[[#This Row],[Similar a]],padroes[],2,0)</f>
        <v>OAR</v>
      </c>
      <c r="D1047" s="3"/>
    </row>
    <row r="1048" spans="1:4" x14ac:dyDescent="0.25">
      <c r="A1048" s="2" t="s">
        <v>4171</v>
      </c>
      <c r="B1048" s="2" t="s">
        <v>49</v>
      </c>
      <c r="C1048" s="31" t="str">
        <f>VLOOKUP(irregulares[[#This Row],[Similar a]],padroes[],2,0)</f>
        <v>OAR</v>
      </c>
      <c r="D1048" s="3"/>
    </row>
    <row r="1049" spans="1:4" x14ac:dyDescent="0.25">
      <c r="A1049" s="2" t="s">
        <v>4042</v>
      </c>
      <c r="B1049" s="2" t="s">
        <v>74</v>
      </c>
      <c r="C1049" s="31" t="str">
        <f>VLOOKUP(irregulares[[#This Row],[Similar a]],padroes[],2,0)</f>
        <v>GAR</v>
      </c>
      <c r="D1049" s="3"/>
    </row>
    <row r="1050" spans="1:4" x14ac:dyDescent="0.25">
      <c r="A1050" s="2" t="s">
        <v>4126</v>
      </c>
      <c r="B1050" s="2" t="s">
        <v>55</v>
      </c>
      <c r="C1050" s="31" t="str">
        <f>VLOOKUP(irregulares[[#This Row],[Similar a]],padroes[],2,0)</f>
        <v>EJAR ô</v>
      </c>
      <c r="D1050" s="3"/>
    </row>
    <row r="1051" spans="1:4" x14ac:dyDescent="0.25">
      <c r="A1051" s="2" t="s">
        <v>4414</v>
      </c>
      <c r="B1051" s="2" t="s">
        <v>3214</v>
      </c>
      <c r="C1051" s="31" t="str">
        <f>VLOOKUP(irregulares[[#This Row],[Similar a]],padroes[],2,0)</f>
        <v>CABER</v>
      </c>
      <c r="D1051" s="3"/>
    </row>
    <row r="1052" spans="1:4" x14ac:dyDescent="0.25">
      <c r="A1052" s="2" t="s">
        <v>4415</v>
      </c>
      <c r="B1052" s="2" t="s">
        <v>988</v>
      </c>
      <c r="C1052" s="31" t="str">
        <f>VLOOKUP(irregulares[[#This Row],[Similar a]],padroes[],2,0)</f>
        <v>AIR</v>
      </c>
      <c r="D1052" s="3"/>
    </row>
    <row r="1053" spans="1:4" x14ac:dyDescent="0.25">
      <c r="A1053" s="2" t="s">
        <v>4172</v>
      </c>
      <c r="B1053" s="2" t="s">
        <v>49</v>
      </c>
      <c r="C1053" s="31" t="str">
        <f>VLOOKUP(irregulares[[#This Row],[Similar a]],padroes[],2,0)</f>
        <v>OAR</v>
      </c>
      <c r="D1053" s="3"/>
    </row>
    <row r="1054" spans="1:4" x14ac:dyDescent="0.25">
      <c r="A1054" s="2" t="s">
        <v>3882</v>
      </c>
      <c r="B1054" s="2" t="s">
        <v>53</v>
      </c>
      <c r="C1054" s="31" t="str">
        <f>VLOOKUP(irregulares[[#This Row],[Similar a]],padroes[],2,0)</f>
        <v>EAR</v>
      </c>
      <c r="D1054" s="3"/>
    </row>
    <row r="1055" spans="1:4" x14ac:dyDescent="0.25">
      <c r="A1055" s="2" t="s">
        <v>4005</v>
      </c>
      <c r="B1055" s="2" t="s">
        <v>60</v>
      </c>
      <c r="C1055" s="31" t="str">
        <f>VLOOKUP(irregulares[[#This Row],[Similar a]],padroes[],2,0)</f>
        <v>GAR</v>
      </c>
      <c r="D1055" s="3"/>
    </row>
    <row r="1056" spans="1:4" x14ac:dyDescent="0.25">
      <c r="A1056" s="2" t="s">
        <v>4043</v>
      </c>
      <c r="B1056" s="2" t="s">
        <v>74</v>
      </c>
      <c r="C1056" s="31" t="str">
        <f>VLOOKUP(irregulares[[#This Row],[Similar a]],padroes[],2,0)</f>
        <v>GAR</v>
      </c>
      <c r="D1056" s="3"/>
    </row>
    <row r="1057" spans="1:4" x14ac:dyDescent="0.25">
      <c r="A1057" s="2" t="s">
        <v>4244</v>
      </c>
      <c r="B1057" s="2" t="s">
        <v>63</v>
      </c>
      <c r="C1057" s="31" t="str">
        <f>VLOOKUP(irregulares[[#This Row],[Similar a]],padroes[],2,0)</f>
        <v>CER</v>
      </c>
      <c r="D1057" s="3"/>
    </row>
    <row r="1058" spans="1:4" x14ac:dyDescent="0.25">
      <c r="A1058" s="2" t="s">
        <v>4416</v>
      </c>
      <c r="B1058" s="2" t="s">
        <v>154</v>
      </c>
      <c r="C1058" s="31" t="str">
        <f>VLOOKUP(irregulares[[#This Row],[Similar a]],padroes[],2,0)</f>
        <v>GIR</v>
      </c>
      <c r="D1058" s="3"/>
    </row>
    <row r="1059" spans="1:4" x14ac:dyDescent="0.25">
      <c r="A1059" s="2" t="s">
        <v>4417</v>
      </c>
      <c r="B1059" s="2" t="s">
        <v>3237</v>
      </c>
      <c r="C1059" s="31" t="str">
        <f>VLOOKUP(irregulares[[#This Row],[Similar a]],padroes[],2,0)</f>
        <v>COBRIR</v>
      </c>
      <c r="D1059" s="3"/>
    </row>
    <row r="1060" spans="1:4" x14ac:dyDescent="0.25">
      <c r="A1060" s="2" t="s">
        <v>3883</v>
      </c>
      <c r="B1060" s="2" t="s">
        <v>53</v>
      </c>
      <c r="C1060" s="31" t="str">
        <f>VLOOKUP(irregulares[[#This Row],[Similar a]],padroes[],2,0)</f>
        <v>EAR</v>
      </c>
      <c r="D1060" s="3"/>
    </row>
    <row r="1061" spans="1:4" x14ac:dyDescent="0.25">
      <c r="A1061" s="2" t="s">
        <v>4418</v>
      </c>
      <c r="B1061" s="2" t="s">
        <v>1717</v>
      </c>
      <c r="C1061" s="31" t="str">
        <f>VLOOKUP(irregulares[[#This Row],[Similar a]],padroes[],2,0)</f>
        <v>Defectivo 1</v>
      </c>
      <c r="D1061" s="3"/>
    </row>
    <row r="1062" spans="1:4" x14ac:dyDescent="0.25">
      <c r="A1062" s="2" t="s">
        <v>4419</v>
      </c>
      <c r="B1062" s="2" t="s">
        <v>1717</v>
      </c>
      <c r="C1062" s="31" t="str">
        <f>VLOOKUP(irregulares[[#This Row],[Similar a]],padroes[],2,0)</f>
        <v>Defectivo 1</v>
      </c>
      <c r="D1062" s="3"/>
    </row>
    <row r="1063" spans="1:4" x14ac:dyDescent="0.25">
      <c r="A1063" s="2" t="s">
        <v>4420</v>
      </c>
      <c r="B1063" s="2" t="s">
        <v>267</v>
      </c>
      <c r="C1063" s="31" t="str">
        <f>VLOOKUP(irregulares[[#This Row],[Similar a]],padroes[],2,0)</f>
        <v>POR</v>
      </c>
      <c r="D1063" s="3"/>
    </row>
    <row r="1064" spans="1:4" x14ac:dyDescent="0.25">
      <c r="A1064" s="2" t="s">
        <v>4421</v>
      </c>
      <c r="B1064" s="2" t="s">
        <v>187</v>
      </c>
      <c r="C1064" s="31" t="str">
        <f>VLOOKUP(irregulares[[#This Row],[Similar a]],padroes[],2,0)</f>
        <v>AZER</v>
      </c>
      <c r="D1064" s="3"/>
    </row>
    <row r="1065" spans="1:4" x14ac:dyDescent="0.25">
      <c r="A1065" s="2" t="s">
        <v>4044</v>
      </c>
      <c r="B1065" s="2" t="s">
        <v>74</v>
      </c>
      <c r="C1065" s="31" t="str">
        <f>VLOOKUP(irregulares[[#This Row],[Similar a]],padroes[],2,0)</f>
        <v>GAR</v>
      </c>
      <c r="D1065" s="3"/>
    </row>
    <row r="1066" spans="1:4" x14ac:dyDescent="0.25">
      <c r="A1066" s="2" t="s">
        <v>3998</v>
      </c>
      <c r="B1066" s="2" t="s">
        <v>161</v>
      </c>
      <c r="C1066" s="31" t="str">
        <f>VLOOKUP(irregulares[[#This Row],[Similar a]],padroes[],2,0)</f>
        <v>GAR</v>
      </c>
      <c r="D1066" s="3"/>
    </row>
    <row r="1067" spans="1:4" x14ac:dyDescent="0.25">
      <c r="A1067" s="2" t="s">
        <v>4422</v>
      </c>
      <c r="B1067" s="2" t="s">
        <v>110</v>
      </c>
      <c r="C1067" s="31" t="str">
        <f>VLOOKUP(irregulares[[#This Row],[Similar a]],padroes[],2,0)</f>
        <v>ANGER</v>
      </c>
      <c r="D1067" s="3"/>
    </row>
    <row r="1068" spans="1:4" x14ac:dyDescent="0.25">
      <c r="A1068" s="2" t="s">
        <v>4245</v>
      </c>
      <c r="B1068" s="2" t="s">
        <v>63</v>
      </c>
      <c r="C1068" s="31" t="str">
        <f>VLOOKUP(irregulares[[#This Row],[Similar a]],padroes[],2,0)</f>
        <v>CER</v>
      </c>
      <c r="D1068" s="3"/>
    </row>
    <row r="1069" spans="1:4" x14ac:dyDescent="0.25">
      <c r="A1069" s="2" t="s">
        <v>4423</v>
      </c>
      <c r="B1069" s="2" t="s">
        <v>3496</v>
      </c>
      <c r="C1069" s="31" t="str">
        <f>VLOOKUP(irregulares[[#This Row],[Similar a]],padroes[],2,0)</f>
        <v>E-X-IR</v>
      </c>
      <c r="D1069" s="3"/>
    </row>
    <row r="1070" spans="1:4" x14ac:dyDescent="0.25">
      <c r="A1070" s="2" t="s">
        <v>4246</v>
      </c>
      <c r="B1070" s="2" t="s">
        <v>63</v>
      </c>
      <c r="C1070" s="31" t="str">
        <f>VLOOKUP(irregulares[[#This Row],[Similar a]],padroes[],2,0)</f>
        <v>CER</v>
      </c>
      <c r="D1070" s="3"/>
    </row>
    <row r="1071" spans="1:4" x14ac:dyDescent="0.25">
      <c r="A1071" s="2" t="s">
        <v>4424</v>
      </c>
      <c r="B1071" s="2" t="s">
        <v>247</v>
      </c>
      <c r="C1071" s="31" t="str">
        <f>VLOOKUP(irregulares[[#This Row],[Similar a]],padroes[],2,0)</f>
        <v>VIR</v>
      </c>
      <c r="D1071" s="3"/>
    </row>
    <row r="1072" spans="1:4" x14ac:dyDescent="0.25">
      <c r="A1072" s="2" t="s">
        <v>4173</v>
      </c>
      <c r="B1072" s="2" t="s">
        <v>49</v>
      </c>
      <c r="C1072" s="31" t="str">
        <f>VLOOKUP(irregulares[[#This Row],[Similar a]],padroes[],2,0)</f>
        <v>OAR</v>
      </c>
      <c r="D1072" s="3"/>
    </row>
    <row r="1073" spans="1:4" x14ac:dyDescent="0.25">
      <c r="A1073" s="2" t="s">
        <v>4174</v>
      </c>
      <c r="B1073" s="2" t="s">
        <v>49</v>
      </c>
      <c r="C1073" s="31" t="str">
        <f>VLOOKUP(irregulares[[#This Row],[Similar a]],padroes[],2,0)</f>
        <v>OAR</v>
      </c>
      <c r="D1073" s="3"/>
    </row>
    <row r="1074" spans="1:4" x14ac:dyDescent="0.25">
      <c r="A1074" s="2" t="s">
        <v>4127</v>
      </c>
      <c r="B1074" s="2" t="s">
        <v>55</v>
      </c>
      <c r="C1074" s="31" t="str">
        <f>VLOOKUP(irregulares[[#This Row],[Similar a]],padroes[],2,0)</f>
        <v>EJAR ô</v>
      </c>
      <c r="D1074" s="3"/>
    </row>
    <row r="1075" spans="1:4" x14ac:dyDescent="0.25">
      <c r="A1075" s="2" t="s">
        <v>4175</v>
      </c>
      <c r="B1075" s="2" t="s">
        <v>49</v>
      </c>
      <c r="C1075" s="31" t="str">
        <f>VLOOKUP(irregulares[[#This Row],[Similar a]],padroes[],2,0)</f>
        <v>OAR</v>
      </c>
      <c r="D1075" s="3"/>
    </row>
    <row r="1076" spans="1:4" x14ac:dyDescent="0.25">
      <c r="A1076" s="2" t="s">
        <v>4128</v>
      </c>
      <c r="B1076" s="2" t="s">
        <v>55</v>
      </c>
      <c r="C1076" s="31" t="str">
        <f>VLOOKUP(irregulares[[#This Row],[Similar a]],padroes[],2,0)</f>
        <v>EJAR ô</v>
      </c>
      <c r="D1076" s="3"/>
    </row>
    <row r="1077" spans="1:4" x14ac:dyDescent="0.25">
      <c r="A1077" s="2" t="s">
        <v>4425</v>
      </c>
      <c r="B1077" s="2" t="s">
        <v>1607</v>
      </c>
      <c r="C1077" s="31" t="str">
        <f>VLOOKUP(irregulares[[#This Row],[Similar a]],padroes[],2,0)</f>
        <v>CRER</v>
      </c>
      <c r="D1077" s="3"/>
    </row>
    <row r="1078" spans="1:4" x14ac:dyDescent="0.25">
      <c r="A1078" s="2" t="s">
        <v>4426</v>
      </c>
      <c r="B1078" s="2" t="s">
        <v>2363</v>
      </c>
      <c r="C1078" s="31" t="str">
        <f>VLOOKUP(irregulares[[#This Row],[Similar a]],padroes[],2,0)</f>
        <v>Abundante</v>
      </c>
      <c r="D1078" s="3"/>
    </row>
    <row r="1079" spans="1:4" x14ac:dyDescent="0.25">
      <c r="A1079" s="2" t="s">
        <v>4427</v>
      </c>
      <c r="B1079" s="2" t="s">
        <v>2295</v>
      </c>
      <c r="C1079" s="31" t="str">
        <f>VLOOKUP(irregulares[[#This Row],[Similar a]],padroes[],2,0)</f>
        <v>DAR</v>
      </c>
      <c r="D1079" s="3"/>
    </row>
    <row r="1080" spans="1:4" x14ac:dyDescent="0.25">
      <c r="A1080" s="2" t="s">
        <v>4428</v>
      </c>
      <c r="B1080" s="2" t="s">
        <v>419</v>
      </c>
      <c r="C1080" s="31" t="str">
        <f>VLOOKUP(irregulares[[#This Row],[Similar a]],padroes[],2,0)</f>
        <v>DIZER</v>
      </c>
      <c r="D1080" s="3"/>
    </row>
    <row r="1081" spans="1:4" x14ac:dyDescent="0.25">
      <c r="A1081" s="2" t="s">
        <v>4253</v>
      </c>
      <c r="B1081" s="2" t="s">
        <v>63</v>
      </c>
      <c r="C1081" s="31" t="str">
        <f>VLOOKUP(irregulares[[#This Row],[Similar a]],padroes[],2,0)</f>
        <v>CER</v>
      </c>
      <c r="D1081" s="3"/>
    </row>
    <row r="1082" spans="1:4" x14ac:dyDescent="0.25">
      <c r="A1082" s="2" t="s">
        <v>4182</v>
      </c>
      <c r="B1082" s="2" t="s">
        <v>49</v>
      </c>
      <c r="C1082" s="31" t="str">
        <f>VLOOKUP(irregulares[[#This Row],[Similar a]],padroes[],2,0)</f>
        <v>OAR</v>
      </c>
      <c r="D1082" s="3"/>
    </row>
    <row r="1083" spans="1:4" x14ac:dyDescent="0.25">
      <c r="A1083" s="2" t="s">
        <v>4129</v>
      </c>
      <c r="B1083" s="2" t="s">
        <v>55</v>
      </c>
      <c r="C1083" s="31" t="str">
        <f>VLOOKUP(irregulares[[#This Row],[Similar a]],padroes[],2,0)</f>
        <v>EJAR ô</v>
      </c>
      <c r="D1083" s="3"/>
    </row>
    <row r="1084" spans="1:4" x14ac:dyDescent="0.25">
      <c r="A1084" s="2" t="s">
        <v>4045</v>
      </c>
      <c r="B1084" s="2" t="s">
        <v>74</v>
      </c>
      <c r="C1084" s="31" t="str">
        <f>VLOOKUP(irregulares[[#This Row],[Similar a]],padroes[],2,0)</f>
        <v>GAR</v>
      </c>
      <c r="D1084" s="3"/>
    </row>
    <row r="1085" spans="1:4" x14ac:dyDescent="0.25">
      <c r="A1085" s="2" t="s">
        <v>4046</v>
      </c>
      <c r="B1085" s="2" t="s">
        <v>74</v>
      </c>
      <c r="C1085" s="31" t="str">
        <f>VLOOKUP(irregulares[[#This Row],[Similar a]],padroes[],2,0)</f>
        <v>GAR</v>
      </c>
      <c r="D1085" s="3"/>
    </row>
    <row r="1086" spans="1:4" x14ac:dyDescent="0.25">
      <c r="A1086" s="2" t="s">
        <v>4429</v>
      </c>
      <c r="B1086" s="2" t="s">
        <v>47</v>
      </c>
      <c r="C1086" s="31" t="str">
        <f>VLOOKUP(irregulares[[#This Row],[Similar a]],padroes[],2,0)</f>
        <v>Ú-X-AR</v>
      </c>
      <c r="D1086" s="3"/>
    </row>
    <row r="1087" spans="1:4" x14ac:dyDescent="0.25">
      <c r="A1087" s="2" t="s">
        <v>4247</v>
      </c>
      <c r="B1087" s="2" t="s">
        <v>63</v>
      </c>
      <c r="C1087" s="31" t="str">
        <f>VLOOKUP(irregulares[[#This Row],[Similar a]],padroes[],2,0)</f>
        <v>CER</v>
      </c>
      <c r="D1087" s="3"/>
    </row>
    <row r="1088" spans="1:4" x14ac:dyDescent="0.25">
      <c r="A1088" s="2" t="s">
        <v>3884</v>
      </c>
      <c r="B1088" s="2" t="s">
        <v>53</v>
      </c>
      <c r="C1088" s="31" t="str">
        <f>VLOOKUP(irregulares[[#This Row],[Similar a]],padroes[],2,0)</f>
        <v>EAR</v>
      </c>
      <c r="D1088" s="3"/>
    </row>
    <row r="1089" spans="1:4" x14ac:dyDescent="0.25">
      <c r="A1089" s="2" t="s">
        <v>4047</v>
      </c>
      <c r="B1089" s="2" t="s">
        <v>74</v>
      </c>
      <c r="C1089" s="31" t="str">
        <f>VLOOKUP(irregulares[[#This Row],[Similar a]],padroes[],2,0)</f>
        <v>GAR</v>
      </c>
      <c r="D1089" s="3"/>
    </row>
    <row r="1090" spans="1:4" x14ac:dyDescent="0.25">
      <c r="A1090" s="2" t="s">
        <v>4248</v>
      </c>
      <c r="B1090" s="2" t="s">
        <v>63</v>
      </c>
      <c r="C1090" s="31" t="str">
        <f>VLOOKUP(irregulares[[#This Row],[Similar a]],padroes[],2,0)</f>
        <v>CER</v>
      </c>
      <c r="D1090" s="3"/>
    </row>
    <row r="1091" spans="1:4" x14ac:dyDescent="0.25">
      <c r="A1091" s="2" t="s">
        <v>4433</v>
      </c>
      <c r="B1091" s="2" t="s">
        <v>351</v>
      </c>
      <c r="C1091" s="31" t="str">
        <f>VLOOKUP(irregulares[[#This Row],[Similar a]],padroes[],2,0)</f>
        <v>ÇAR</v>
      </c>
      <c r="D1091" s="3"/>
    </row>
    <row r="1092" spans="1:4" x14ac:dyDescent="0.25">
      <c r="A1092" s="2" t="s">
        <v>4430</v>
      </c>
      <c r="B1092" s="2" t="s">
        <v>157</v>
      </c>
      <c r="C1092" s="31" t="str">
        <f>VLOOKUP(irregulares[[#This Row],[Similar a]],padroes[],2,0)</f>
        <v>ELHAR</v>
      </c>
      <c r="D1092" s="3"/>
    </row>
    <row r="1093" spans="1:4" x14ac:dyDescent="0.25">
      <c r="A1093" s="2" t="s">
        <v>4431</v>
      </c>
      <c r="B1093" s="2" t="s">
        <v>351</v>
      </c>
      <c r="C1093" s="31" t="str">
        <f>VLOOKUP(irregulares[[#This Row],[Similar a]],padroes[],2,0)</f>
        <v>ÇAR</v>
      </c>
      <c r="D1093" s="3"/>
    </row>
    <row r="1094" spans="1:4" x14ac:dyDescent="0.25">
      <c r="A1094" s="2" t="s">
        <v>4249</v>
      </c>
      <c r="B1094" s="2" t="s">
        <v>63</v>
      </c>
      <c r="C1094" s="31" t="str">
        <f>VLOOKUP(irregulares[[#This Row],[Similar a]],padroes[],2,0)</f>
        <v>CER</v>
      </c>
      <c r="D1094" s="3"/>
    </row>
    <row r="1095" spans="1:4" x14ac:dyDescent="0.25">
      <c r="A1095" s="2" t="s">
        <v>4432</v>
      </c>
      <c r="B1095" s="2" t="s">
        <v>185</v>
      </c>
      <c r="C1095" s="31" t="str">
        <f>VLOOKUP(irregulares[[#This Row],[Similar a]],padroes[],2,0)</f>
        <v>Defectivo 2</v>
      </c>
      <c r="D1095" s="3"/>
    </row>
    <row r="1096" spans="1:4" x14ac:dyDescent="0.25">
      <c r="A1096" s="2" t="s">
        <v>4006</v>
      </c>
      <c r="B1096" s="2" t="s">
        <v>60</v>
      </c>
      <c r="C1096" s="31" t="str">
        <f>VLOOKUP(irregulares[[#This Row],[Similar a]],padroes[],2,0)</f>
        <v>GAR</v>
      </c>
      <c r="D1096" s="3"/>
    </row>
    <row r="1097" spans="1:4" x14ac:dyDescent="0.25">
      <c r="A1097" s="2" t="s">
        <v>4048</v>
      </c>
      <c r="B1097" s="2" t="s">
        <v>74</v>
      </c>
      <c r="C1097" s="31" t="str">
        <f>VLOOKUP(irregulares[[#This Row],[Similar a]],padroes[],2,0)</f>
        <v>GAR</v>
      </c>
      <c r="D1097" s="3"/>
    </row>
    <row r="1098" spans="1:4" x14ac:dyDescent="0.25">
      <c r="A1098" s="2" t="s">
        <v>4176</v>
      </c>
      <c r="B1098" s="2" t="s">
        <v>49</v>
      </c>
      <c r="C1098" s="31" t="str">
        <f>VLOOKUP(irregulares[[#This Row],[Similar a]],padroes[],2,0)</f>
        <v>OAR</v>
      </c>
      <c r="D1098" s="3"/>
    </row>
    <row r="1099" spans="1:4" x14ac:dyDescent="0.25">
      <c r="A1099" s="2" t="s">
        <v>4250</v>
      </c>
      <c r="B1099" s="2" t="s">
        <v>63</v>
      </c>
      <c r="C1099" s="31" t="str">
        <f>VLOOKUP(irregulares[[#This Row],[Similar a]],padroes[],2,0)</f>
        <v>CER</v>
      </c>
      <c r="D1099" s="3"/>
    </row>
    <row r="1100" spans="1:4" x14ac:dyDescent="0.25">
      <c r="A1100" s="2" t="s">
        <v>4049</v>
      </c>
      <c r="B1100" s="2" t="s">
        <v>74</v>
      </c>
      <c r="C1100" s="31" t="str">
        <f>VLOOKUP(irregulares[[#This Row],[Similar a]],padroes[],2,0)</f>
        <v>GAR</v>
      </c>
      <c r="D1100" s="3"/>
    </row>
    <row r="1101" spans="1:4" x14ac:dyDescent="0.25">
      <c r="A1101" s="2" t="s">
        <v>4007</v>
      </c>
      <c r="B1101" s="2" t="s">
        <v>60</v>
      </c>
      <c r="C1101" s="31" t="str">
        <f>VLOOKUP(irregulares[[#This Row],[Similar a]],padroes[],2,0)</f>
        <v>GAR</v>
      </c>
      <c r="D1101" s="3"/>
    </row>
    <row r="1102" spans="1:4" x14ac:dyDescent="0.25">
      <c r="A1102" s="2" t="s">
        <v>4177</v>
      </c>
      <c r="B1102" s="2" t="s">
        <v>49</v>
      </c>
      <c r="C1102" s="31" t="str">
        <f>VLOOKUP(irregulares[[#This Row],[Similar a]],padroes[],2,0)</f>
        <v>OAR</v>
      </c>
      <c r="D1102" s="3"/>
    </row>
    <row r="1103" spans="1:4" x14ac:dyDescent="0.25">
      <c r="A1103" s="2" t="s">
        <v>4251</v>
      </c>
      <c r="B1103" s="2" t="s">
        <v>63</v>
      </c>
      <c r="C1103" s="31" t="str">
        <f>VLOOKUP(irregulares[[#This Row],[Similar a]],padroes[],2,0)</f>
        <v>CER</v>
      </c>
      <c r="D1103" s="3"/>
    </row>
    <row r="1104" spans="1:4" x14ac:dyDescent="0.25">
      <c r="A1104" s="2" t="s">
        <v>3885</v>
      </c>
      <c r="B1104" s="2" t="s">
        <v>53</v>
      </c>
      <c r="C1104" s="31" t="str">
        <f>VLOOKUP(irregulares[[#This Row],[Similar a]],padroes[],2,0)</f>
        <v>EAR</v>
      </c>
      <c r="D1104" s="3"/>
    </row>
    <row r="1105" spans="1:4" x14ac:dyDescent="0.25">
      <c r="A1105" s="2" t="s">
        <v>4178</v>
      </c>
      <c r="B1105" s="2" t="s">
        <v>49</v>
      </c>
      <c r="C1105" s="31" t="str">
        <f>VLOOKUP(irregulares[[#This Row],[Similar a]],padroes[],2,0)</f>
        <v>OAR</v>
      </c>
      <c r="D1105" s="3"/>
    </row>
    <row r="1106" spans="1:4" x14ac:dyDescent="0.25">
      <c r="A1106" s="2" t="s">
        <v>4252</v>
      </c>
      <c r="B1106" s="2" t="s">
        <v>63</v>
      </c>
      <c r="C1106" s="31" t="str">
        <f>VLOOKUP(irregulares[[#This Row],[Similar a]],padroes[],2,0)</f>
        <v>CER</v>
      </c>
      <c r="D1106" s="3"/>
    </row>
    <row r="1107" spans="1:4" x14ac:dyDescent="0.25">
      <c r="A1107" s="2" t="s">
        <v>4179</v>
      </c>
      <c r="B1107" s="2" t="s">
        <v>49</v>
      </c>
      <c r="C1107" s="31" t="str">
        <f>VLOOKUP(irregulares[[#This Row],[Similar a]],padroes[],2,0)</f>
        <v>OAR</v>
      </c>
      <c r="D1107" s="3"/>
    </row>
    <row r="1108" spans="1:4" x14ac:dyDescent="0.25">
      <c r="A1108" s="2" t="s">
        <v>4180</v>
      </c>
      <c r="B1108" s="2" t="s">
        <v>49</v>
      </c>
      <c r="C1108" s="31" t="str">
        <f>VLOOKUP(irregulares[[#This Row],[Similar a]],padroes[],2,0)</f>
        <v>OAR</v>
      </c>
      <c r="D1108" s="3"/>
    </row>
    <row r="1109" spans="1:4" x14ac:dyDescent="0.25">
      <c r="A1109" s="2" t="s">
        <v>4434</v>
      </c>
      <c r="B1109" s="2" t="s">
        <v>3237</v>
      </c>
      <c r="C1109" s="31" t="str">
        <f>VLOOKUP(irregulares[[#This Row],[Similar a]],padroes[],2,0)</f>
        <v>COBRIR</v>
      </c>
      <c r="D1109" s="3"/>
    </row>
    <row r="1110" spans="1:4" x14ac:dyDescent="0.25">
      <c r="A1110" s="2" t="s">
        <v>4181</v>
      </c>
      <c r="B1110" s="2" t="s">
        <v>49</v>
      </c>
      <c r="C1110" s="31" t="str">
        <f>VLOOKUP(irregulares[[#This Row],[Similar a]],padroes[],2,0)</f>
        <v>OAR</v>
      </c>
      <c r="D1110" s="3"/>
    </row>
    <row r="1111" spans="1:4" x14ac:dyDescent="0.25">
      <c r="A1111" s="2" t="s">
        <v>3886</v>
      </c>
      <c r="B1111" s="2" t="s">
        <v>53</v>
      </c>
      <c r="C1111" s="31" t="str">
        <f>VLOOKUP(irregulares[[#This Row],[Similar a]],padroes[],2,0)</f>
        <v>EAR</v>
      </c>
      <c r="D1111" s="3"/>
    </row>
    <row r="1112" spans="1:4" x14ac:dyDescent="0.25">
      <c r="A1112" s="2" t="s">
        <v>4254</v>
      </c>
      <c r="B1112" s="2" t="s">
        <v>63</v>
      </c>
      <c r="C1112" s="31" t="str">
        <f>VLOOKUP(irregulares[[#This Row],[Similar a]],padroes[],2,0)</f>
        <v>CER</v>
      </c>
      <c r="D1112" s="3"/>
    </row>
    <row r="1113" spans="1:4" x14ac:dyDescent="0.25">
      <c r="A1113" s="2" t="s">
        <v>4050</v>
      </c>
      <c r="B1113" s="2" t="s">
        <v>74</v>
      </c>
      <c r="C1113" s="31" t="str">
        <f>VLOOKUP(irregulares[[#This Row],[Similar a]],padroes[],2,0)</f>
        <v>GAR</v>
      </c>
      <c r="D1113" s="3"/>
    </row>
    <row r="1114" spans="1:4" x14ac:dyDescent="0.25">
      <c r="A1114" s="2" t="s">
        <v>4436</v>
      </c>
      <c r="B1114" s="2" t="s">
        <v>4435</v>
      </c>
      <c r="C1114" s="31" t="str">
        <f>VLOOKUP(irregulares[[#This Row],[Similar a]],padroes[],2,0)</f>
        <v>ENGOLIR</v>
      </c>
      <c r="D1114" s="3"/>
    </row>
    <row r="1115" spans="1:4" x14ac:dyDescent="0.25">
      <c r="A1115" s="2" t="s">
        <v>4255</v>
      </c>
      <c r="B1115" s="2" t="s">
        <v>63</v>
      </c>
      <c r="C1115" s="31" t="str">
        <f>VLOOKUP(irregulares[[#This Row],[Similar a]],padroes[],2,0)</f>
        <v>CER</v>
      </c>
      <c r="D1115" s="3"/>
    </row>
    <row r="1116" spans="1:4" x14ac:dyDescent="0.25">
      <c r="A1116" s="2" t="s">
        <v>4256</v>
      </c>
      <c r="B1116" s="2" t="s">
        <v>63</v>
      </c>
      <c r="C1116" s="31" t="str">
        <f>VLOOKUP(irregulares[[#This Row],[Similar a]],padroes[],2,0)</f>
        <v>CER</v>
      </c>
      <c r="D1116" s="3"/>
    </row>
    <row r="1117" spans="1:4" x14ac:dyDescent="0.25">
      <c r="A1117" s="2" t="s">
        <v>4183</v>
      </c>
      <c r="B1117" s="2" t="s">
        <v>49</v>
      </c>
      <c r="C1117" s="31" t="str">
        <f>VLOOKUP(irregulares[[#This Row],[Similar a]],padroes[],2,0)</f>
        <v>OAR</v>
      </c>
      <c r="D1117" s="3"/>
    </row>
    <row r="1118" spans="1:4" x14ac:dyDescent="0.25">
      <c r="A1118" s="2" t="s">
        <v>4257</v>
      </c>
      <c r="B1118" s="2" t="s">
        <v>63</v>
      </c>
      <c r="C1118" s="31" t="str">
        <f>VLOOKUP(irregulares[[#This Row],[Similar a]],padroes[],2,0)</f>
        <v>CER</v>
      </c>
      <c r="D1118" s="3"/>
    </row>
    <row r="1119" spans="1:4" x14ac:dyDescent="0.25">
      <c r="A1119" s="2" t="s">
        <v>4258</v>
      </c>
      <c r="B1119" s="2" t="s">
        <v>63</v>
      </c>
      <c r="C1119" s="31" t="str">
        <f>VLOOKUP(irregulares[[#This Row],[Similar a]],padroes[],2,0)</f>
        <v>CER</v>
      </c>
      <c r="D1119" s="3"/>
    </row>
    <row r="1120" spans="1:4" x14ac:dyDescent="0.25">
      <c r="A1120" s="2" t="s">
        <v>4184</v>
      </c>
      <c r="B1120" s="2" t="s">
        <v>49</v>
      </c>
      <c r="C1120" s="31" t="str">
        <f>VLOOKUP(irregulares[[#This Row],[Similar a]],padroes[],2,0)</f>
        <v>OAR</v>
      </c>
      <c r="D1120" s="3"/>
    </row>
    <row r="1121" spans="1:4" x14ac:dyDescent="0.25">
      <c r="A1121" s="2" t="s">
        <v>4259</v>
      </c>
      <c r="B1121" s="2" t="s">
        <v>63</v>
      </c>
      <c r="C1121" s="31" t="str">
        <f>VLOOKUP(irregulares[[#This Row],[Similar a]],padroes[],2,0)</f>
        <v>CER</v>
      </c>
      <c r="D1121" s="3"/>
    </row>
    <row r="1122" spans="1:4" x14ac:dyDescent="0.25">
      <c r="A1122" s="2" t="s">
        <v>4437</v>
      </c>
      <c r="B1122" s="2" t="s">
        <v>319</v>
      </c>
      <c r="C1122" s="31" t="str">
        <f>VLOOKUP(irregulares[[#This Row],[Similar a]],padroes[],2,0)</f>
        <v>Í-X-AR</v>
      </c>
      <c r="D1122" s="3"/>
    </row>
    <row r="1123" spans="1:4" x14ac:dyDescent="0.25">
      <c r="A1123" s="2" t="s">
        <v>4260</v>
      </c>
      <c r="B1123" s="2" t="s">
        <v>63</v>
      </c>
      <c r="C1123" s="31" t="str">
        <f>VLOOKUP(irregulares[[#This Row],[Similar a]],padroes[],2,0)</f>
        <v>CER</v>
      </c>
      <c r="D1123" s="3"/>
    </row>
    <row r="1124" spans="1:4" x14ac:dyDescent="0.25">
      <c r="A1124" s="2" t="s">
        <v>4261</v>
      </c>
      <c r="B1124" s="2" t="s">
        <v>63</v>
      </c>
      <c r="C1124" s="31" t="str">
        <f>VLOOKUP(irregulares[[#This Row],[Similar a]],padroes[],2,0)</f>
        <v>CER</v>
      </c>
      <c r="D1124" s="3"/>
    </row>
    <row r="1125" spans="1:4" x14ac:dyDescent="0.25">
      <c r="A1125" s="2" t="s">
        <v>4051</v>
      </c>
      <c r="B1125" s="2" t="s">
        <v>74</v>
      </c>
      <c r="C1125" s="31" t="str">
        <f>VLOOKUP(irregulares[[#This Row],[Similar a]],padroes[],2,0)</f>
        <v>GAR</v>
      </c>
      <c r="D1125" s="3"/>
    </row>
    <row r="1126" spans="1:4" x14ac:dyDescent="0.25">
      <c r="A1126" s="2" t="s">
        <v>4185</v>
      </c>
      <c r="B1126" s="2" t="s">
        <v>49</v>
      </c>
      <c r="C1126" s="31" t="str">
        <f>VLOOKUP(irregulares[[#This Row],[Similar a]],padroes[],2,0)</f>
        <v>OAR</v>
      </c>
      <c r="D1126" s="3"/>
    </row>
    <row r="1127" spans="1:4" x14ac:dyDescent="0.25">
      <c r="A1127" s="2" t="s">
        <v>4262</v>
      </c>
      <c r="B1127" s="2" t="s">
        <v>63</v>
      </c>
      <c r="C1127" s="31" t="str">
        <f>VLOOKUP(irregulares[[#This Row],[Similar a]],padroes[],2,0)</f>
        <v>CER</v>
      </c>
      <c r="D1127" s="3"/>
    </row>
    <row r="1128" spans="1:4" x14ac:dyDescent="0.25">
      <c r="A1128" s="2" t="s">
        <v>4263</v>
      </c>
      <c r="B1128" s="2" t="s">
        <v>63</v>
      </c>
      <c r="C1128" s="31" t="str">
        <f>VLOOKUP(irregulares[[#This Row],[Similar a]],padroes[],2,0)</f>
        <v>CER</v>
      </c>
      <c r="D1128" s="3"/>
    </row>
    <row r="1129" spans="1:4" x14ac:dyDescent="0.25">
      <c r="A1129" s="2" t="s">
        <v>4186</v>
      </c>
      <c r="B1129" s="2" t="s">
        <v>49</v>
      </c>
      <c r="C1129" s="31" t="str">
        <f>VLOOKUP(irregulares[[#This Row],[Similar a]],padroes[],2,0)</f>
        <v>OAR</v>
      </c>
      <c r="D1129" s="3"/>
    </row>
    <row r="1130" spans="1:4" x14ac:dyDescent="0.25">
      <c r="A1130" s="2" t="s">
        <v>4187</v>
      </c>
      <c r="B1130" s="2" t="s">
        <v>49</v>
      </c>
      <c r="C1130" s="31" t="str">
        <f>VLOOKUP(irregulares[[#This Row],[Similar a]],padroes[],2,0)</f>
        <v>OAR</v>
      </c>
      <c r="D1130" s="3"/>
    </row>
    <row r="1131" spans="1:4" x14ac:dyDescent="0.25">
      <c r="A1131" s="2" t="s">
        <v>4264</v>
      </c>
      <c r="B1131" s="2" t="s">
        <v>63</v>
      </c>
      <c r="C1131" s="31" t="str">
        <f>VLOOKUP(irregulares[[#This Row],[Similar a]],padroes[],2,0)</f>
        <v>CER</v>
      </c>
      <c r="D1131" s="3"/>
    </row>
    <row r="1132" spans="1:4" x14ac:dyDescent="0.25">
      <c r="A1132" s="2" t="s">
        <v>4265</v>
      </c>
      <c r="B1132" s="2" t="s">
        <v>63</v>
      </c>
      <c r="C1132" s="31" t="str">
        <f>VLOOKUP(irregulares[[#This Row],[Similar a]],padroes[],2,0)</f>
        <v>CER</v>
      </c>
      <c r="D1132" s="3"/>
    </row>
    <row r="1133" spans="1:4" x14ac:dyDescent="0.25">
      <c r="A1133" s="2" t="s">
        <v>4266</v>
      </c>
      <c r="B1133" s="2" t="s">
        <v>63</v>
      </c>
      <c r="C1133" s="31" t="str">
        <f>VLOOKUP(irregulares[[#This Row],[Similar a]],padroes[],2,0)</f>
        <v>CER</v>
      </c>
      <c r="D1133" s="3"/>
    </row>
    <row r="1134" spans="1:4" x14ac:dyDescent="0.25">
      <c r="A1134" s="2" t="s">
        <v>4438</v>
      </c>
      <c r="B1134" s="2" t="s">
        <v>4439</v>
      </c>
      <c r="C1134" s="31" t="str">
        <f>VLOOKUP(irregulares[[#This Row],[Similar a]],padroes[],2,0)</f>
        <v>ENTUPIR</v>
      </c>
      <c r="D1134" s="3"/>
    </row>
    <row r="1135" spans="1:4" x14ac:dyDescent="0.25">
      <c r="A1135" s="2" t="s">
        <v>4052</v>
      </c>
      <c r="B1135" s="2" t="s">
        <v>74</v>
      </c>
      <c r="C1135" s="31" t="str">
        <f>VLOOKUP(irregulares[[#This Row],[Similar a]],padroes[],2,0)</f>
        <v>GAR</v>
      </c>
      <c r="D1135" s="3"/>
    </row>
    <row r="1136" spans="1:4" x14ac:dyDescent="0.25">
      <c r="A1136" s="2" t="s">
        <v>4870</v>
      </c>
      <c r="B1136" s="2" t="s">
        <v>1337</v>
      </c>
      <c r="C1136" s="31" t="str">
        <f>VLOOKUP(irregulares[[#This Row],[Similar a]],padroes[],2,0)</f>
        <v>Abundante</v>
      </c>
      <c r="D1136" s="3"/>
    </row>
    <row r="1137" spans="1:4" x14ac:dyDescent="0.25">
      <c r="A1137" s="2" t="s">
        <v>3888</v>
      </c>
      <c r="B1137" s="2" t="s">
        <v>53</v>
      </c>
      <c r="C1137" s="31" t="str">
        <f>VLOOKUP(irregulares[[#This Row],[Similar a]],padroes[],2,0)</f>
        <v>EAR</v>
      </c>
      <c r="D1137" s="3"/>
    </row>
    <row r="1138" spans="1:4" x14ac:dyDescent="0.25">
      <c r="A1138" s="2" t="s">
        <v>4053</v>
      </c>
      <c r="B1138" s="2" t="s">
        <v>74</v>
      </c>
      <c r="C1138" s="31" t="str">
        <f>VLOOKUP(irregulares[[#This Row],[Similar a]],padroes[],2,0)</f>
        <v>GAR</v>
      </c>
      <c r="D1138" s="3"/>
    </row>
    <row r="1139" spans="1:4" x14ac:dyDescent="0.25">
      <c r="A1139" s="2" t="s">
        <v>4054</v>
      </c>
      <c r="B1139" s="2" t="s">
        <v>74</v>
      </c>
      <c r="C1139" s="31" t="str">
        <f>VLOOKUP(irregulares[[#This Row],[Similar a]],padroes[],2,0)</f>
        <v>GAR</v>
      </c>
      <c r="D1139" s="3"/>
    </row>
    <row r="1140" spans="1:4" x14ac:dyDescent="0.25">
      <c r="A1140" s="2" t="s">
        <v>4267</v>
      </c>
      <c r="B1140" s="2" t="s">
        <v>63</v>
      </c>
      <c r="C1140" s="31" t="str">
        <f>VLOOKUP(irregulares[[#This Row],[Similar a]],padroes[],2,0)</f>
        <v>CER</v>
      </c>
      <c r="D1140" s="3"/>
    </row>
    <row r="1141" spans="1:4" x14ac:dyDescent="0.25">
      <c r="A1141" s="2" t="s">
        <v>4268</v>
      </c>
      <c r="B1141" s="2" t="s">
        <v>63</v>
      </c>
      <c r="C1141" s="31" t="str">
        <f>VLOOKUP(irregulares[[#This Row],[Similar a]],padroes[],2,0)</f>
        <v>CER</v>
      </c>
      <c r="D1141" s="3"/>
    </row>
    <row r="1142" spans="1:4" x14ac:dyDescent="0.25">
      <c r="A1142" s="2" t="s">
        <v>4440</v>
      </c>
      <c r="B1142" s="2" t="s">
        <v>859</v>
      </c>
      <c r="C1142" s="31" t="str">
        <f>VLOOKUP(irregulares[[#This Row],[Similar a]],padroes[],2,0)</f>
        <v>FAZER</v>
      </c>
      <c r="D1142" s="3"/>
    </row>
    <row r="1143" spans="1:4" x14ac:dyDescent="0.25">
      <c r="A1143" s="2" t="s">
        <v>3889</v>
      </c>
      <c r="B1143" s="2" t="s">
        <v>53</v>
      </c>
      <c r="C1143" s="31" t="str">
        <f>VLOOKUP(irregulares[[#This Row],[Similar a]],padroes[],2,0)</f>
        <v>EAR</v>
      </c>
      <c r="D1143" s="3"/>
    </row>
    <row r="1144" spans="1:4" x14ac:dyDescent="0.25">
      <c r="A1144" s="2" t="s">
        <v>4441</v>
      </c>
      <c r="B1144" s="2" t="s">
        <v>1122</v>
      </c>
      <c r="C1144" s="31" t="str">
        <f>VLOOKUP(irregulares[[#This Row],[Similar a]],padroes[],2,0)</f>
        <v>ECHAR ê</v>
      </c>
      <c r="D1144" s="3"/>
    </row>
    <row r="1145" spans="1:4" x14ac:dyDescent="0.25">
      <c r="A1145" s="2" t="s">
        <v>3890</v>
      </c>
      <c r="B1145" s="2" t="s">
        <v>53</v>
      </c>
      <c r="C1145" s="31" t="str">
        <f>VLOOKUP(irregulares[[#This Row],[Similar a]],padroes[],2,0)</f>
        <v>EAR</v>
      </c>
      <c r="D1145" s="3"/>
    </row>
    <row r="1146" spans="1:4" x14ac:dyDescent="0.25">
      <c r="A1146" s="2" t="s">
        <v>4442</v>
      </c>
      <c r="B1146" s="2" t="s">
        <v>183</v>
      </c>
      <c r="C1146" s="31" t="str">
        <f>VLOOKUP(irregulares[[#This Row],[Similar a]],padroes[],2,0)</f>
        <v>E-X-IR</v>
      </c>
      <c r="D1146" s="3"/>
    </row>
    <row r="1147" spans="1:4" x14ac:dyDescent="0.25">
      <c r="A1147" s="2" t="s">
        <v>4269</v>
      </c>
      <c r="B1147" s="2" t="s">
        <v>63</v>
      </c>
      <c r="C1147" s="31" t="str">
        <f>VLOOKUP(irregulares[[#This Row],[Similar a]],padroes[],2,0)</f>
        <v>CER</v>
      </c>
      <c r="D1147" s="3"/>
    </row>
    <row r="1148" spans="1:4" x14ac:dyDescent="0.25">
      <c r="A1148" s="2" t="s">
        <v>4443</v>
      </c>
      <c r="B1148" s="2" t="s">
        <v>1717</v>
      </c>
      <c r="C1148" s="31" t="str">
        <f>VLOOKUP(irregulares[[#This Row],[Similar a]],padroes[],2,0)</f>
        <v>Defectivo 1</v>
      </c>
      <c r="D1148" s="3"/>
    </row>
    <row r="1149" spans="1:4" x14ac:dyDescent="0.25">
      <c r="A1149" s="2" t="s">
        <v>4270</v>
      </c>
      <c r="B1149" s="2" t="s">
        <v>63</v>
      </c>
      <c r="C1149" s="31" t="str">
        <f>VLOOKUP(irregulares[[#This Row],[Similar a]],padroes[],2,0)</f>
        <v>CER</v>
      </c>
      <c r="D1149" s="3"/>
    </row>
    <row r="1150" spans="1:4" x14ac:dyDescent="0.25">
      <c r="A1150" s="2" t="s">
        <v>4444</v>
      </c>
      <c r="B1150" s="2" t="s">
        <v>154</v>
      </c>
      <c r="C1150" s="31" t="str">
        <f>VLOOKUP(irregulares[[#This Row],[Similar a]],padroes[],2,0)</f>
        <v>GIR</v>
      </c>
      <c r="D1150" s="3"/>
    </row>
    <row r="1151" spans="1:4" x14ac:dyDescent="0.25">
      <c r="A1151" s="2" t="s">
        <v>4445</v>
      </c>
      <c r="B1151" s="2" t="s">
        <v>221</v>
      </c>
      <c r="C1151" s="31" t="str">
        <f>VLOOKUP(irregulares[[#This Row],[Similar a]],padroes[],2,0)</f>
        <v>ECHAR é</v>
      </c>
      <c r="D1151" s="3"/>
    </row>
    <row r="1152" spans="1:4" x14ac:dyDescent="0.25">
      <c r="A1152" s="2" t="s">
        <v>4446</v>
      </c>
      <c r="B1152" s="2" t="s">
        <v>82</v>
      </c>
      <c r="C1152" s="31" t="str">
        <f>VLOOKUP(irregulares[[#This Row],[Similar a]],padroes[],2,0)</f>
        <v>UIR</v>
      </c>
      <c r="D1152" s="3"/>
    </row>
    <row r="1153" spans="1:4" x14ac:dyDescent="0.25">
      <c r="A1153" s="2" t="s">
        <v>4447</v>
      </c>
      <c r="B1153" s="2" t="s">
        <v>157</v>
      </c>
      <c r="C1153" s="31" t="str">
        <f>VLOOKUP(irregulares[[#This Row],[Similar a]],padroes[],2,0)</f>
        <v>ELHAR</v>
      </c>
      <c r="D1153" s="3"/>
    </row>
    <row r="1154" spans="1:4" x14ac:dyDescent="0.25">
      <c r="A1154" s="2" t="s">
        <v>4055</v>
      </c>
      <c r="B1154" s="2" t="s">
        <v>74</v>
      </c>
      <c r="C1154" s="31" t="str">
        <f>VLOOKUP(irregulares[[#This Row],[Similar a]],padroes[],2,0)</f>
        <v>GAR</v>
      </c>
      <c r="D1154" s="3"/>
    </row>
    <row r="1155" spans="1:4" x14ac:dyDescent="0.25">
      <c r="A1155" s="2" t="s">
        <v>4009</v>
      </c>
      <c r="B1155" s="2" t="s">
        <v>60</v>
      </c>
      <c r="C1155" s="31" t="str">
        <f>VLOOKUP(irregulares[[#This Row],[Similar a]],padroes[],2,0)</f>
        <v>GAR</v>
      </c>
      <c r="D1155" s="3"/>
    </row>
    <row r="1156" spans="1:4" x14ac:dyDescent="0.25">
      <c r="A1156" s="2" t="s">
        <v>4188</v>
      </c>
      <c r="B1156" s="2" t="s">
        <v>49</v>
      </c>
      <c r="C1156" s="31" t="str">
        <f>VLOOKUP(irregulares[[#This Row],[Similar a]],padroes[],2,0)</f>
        <v>OAR</v>
      </c>
      <c r="D1156" s="3"/>
    </row>
    <row r="1157" spans="1:4" x14ac:dyDescent="0.25">
      <c r="A1157" s="2" t="s">
        <v>4271</v>
      </c>
      <c r="B1157" s="2" t="s">
        <v>63</v>
      </c>
      <c r="C1157" s="31" t="str">
        <f>VLOOKUP(irregulares[[#This Row],[Similar a]],padroes[],2,0)</f>
        <v>CER</v>
      </c>
      <c r="D1157" s="3"/>
    </row>
    <row r="1158" spans="1:4" x14ac:dyDescent="0.25">
      <c r="A1158" s="2" t="s">
        <v>4448</v>
      </c>
      <c r="B1158" s="2" t="s">
        <v>157</v>
      </c>
      <c r="C1158" s="31" t="str">
        <f>VLOOKUP(irregulares[[#This Row],[Similar a]],padroes[],2,0)</f>
        <v>ELHAR</v>
      </c>
      <c r="D1158" s="3"/>
    </row>
    <row r="1159" spans="1:4" x14ac:dyDescent="0.25">
      <c r="A1159" s="2" t="s">
        <v>4449</v>
      </c>
      <c r="B1159" s="2" t="s">
        <v>1998</v>
      </c>
      <c r="C1159" s="31" t="str">
        <f>VLOOKUP(irregulares[[#This Row],[Similar a]],padroes[],2,0)</f>
        <v>PEDIR</v>
      </c>
      <c r="D1159" s="3"/>
    </row>
    <row r="1160" spans="1:4" x14ac:dyDescent="0.25">
      <c r="A1160" s="2" t="s">
        <v>4450</v>
      </c>
      <c r="B1160" s="2" t="s">
        <v>82</v>
      </c>
      <c r="C1160" s="31" t="str">
        <f>VLOOKUP(irregulares[[#This Row],[Similar a]],padroes[],2,0)</f>
        <v>UIR</v>
      </c>
      <c r="D1160" s="3"/>
    </row>
    <row r="1161" spans="1:4" x14ac:dyDescent="0.25">
      <c r="A1161" s="2" t="s">
        <v>4272</v>
      </c>
      <c r="B1161" s="2" t="s">
        <v>63</v>
      </c>
      <c r="C1161" s="31" t="str">
        <f>VLOOKUP(irregulares[[#This Row],[Similar a]],padroes[],2,0)</f>
        <v>CER</v>
      </c>
      <c r="D1161" s="3"/>
    </row>
    <row r="1162" spans="1:4" x14ac:dyDescent="0.25">
      <c r="A1162" s="2" t="s">
        <v>4451</v>
      </c>
      <c r="B1162" s="2" t="s">
        <v>2069</v>
      </c>
      <c r="C1162" s="31" t="str">
        <f>VLOOKUP(irregulares[[#This Row],[Similar a]],padroes[],2,0)</f>
        <v>E-X-IR</v>
      </c>
      <c r="D1162" s="3"/>
    </row>
    <row r="1163" spans="1:4" x14ac:dyDescent="0.25">
      <c r="A1163" s="2" t="s">
        <v>4452</v>
      </c>
      <c r="B1163" s="2" t="s">
        <v>319</v>
      </c>
      <c r="C1163" s="31" t="str">
        <f>VLOOKUP(irregulares[[#This Row],[Similar a]],padroes[],2,0)</f>
        <v>Í-X-AR</v>
      </c>
      <c r="D1163" s="3"/>
    </row>
    <row r="1164" spans="1:4" x14ac:dyDescent="0.25">
      <c r="A1164" s="2" t="s">
        <v>4453</v>
      </c>
      <c r="B1164" s="2" t="s">
        <v>1717</v>
      </c>
      <c r="C1164" s="31" t="str">
        <f>VLOOKUP(irregulares[[#This Row],[Similar a]],padroes[],2,0)</f>
        <v>Defectivo 1</v>
      </c>
      <c r="D1164" s="3"/>
    </row>
    <row r="1165" spans="1:4" x14ac:dyDescent="0.25">
      <c r="A1165" s="2" t="s">
        <v>3891</v>
      </c>
      <c r="B1165" s="2" t="s">
        <v>53</v>
      </c>
      <c r="C1165" s="31" t="str">
        <f>VLOOKUP(irregulares[[#This Row],[Similar a]],padroes[],2,0)</f>
        <v>EAR</v>
      </c>
      <c r="D1165" s="3"/>
    </row>
    <row r="1166" spans="1:4" x14ac:dyDescent="0.25">
      <c r="A1166" s="2" t="s">
        <v>3892</v>
      </c>
      <c r="B1166" s="2" t="s">
        <v>53</v>
      </c>
      <c r="C1166" s="31" t="str">
        <f>VLOOKUP(irregulares[[#This Row],[Similar a]],padroes[],2,0)</f>
        <v>EAR</v>
      </c>
      <c r="D1166" s="3"/>
    </row>
    <row r="1167" spans="1:4" x14ac:dyDescent="0.25">
      <c r="A1167" s="2" t="s">
        <v>3893</v>
      </c>
      <c r="B1167" s="2" t="s">
        <v>53</v>
      </c>
      <c r="C1167" s="31" t="str">
        <f>VLOOKUP(irregulares[[#This Row],[Similar a]],padroes[],2,0)</f>
        <v>EAR</v>
      </c>
      <c r="D1167" s="3"/>
    </row>
    <row r="1168" spans="1:4" x14ac:dyDescent="0.25">
      <c r="A1168" s="2" t="s">
        <v>4056</v>
      </c>
      <c r="B1168" s="2" t="s">
        <v>74</v>
      </c>
      <c r="C1168" s="31" t="str">
        <f>VLOOKUP(irregulares[[#This Row],[Similar a]],padroes[],2,0)</f>
        <v>GAR</v>
      </c>
      <c r="D1168" s="3"/>
    </row>
    <row r="1169" spans="1:4" x14ac:dyDescent="0.25">
      <c r="A1169" s="2" t="s">
        <v>4454</v>
      </c>
      <c r="B1169" s="2" t="s">
        <v>1887</v>
      </c>
      <c r="C1169" s="31" t="str">
        <f>VLOOKUP(irregulares[[#This Row],[Similar a]],padroes[],2,0)</f>
        <v>UZIR</v>
      </c>
      <c r="D1169" s="3"/>
    </row>
    <row r="1170" spans="1:4" x14ac:dyDescent="0.25">
      <c r="A1170" s="2" t="s">
        <v>3894</v>
      </c>
      <c r="B1170" s="2" t="s">
        <v>53</v>
      </c>
      <c r="C1170" s="31" t="str">
        <f>VLOOKUP(irregulares[[#This Row],[Similar a]],padroes[],2,0)</f>
        <v>EAR</v>
      </c>
      <c r="D1170" s="3"/>
    </row>
    <row r="1171" spans="1:4" x14ac:dyDescent="0.25">
      <c r="A1171" s="2" t="s">
        <v>3895</v>
      </c>
      <c r="B1171" s="2" t="s">
        <v>53</v>
      </c>
      <c r="C1171" s="31" t="str">
        <f>VLOOKUP(irregulares[[#This Row],[Similar a]],padroes[],2,0)</f>
        <v>EAR</v>
      </c>
      <c r="D1171" s="3"/>
    </row>
    <row r="1172" spans="1:4" x14ac:dyDescent="0.25">
      <c r="A1172" s="2" t="s">
        <v>3896</v>
      </c>
      <c r="B1172" s="2" t="s">
        <v>53</v>
      </c>
      <c r="C1172" s="31" t="str">
        <f>VLOOKUP(irregulares[[#This Row],[Similar a]],padroes[],2,0)</f>
        <v>EAR</v>
      </c>
      <c r="D1172" s="3"/>
    </row>
    <row r="1173" spans="1:4" x14ac:dyDescent="0.25">
      <c r="A1173" s="2" t="s">
        <v>4455</v>
      </c>
      <c r="B1173" s="2" t="s">
        <v>1998</v>
      </c>
      <c r="C1173" s="31" t="str">
        <f>VLOOKUP(irregulares[[#This Row],[Similar a]],padroes[],2,0)</f>
        <v>PEDIR</v>
      </c>
      <c r="D1173" s="3"/>
    </row>
    <row r="1174" spans="1:4" x14ac:dyDescent="0.25">
      <c r="A1174" s="2" t="s">
        <v>4456</v>
      </c>
      <c r="B1174" s="2" t="s">
        <v>3496</v>
      </c>
      <c r="C1174" s="31" t="str">
        <f>VLOOKUP(irregulares[[#This Row],[Similar a]],padroes[],2,0)</f>
        <v>E-X-IR</v>
      </c>
      <c r="D1174" s="3"/>
    </row>
    <row r="1175" spans="1:4" x14ac:dyDescent="0.25">
      <c r="A1175" s="2" t="s">
        <v>4273</v>
      </c>
      <c r="B1175" s="2" t="s">
        <v>63</v>
      </c>
      <c r="C1175" s="31" t="str">
        <f>VLOOKUP(irregulares[[#This Row],[Similar a]],padroes[],2,0)</f>
        <v>CER</v>
      </c>
      <c r="D1175" s="3"/>
    </row>
    <row r="1176" spans="1:4" x14ac:dyDescent="0.25">
      <c r="A1176" s="2" t="s">
        <v>4457</v>
      </c>
      <c r="B1176" s="2" t="s">
        <v>47</v>
      </c>
      <c r="C1176" s="31" t="str">
        <f>VLOOKUP(irregulares[[#This Row],[Similar a]],padroes[],2,0)</f>
        <v>Ú-X-AR</v>
      </c>
      <c r="D1176" s="3"/>
    </row>
    <row r="1177" spans="1:4" x14ac:dyDescent="0.25">
      <c r="A1177" s="2" t="s">
        <v>4458</v>
      </c>
      <c r="B1177" s="2" t="s">
        <v>3499</v>
      </c>
      <c r="C1177" s="31" t="str">
        <f>VLOOKUP(irregulares[[#This Row],[Similar a]],padroes[],2,0)</f>
        <v>Í-X-AR</v>
      </c>
      <c r="D1177" s="3"/>
    </row>
    <row r="1178" spans="1:4" x14ac:dyDescent="0.25">
      <c r="A1178" s="2" t="s">
        <v>4057</v>
      </c>
      <c r="B1178" s="2" t="s">
        <v>74</v>
      </c>
      <c r="C1178" s="31" t="str">
        <f>VLOOKUP(irregulares[[#This Row],[Similar a]],padroes[],2,0)</f>
        <v>GAR</v>
      </c>
      <c r="D1178" s="3"/>
    </row>
    <row r="1179" spans="1:4" x14ac:dyDescent="0.25">
      <c r="A1179" s="2" t="s">
        <v>3887</v>
      </c>
      <c r="B1179" s="2" t="s">
        <v>53</v>
      </c>
      <c r="C1179" s="31" t="str">
        <f>VLOOKUP(irregulares[[#This Row],[Similar a]],padroes[],2,0)</f>
        <v>EAR</v>
      </c>
      <c r="D1179" s="3"/>
    </row>
    <row r="1180" spans="1:4" x14ac:dyDescent="0.25">
      <c r="A1180" s="2" t="s">
        <v>4274</v>
      </c>
      <c r="B1180" s="2" t="s">
        <v>63</v>
      </c>
      <c r="C1180" s="31" t="str">
        <f>VLOOKUP(irregulares[[#This Row],[Similar a]],padroes[],2,0)</f>
        <v>CER</v>
      </c>
      <c r="D1180" s="3"/>
    </row>
    <row r="1181" spans="1:4" x14ac:dyDescent="0.25">
      <c r="A1181" s="2" t="s">
        <v>4189</v>
      </c>
      <c r="B1181" s="2" t="s">
        <v>49</v>
      </c>
      <c r="C1181" s="31" t="str">
        <f>VLOOKUP(irregulares[[#This Row],[Similar a]],padroes[],2,0)</f>
        <v>OAR</v>
      </c>
      <c r="D1181" s="3"/>
    </row>
    <row r="1182" spans="1:4" x14ac:dyDescent="0.25">
      <c r="A1182" s="2" t="s">
        <v>4275</v>
      </c>
      <c r="B1182" s="2" t="s">
        <v>63</v>
      </c>
      <c r="C1182" s="31" t="str">
        <f>VLOOKUP(irregulares[[#This Row],[Similar a]],padroes[],2,0)</f>
        <v>CER</v>
      </c>
      <c r="D1182" s="3"/>
    </row>
    <row r="1183" spans="1:4" x14ac:dyDescent="0.25">
      <c r="A1183" s="2" t="s">
        <v>4276</v>
      </c>
      <c r="B1183" s="2" t="s">
        <v>63</v>
      </c>
      <c r="C1183" s="31" t="str">
        <f>VLOOKUP(irregulares[[#This Row],[Similar a]],padroes[],2,0)</f>
        <v>CER</v>
      </c>
      <c r="D1183" s="3"/>
    </row>
    <row r="1184" spans="1:4" x14ac:dyDescent="0.25">
      <c r="A1184" s="2" t="s">
        <v>4459</v>
      </c>
      <c r="B1184" s="2" t="s">
        <v>82</v>
      </c>
      <c r="C1184" s="31" t="str">
        <f>VLOOKUP(irregulares[[#This Row],[Similar a]],padroes[],2,0)</f>
        <v>UIR</v>
      </c>
      <c r="D1184" s="3"/>
    </row>
    <row r="1185" spans="1:4" x14ac:dyDescent="0.25">
      <c r="A1185" s="2" t="s">
        <v>4460</v>
      </c>
      <c r="B1185" s="2" t="s">
        <v>157</v>
      </c>
      <c r="C1185" s="31" t="str">
        <f>VLOOKUP(irregulares[[#This Row],[Similar a]],padroes[],2,0)</f>
        <v>ELHAR</v>
      </c>
      <c r="D1185" s="3"/>
    </row>
    <row r="1186" spans="1:4" x14ac:dyDescent="0.25">
      <c r="A1186" s="2" t="s">
        <v>3898</v>
      </c>
      <c r="B1186" s="2" t="s">
        <v>53</v>
      </c>
      <c r="C1186" s="31" t="str">
        <f>VLOOKUP(irregulares[[#This Row],[Similar a]],padroes[],2,0)</f>
        <v>EAR</v>
      </c>
      <c r="D1186" s="3"/>
    </row>
    <row r="1187" spans="1:4" x14ac:dyDescent="0.25">
      <c r="A1187" s="2" t="s">
        <v>4277</v>
      </c>
      <c r="B1187" s="2" t="s">
        <v>63</v>
      </c>
      <c r="C1187" s="31" t="str">
        <f>VLOOKUP(irregulares[[#This Row],[Similar a]],padroes[],2,0)</f>
        <v>CER</v>
      </c>
      <c r="D1187" s="3"/>
    </row>
    <row r="1188" spans="1:4" x14ac:dyDescent="0.25">
      <c r="A1188" s="2" t="s">
        <v>4461</v>
      </c>
      <c r="B1188" s="2" t="s">
        <v>154</v>
      </c>
      <c r="C1188" s="31" t="str">
        <f>VLOOKUP(irregulares[[#This Row],[Similar a]],padroes[],2,0)</f>
        <v>GIR</v>
      </c>
      <c r="D1188" s="3"/>
    </row>
    <row r="1189" spans="1:4" x14ac:dyDescent="0.25">
      <c r="A1189" s="2" t="s">
        <v>4462</v>
      </c>
      <c r="B1189" s="2" t="s">
        <v>185</v>
      </c>
      <c r="C1189" s="31" t="str">
        <f>VLOOKUP(irregulares[[#This Row],[Similar a]],padroes[],2,0)</f>
        <v>Defectivo 2</v>
      </c>
      <c r="D1189" s="3"/>
    </row>
    <row r="1190" spans="1:4" x14ac:dyDescent="0.25">
      <c r="A1190" s="2" t="s">
        <v>3899</v>
      </c>
      <c r="B1190" s="2" t="s">
        <v>53</v>
      </c>
      <c r="C1190" s="31" t="str">
        <f>VLOOKUP(irregulares[[#This Row],[Similar a]],padroes[],2,0)</f>
        <v>EAR</v>
      </c>
      <c r="D1190" s="3"/>
    </row>
    <row r="1191" spans="1:4" x14ac:dyDescent="0.25">
      <c r="A1191" s="2" t="s">
        <v>4463</v>
      </c>
      <c r="B1191" s="2" t="s">
        <v>1998</v>
      </c>
      <c r="C1191" s="31" t="str">
        <f>VLOOKUP(irregulares[[#This Row],[Similar a]],padroes[],2,0)</f>
        <v>PEDIR</v>
      </c>
      <c r="D1191" s="3"/>
    </row>
    <row r="1192" spans="1:4" x14ac:dyDescent="0.25">
      <c r="A1192" s="2" t="s">
        <v>4010</v>
      </c>
      <c r="B1192" s="2" t="s">
        <v>60</v>
      </c>
      <c r="C1192" s="31" t="str">
        <f>VLOOKUP(irregulares[[#This Row],[Similar a]],padroes[],2,0)</f>
        <v>GAR</v>
      </c>
      <c r="D1192" s="3"/>
    </row>
    <row r="1193" spans="1:4" x14ac:dyDescent="0.25">
      <c r="A1193" s="2" t="s">
        <v>4130</v>
      </c>
      <c r="B1193" s="2" t="s">
        <v>55</v>
      </c>
      <c r="C1193" s="31" t="str">
        <f>VLOOKUP(irregulares[[#This Row],[Similar a]],padroes[],2,0)</f>
        <v>EJAR ô</v>
      </c>
      <c r="D1193" s="3"/>
    </row>
    <row r="1194" spans="1:4" x14ac:dyDescent="0.25">
      <c r="A1194" s="2" t="s">
        <v>3900</v>
      </c>
      <c r="B1194" s="2" t="s">
        <v>53</v>
      </c>
      <c r="C1194" s="31" t="str">
        <f>VLOOKUP(irregulares[[#This Row],[Similar a]],padroes[],2,0)</f>
        <v>EAR</v>
      </c>
      <c r="D1194" s="3"/>
    </row>
    <row r="1195" spans="1:4" x14ac:dyDescent="0.25">
      <c r="A1195" s="2" t="s">
        <v>4278</v>
      </c>
      <c r="B1195" s="2" t="s">
        <v>63</v>
      </c>
      <c r="C1195" s="31" t="str">
        <f>VLOOKUP(irregulares[[#This Row],[Similar a]],padroes[],2,0)</f>
        <v>CER</v>
      </c>
      <c r="D1195" s="3"/>
    </row>
    <row r="1196" spans="1:4" x14ac:dyDescent="0.25">
      <c r="A1196" s="2" t="s">
        <v>4464</v>
      </c>
      <c r="B1196" s="2" t="s">
        <v>141</v>
      </c>
      <c r="C1196" s="31" t="str">
        <f>VLOOKUP(irregulares[[#This Row],[Similar a]],padroes[],2,0)</f>
        <v>Abundante</v>
      </c>
      <c r="D1196" s="3"/>
    </row>
    <row r="1197" spans="1:4" x14ac:dyDescent="0.25">
      <c r="A1197" s="2" t="s">
        <v>4465</v>
      </c>
      <c r="B1197" s="2" t="s">
        <v>4465</v>
      </c>
      <c r="C1197" s="31" t="str">
        <f>VLOOKUP(irregulares[[#This Row],[Similar a]],padroes[],2,0)</f>
        <v>E-X-IR</v>
      </c>
      <c r="D1197" s="3"/>
    </row>
    <row r="1198" spans="1:4" x14ac:dyDescent="0.25">
      <c r="A1198" s="2" t="s">
        <v>4466</v>
      </c>
      <c r="B1198" s="2" t="s">
        <v>2805</v>
      </c>
      <c r="C1198" s="31" t="str">
        <f>VLOOKUP(irregulares[[#This Row],[Similar a]],padroes[],2,0)</f>
        <v>POLIR</v>
      </c>
      <c r="D1198" s="3"/>
    </row>
    <row r="1199" spans="1:4" x14ac:dyDescent="0.25">
      <c r="A1199" s="2" t="s">
        <v>4467</v>
      </c>
      <c r="B1199" s="2" t="s">
        <v>82</v>
      </c>
      <c r="C1199" s="31" t="str">
        <f>VLOOKUP(irregulares[[#This Row],[Similar a]],padroes[],2,0)</f>
        <v>UIR</v>
      </c>
      <c r="D1199" s="3"/>
    </row>
    <row r="1200" spans="1:4" x14ac:dyDescent="0.25">
      <c r="A1200" s="2" t="s">
        <v>4058</v>
      </c>
      <c r="B1200" s="2" t="s">
        <v>74</v>
      </c>
      <c r="C1200" s="31" t="str">
        <f>VLOOKUP(irregulares[[#This Row],[Similar a]],padroes[],2,0)</f>
        <v>GAR</v>
      </c>
      <c r="D1200" s="3"/>
    </row>
    <row r="1201" spans="1:4" x14ac:dyDescent="0.25">
      <c r="A1201" s="2" t="s">
        <v>4468</v>
      </c>
      <c r="B1201" s="2" t="s">
        <v>82</v>
      </c>
      <c r="C1201" s="31" t="str">
        <f>VLOOKUP(irregulares[[#This Row],[Similar a]],padroes[],2,0)</f>
        <v>UIR</v>
      </c>
      <c r="D1201" s="3"/>
    </row>
    <row r="1202" spans="1:4" x14ac:dyDescent="0.25">
      <c r="A1202" s="2" t="s">
        <v>4059</v>
      </c>
      <c r="B1202" s="2" t="s">
        <v>74</v>
      </c>
      <c r="C1202" s="31" t="str">
        <f>VLOOKUP(irregulares[[#This Row],[Similar a]],padroes[],2,0)</f>
        <v>GAR</v>
      </c>
      <c r="D1202" s="3"/>
    </row>
    <row r="1203" spans="1:4" x14ac:dyDescent="0.25">
      <c r="A1203" s="2" t="s">
        <v>4190</v>
      </c>
      <c r="B1203" s="2" t="s">
        <v>49</v>
      </c>
      <c r="C1203" s="31" t="str">
        <f>VLOOKUP(irregulares[[#This Row],[Similar a]],padroes[],2,0)</f>
        <v>OAR</v>
      </c>
      <c r="D1203" s="3"/>
    </row>
    <row r="1204" spans="1:4" x14ac:dyDescent="0.25">
      <c r="A1204" s="2" t="s">
        <v>3901</v>
      </c>
      <c r="B1204" s="2" t="s">
        <v>53</v>
      </c>
      <c r="C1204" s="31" t="str">
        <f>VLOOKUP(irregulares[[#This Row],[Similar a]],padroes[],2,0)</f>
        <v>EAR</v>
      </c>
      <c r="D1204" s="3"/>
    </row>
    <row r="1205" spans="1:4" x14ac:dyDescent="0.25">
      <c r="A1205" s="2" t="s">
        <v>4469</v>
      </c>
      <c r="B1205" s="2" t="s">
        <v>187</v>
      </c>
      <c r="C1205" s="31" t="str">
        <f>VLOOKUP(irregulares[[#This Row],[Similar a]],padroes[],2,0)</f>
        <v>AZER</v>
      </c>
      <c r="D1205" s="3"/>
    </row>
    <row r="1206" spans="1:4" x14ac:dyDescent="0.25">
      <c r="A1206" s="2" t="s">
        <v>4470</v>
      </c>
      <c r="B1206" s="2" t="s">
        <v>185</v>
      </c>
      <c r="C1206" s="31" t="str">
        <f>VLOOKUP(irregulares[[#This Row],[Similar a]],padroes[],2,0)</f>
        <v>Defectivo 2</v>
      </c>
      <c r="D1206" s="3"/>
    </row>
    <row r="1207" spans="1:4" x14ac:dyDescent="0.25">
      <c r="A1207" s="2" t="s">
        <v>4011</v>
      </c>
      <c r="B1207" s="2" t="s">
        <v>60</v>
      </c>
      <c r="C1207" s="31" t="str">
        <f>VLOOKUP(irregulares[[#This Row],[Similar a]],padroes[],2,0)</f>
        <v>GAR</v>
      </c>
      <c r="D1207" s="3"/>
    </row>
    <row r="1208" spans="1:4" x14ac:dyDescent="0.25">
      <c r="A1208" s="2" t="s">
        <v>4471</v>
      </c>
      <c r="B1208" s="2" t="s">
        <v>2873</v>
      </c>
      <c r="C1208" s="31" t="str">
        <f>VLOOKUP(irregulares[[#This Row],[Similar a]],padroes[],2,0)</f>
        <v>PREVENIR</v>
      </c>
      <c r="D1208" s="3"/>
    </row>
    <row r="1209" spans="1:4" x14ac:dyDescent="0.25">
      <c r="A1209" s="2" t="s">
        <v>4472</v>
      </c>
      <c r="B1209" s="2" t="s">
        <v>4472</v>
      </c>
      <c r="C1209" s="31" t="str">
        <f>VLOOKUP(irregulares[[#This Row],[Similar a]],padroes[],2,0)</f>
        <v>DESPROVER</v>
      </c>
      <c r="D1209" s="3"/>
    </row>
    <row r="1210" spans="1:4" x14ac:dyDescent="0.25">
      <c r="A1210" s="2" t="s">
        <v>4473</v>
      </c>
      <c r="B1210" s="2" t="s">
        <v>1359</v>
      </c>
      <c r="C1210" s="31" t="str">
        <f>VLOOKUP(irregulares[[#This Row],[Similar a]],padroes[],2,0)</f>
        <v>QUERER</v>
      </c>
      <c r="D1210" s="3"/>
    </row>
    <row r="1211" spans="1:4" x14ac:dyDescent="0.25">
      <c r="A1211" s="2" t="s">
        <v>4060</v>
      </c>
      <c r="B1211" s="2" t="s">
        <v>74</v>
      </c>
      <c r="C1211" s="31" t="str">
        <f>VLOOKUP(irregulares[[#This Row],[Similar a]],padroes[],2,0)</f>
        <v>GAR</v>
      </c>
      <c r="D1211" s="3"/>
    </row>
    <row r="1212" spans="1:4" x14ac:dyDescent="0.25">
      <c r="A1212" s="2" t="s">
        <v>4474</v>
      </c>
      <c r="B1212" s="2" t="s">
        <v>417</v>
      </c>
      <c r="C1212" s="31" t="str">
        <f>VLOOKUP(irregulares[[#This Row],[Similar a]],padroes[],2,0)</f>
        <v>IAR</v>
      </c>
      <c r="D1212" s="3"/>
    </row>
    <row r="1213" spans="1:4" x14ac:dyDescent="0.25">
      <c r="A1213" s="2" t="s">
        <v>4475</v>
      </c>
      <c r="B1213" s="2" t="s">
        <v>2069</v>
      </c>
      <c r="C1213" s="31" t="str">
        <f>VLOOKUP(irregulares[[#This Row],[Similar a]],padroes[],2,0)</f>
        <v>E-X-IR</v>
      </c>
      <c r="D1213" s="3"/>
    </row>
    <row r="1214" spans="1:4" x14ac:dyDescent="0.25">
      <c r="A1214" s="2" t="s">
        <v>4061</v>
      </c>
      <c r="B1214" s="2" t="s">
        <v>74</v>
      </c>
      <c r="C1214" s="31" t="str">
        <f>VLOOKUP(irregulares[[#This Row],[Similar a]],padroes[],2,0)</f>
        <v>GAR</v>
      </c>
      <c r="D1214" s="3"/>
    </row>
    <row r="1215" spans="1:4" x14ac:dyDescent="0.25">
      <c r="A1215" s="2" t="s">
        <v>4476</v>
      </c>
      <c r="B1215" s="2" t="s">
        <v>2249</v>
      </c>
      <c r="C1215" s="31" t="str">
        <f>VLOOKUP(irregulares[[#This Row],[Similar a]],padroes[],2,0)</f>
        <v>SABER</v>
      </c>
      <c r="D1215" s="3"/>
    </row>
    <row r="1216" spans="1:4" x14ac:dyDescent="0.25">
      <c r="A1216" s="2" t="s">
        <v>3902</v>
      </c>
      <c r="B1216" s="2" t="s">
        <v>53</v>
      </c>
      <c r="C1216" s="31" t="str">
        <f>VLOOKUP(irregulares[[#This Row],[Similar a]],padroes[],2,0)</f>
        <v>EAR</v>
      </c>
      <c r="D1216" s="3"/>
    </row>
    <row r="1217" spans="1:4" x14ac:dyDescent="0.25">
      <c r="A1217" s="2" t="s">
        <v>4062</v>
      </c>
      <c r="B1217" s="2" t="s">
        <v>74</v>
      </c>
      <c r="C1217" s="31" t="str">
        <f>VLOOKUP(irregulares[[#This Row],[Similar a]],padroes[],2,0)</f>
        <v>GAR</v>
      </c>
      <c r="D1217" s="3"/>
    </row>
    <row r="1218" spans="1:4" x14ac:dyDescent="0.25">
      <c r="A1218" s="2" t="s">
        <v>4191</v>
      </c>
      <c r="B1218" s="2" t="s">
        <v>49</v>
      </c>
      <c r="C1218" s="31" t="str">
        <f>VLOOKUP(irregulares[[#This Row],[Similar a]],padroes[],2,0)</f>
        <v>OAR</v>
      </c>
      <c r="D1218" s="3"/>
    </row>
    <row r="1219" spans="1:4" x14ac:dyDescent="0.25">
      <c r="A1219" s="2" t="s">
        <v>4477</v>
      </c>
      <c r="B1219" s="2" t="s">
        <v>47</v>
      </c>
      <c r="C1219" s="31" t="str">
        <f>VLOOKUP(irregulares[[#This Row],[Similar a]],padroes[],2,0)</f>
        <v>Ú-X-AR</v>
      </c>
      <c r="D1219" s="3"/>
    </row>
    <row r="1220" spans="1:4" x14ac:dyDescent="0.25">
      <c r="A1220" s="2" t="s">
        <v>4478</v>
      </c>
      <c r="B1220" s="2" t="s">
        <v>2303</v>
      </c>
      <c r="C1220" s="31" t="str">
        <f>VLOOKUP(irregulares[[#This Row],[Similar a]],padroes[],2,0)</f>
        <v>E-X-IR</v>
      </c>
      <c r="D1220" s="3"/>
    </row>
    <row r="1221" spans="1:4" x14ac:dyDescent="0.25">
      <c r="A1221" s="2" t="s">
        <v>4479</v>
      </c>
      <c r="B1221" s="2" t="s">
        <v>157</v>
      </c>
      <c r="C1221" s="31" t="str">
        <f>VLOOKUP(irregulares[[#This Row],[Similar a]],padroes[],2,0)</f>
        <v>ELHAR</v>
      </c>
      <c r="D1221" s="3"/>
    </row>
    <row r="1222" spans="1:4" x14ac:dyDescent="0.25">
      <c r="A1222" s="2" t="s">
        <v>4480</v>
      </c>
      <c r="B1222" s="2" t="s">
        <v>958</v>
      </c>
      <c r="C1222" s="31" t="str">
        <f>VLOOKUP(irregulares[[#This Row],[Similar a]],padroes[],2,0)</f>
        <v>SENTIR</v>
      </c>
      <c r="D1222" s="3"/>
    </row>
    <row r="1223" spans="1:4" x14ac:dyDescent="0.25">
      <c r="A1223" s="2" t="s">
        <v>4481</v>
      </c>
      <c r="B1223" s="2" t="s">
        <v>2322</v>
      </c>
      <c r="C1223" s="31" t="str">
        <f>VLOOKUP(irregulares[[#This Row],[Similar a]],padroes[],2,0)</f>
        <v>E-X-IR</v>
      </c>
      <c r="D1223" s="3"/>
    </row>
    <row r="1224" spans="1:4" x14ac:dyDescent="0.25">
      <c r="A1224" s="2" t="s">
        <v>4192</v>
      </c>
      <c r="B1224" s="2" t="s">
        <v>49</v>
      </c>
      <c r="C1224" s="31" t="str">
        <f>VLOOKUP(irregulares[[#This Row],[Similar a]],padroes[],2,0)</f>
        <v>OAR</v>
      </c>
      <c r="D1224" s="3"/>
    </row>
    <row r="1225" spans="1:4" x14ac:dyDescent="0.25">
      <c r="A1225" s="2" t="s">
        <v>3903</v>
      </c>
      <c r="B1225" s="2" t="s">
        <v>53</v>
      </c>
      <c r="C1225" s="31" t="str">
        <f>VLOOKUP(irregulares[[#This Row],[Similar a]],padroes[],2,0)</f>
        <v>EAR</v>
      </c>
      <c r="D1225" s="3"/>
    </row>
    <row r="1226" spans="1:4" x14ac:dyDescent="0.25">
      <c r="A1226" s="2" t="s">
        <v>4012</v>
      </c>
      <c r="B1226" s="2" t="s">
        <v>60</v>
      </c>
      <c r="C1226" s="31" t="str">
        <f>VLOOKUP(irregulares[[#This Row],[Similar a]],padroes[],2,0)</f>
        <v>GAR</v>
      </c>
      <c r="D1226" s="3"/>
    </row>
    <row r="1227" spans="1:4" x14ac:dyDescent="0.25">
      <c r="A1227" s="2" t="s">
        <v>4063</v>
      </c>
      <c r="B1227" s="2" t="s">
        <v>74</v>
      </c>
      <c r="C1227" s="31" t="str">
        <f>VLOOKUP(irregulares[[#This Row],[Similar a]],padroes[],2,0)</f>
        <v>GAR</v>
      </c>
      <c r="D1227" s="3"/>
    </row>
    <row r="1228" spans="1:4" x14ac:dyDescent="0.25">
      <c r="A1228" s="2" t="s">
        <v>4482</v>
      </c>
      <c r="B1228" s="2" t="s">
        <v>2440</v>
      </c>
      <c r="C1228" s="31" t="str">
        <f>VLOOKUP(irregulares[[#This Row],[Similar a]],padroes[],2,0)</f>
        <v>SUMIR</v>
      </c>
      <c r="D1228" s="3"/>
    </row>
    <row r="1229" spans="1:4" x14ac:dyDescent="0.25">
      <c r="A1229" s="2" t="s">
        <v>4064</v>
      </c>
      <c r="B1229" s="2" t="s">
        <v>74</v>
      </c>
      <c r="C1229" s="31" t="str">
        <f>VLOOKUP(irregulares[[#This Row],[Similar a]],padroes[],2,0)</f>
        <v>GAR</v>
      </c>
      <c r="D1229" s="3"/>
    </row>
    <row r="1230" spans="1:4" x14ac:dyDescent="0.25">
      <c r="A1230" s="2" t="s">
        <v>3904</v>
      </c>
      <c r="B1230" s="2" t="s">
        <v>53</v>
      </c>
      <c r="C1230" s="31" t="str">
        <f>VLOOKUP(irregulares[[#This Row],[Similar a]],padroes[],2,0)</f>
        <v>EAR</v>
      </c>
      <c r="D1230" s="3"/>
    </row>
    <row r="1231" spans="1:4" x14ac:dyDescent="0.25">
      <c r="A1231" s="2" t="s">
        <v>4279</v>
      </c>
      <c r="B1231" s="2" t="s">
        <v>63</v>
      </c>
      <c r="C1231" s="31" t="str">
        <f>VLOOKUP(irregulares[[#This Row],[Similar a]],padroes[],2,0)</f>
        <v>CER</v>
      </c>
      <c r="D1231" s="3"/>
    </row>
    <row r="1232" spans="1:4" x14ac:dyDescent="0.25">
      <c r="A1232" s="2" t="s">
        <v>4483</v>
      </c>
      <c r="B1232" s="2" t="s">
        <v>157</v>
      </c>
      <c r="C1232" s="31" t="str">
        <f>VLOOKUP(irregulares[[#This Row],[Similar a]],padroes[],2,0)</f>
        <v>ELHAR</v>
      </c>
      <c r="D1232" s="3"/>
    </row>
    <row r="1233" spans="1:4" x14ac:dyDescent="0.25">
      <c r="A1233" s="2" t="s">
        <v>4193</v>
      </c>
      <c r="B1233" s="2" t="s">
        <v>49</v>
      </c>
      <c r="C1233" s="31" t="str">
        <f>VLOOKUP(irregulares[[#This Row],[Similar a]],padroes[],2,0)</f>
        <v>OAR</v>
      </c>
      <c r="D1233" s="3"/>
    </row>
    <row r="1234" spans="1:4" x14ac:dyDescent="0.25">
      <c r="A1234" s="2" t="s">
        <v>4484</v>
      </c>
      <c r="B1234" s="2" t="s">
        <v>154</v>
      </c>
      <c r="C1234" s="31" t="str">
        <f>VLOOKUP(irregulares[[#This Row],[Similar a]],padroes[],2,0)</f>
        <v>GIR</v>
      </c>
      <c r="D1234" s="3"/>
    </row>
    <row r="1235" spans="1:4" x14ac:dyDescent="0.25">
      <c r="A1235" s="2" t="s">
        <v>4485</v>
      </c>
      <c r="B1235" s="2" t="s">
        <v>82</v>
      </c>
      <c r="C1235" s="31" t="str">
        <f>VLOOKUP(irregulares[[#This Row],[Similar a]],padroes[],2,0)</f>
        <v>UIR</v>
      </c>
      <c r="D1235" s="3"/>
    </row>
    <row r="1236" spans="1:4" x14ac:dyDescent="0.25">
      <c r="A1236" s="2" t="s">
        <v>4194</v>
      </c>
      <c r="B1236" s="2" t="s">
        <v>49</v>
      </c>
      <c r="C1236" s="31" t="str">
        <f>VLOOKUP(irregulares[[#This Row],[Similar a]],padroes[],2,0)</f>
        <v>OAR</v>
      </c>
      <c r="D1236" s="3"/>
    </row>
    <row r="1237" spans="1:4" x14ac:dyDescent="0.25">
      <c r="A1237" s="2" t="s">
        <v>4280</v>
      </c>
      <c r="B1237" s="2" t="s">
        <v>63</v>
      </c>
      <c r="C1237" s="31" t="str">
        <f>VLOOKUP(irregulares[[#This Row],[Similar a]],padroes[],2,0)</f>
        <v>CER</v>
      </c>
      <c r="D1237" s="3"/>
    </row>
    <row r="1238" spans="1:4" x14ac:dyDescent="0.25">
      <c r="A1238" s="2" t="s">
        <v>3905</v>
      </c>
      <c r="B1238" s="2" t="s">
        <v>53</v>
      </c>
      <c r="C1238" s="31" t="str">
        <f>VLOOKUP(irregulares[[#This Row],[Similar a]],padroes[],2,0)</f>
        <v>EAR</v>
      </c>
      <c r="D1238" s="3"/>
    </row>
    <row r="1239" spans="1:4" x14ac:dyDescent="0.25">
      <c r="A1239" s="2" t="s">
        <v>4486</v>
      </c>
      <c r="B1239" s="2" t="s">
        <v>63</v>
      </c>
      <c r="C1239" s="31" t="str">
        <f>VLOOKUP(irregulares[[#This Row],[Similar a]],padroes[],2,0)</f>
        <v>CER</v>
      </c>
      <c r="D1239" s="3"/>
    </row>
    <row r="1240" spans="1:4" x14ac:dyDescent="0.25">
      <c r="A1240" s="2" t="s">
        <v>4195</v>
      </c>
      <c r="B1240" s="2" t="s">
        <v>49</v>
      </c>
      <c r="C1240" s="31" t="str">
        <f>VLOOKUP(irregulares[[#This Row],[Similar a]],padroes[],2,0)</f>
        <v>OAR</v>
      </c>
      <c r="D1240" s="3"/>
    </row>
    <row r="1241" spans="1:4" x14ac:dyDescent="0.25">
      <c r="A1241" s="2" t="s">
        <v>4487</v>
      </c>
      <c r="B1241" s="2" t="s">
        <v>157</v>
      </c>
      <c r="C1241" s="31" t="str">
        <f>VLOOKUP(irregulares[[#This Row],[Similar a]],padroes[],2,0)</f>
        <v>ELHAR</v>
      </c>
      <c r="D1241" s="3"/>
    </row>
    <row r="1242" spans="1:4" x14ac:dyDescent="0.25">
      <c r="A1242" s="2" t="s">
        <v>4281</v>
      </c>
      <c r="B1242" s="2" t="s">
        <v>63</v>
      </c>
      <c r="C1242" s="31" t="str">
        <f>VLOOKUP(irregulares[[#This Row],[Similar a]],padroes[],2,0)</f>
        <v>CER</v>
      </c>
      <c r="D1242" s="3"/>
    </row>
    <row r="1243" spans="1:4" x14ac:dyDescent="0.25">
      <c r="A1243" s="2" t="s">
        <v>4488</v>
      </c>
      <c r="B1243" s="2" t="s">
        <v>82</v>
      </c>
      <c r="C1243" s="31" t="str">
        <f>VLOOKUP(irregulares[[#This Row],[Similar a]],padroes[],2,0)</f>
        <v>UIR</v>
      </c>
      <c r="D1243" s="3"/>
    </row>
    <row r="1244" spans="1:4" x14ac:dyDescent="0.25">
      <c r="A1244" s="2" t="s">
        <v>4282</v>
      </c>
      <c r="B1244" s="2" t="s">
        <v>63</v>
      </c>
      <c r="C1244" s="31" t="str">
        <f>VLOOKUP(irregulares[[#This Row],[Similar a]],padroes[],2,0)</f>
        <v>CER</v>
      </c>
      <c r="D1244" s="3"/>
    </row>
    <row r="1245" spans="1:4" x14ac:dyDescent="0.25">
      <c r="A1245" s="2" t="s">
        <v>4489</v>
      </c>
      <c r="B1245" s="2" t="s">
        <v>988</v>
      </c>
      <c r="C1245" s="31" t="str">
        <f>VLOOKUP(irregulares[[#This Row],[Similar a]],padroes[],2,0)</f>
        <v>AIR</v>
      </c>
      <c r="D1245" s="3"/>
    </row>
    <row r="1246" spans="1:4" x14ac:dyDescent="0.25">
      <c r="A1246" s="2" t="s">
        <v>4490</v>
      </c>
      <c r="B1246" s="2" t="s">
        <v>1281</v>
      </c>
      <c r="C1246" s="31" t="str">
        <f>VLOOKUP(irregulares[[#This Row],[Similar a]],padroes[],2,0)</f>
        <v>VALER</v>
      </c>
      <c r="D1246" s="3"/>
    </row>
    <row r="1247" spans="1:4" x14ac:dyDescent="0.25">
      <c r="A1247" s="2" t="s">
        <v>4283</v>
      </c>
      <c r="B1247" s="2" t="s">
        <v>63</v>
      </c>
      <c r="C1247" s="31" t="str">
        <f>VLOOKUP(irregulares[[#This Row],[Similar a]],padroes[],2,0)</f>
        <v>CER</v>
      </c>
      <c r="D1247" s="3"/>
    </row>
    <row r="1248" spans="1:4" x14ac:dyDescent="0.25">
      <c r="A1248" s="2" t="s">
        <v>4131</v>
      </c>
      <c r="B1248" s="2" t="s">
        <v>55</v>
      </c>
      <c r="C1248" s="31" t="str">
        <f>VLOOKUP(irregulares[[#This Row],[Similar a]],padroes[],2,0)</f>
        <v>EJAR ô</v>
      </c>
      <c r="D1248" s="3"/>
    </row>
    <row r="1249" spans="1:4" x14ac:dyDescent="0.25">
      <c r="A1249" s="2" t="s">
        <v>4284</v>
      </c>
      <c r="B1249" s="2" t="s">
        <v>63</v>
      </c>
      <c r="C1249" s="31" t="str">
        <f>VLOOKUP(irregulares[[#This Row],[Similar a]],padroes[],2,0)</f>
        <v>CER</v>
      </c>
      <c r="D1249" s="3"/>
    </row>
    <row r="1250" spans="1:4" x14ac:dyDescent="0.25">
      <c r="A1250" s="2" t="s">
        <v>4491</v>
      </c>
      <c r="B1250" s="2" t="s">
        <v>2069</v>
      </c>
      <c r="C1250" s="31" t="str">
        <f>VLOOKUP(irregulares[[#This Row],[Similar a]],padroes[],2,0)</f>
        <v>E-X-IR</v>
      </c>
      <c r="D1250" s="3"/>
    </row>
    <row r="1251" spans="1:4" x14ac:dyDescent="0.25">
      <c r="A1251" s="2" t="s">
        <v>4065</v>
      </c>
      <c r="B1251" s="2" t="s">
        <v>74</v>
      </c>
      <c r="C1251" s="31" t="str">
        <f>VLOOKUP(irregulares[[#This Row],[Similar a]],padroes[],2,0)</f>
        <v>GAR</v>
      </c>
      <c r="D1251" s="3"/>
    </row>
    <row r="1252" spans="1:4" x14ac:dyDescent="0.25">
      <c r="A1252" s="2" t="s">
        <v>4066</v>
      </c>
      <c r="B1252" s="2" t="s">
        <v>74</v>
      </c>
      <c r="C1252" s="31" t="str">
        <f>VLOOKUP(irregulares[[#This Row],[Similar a]],padroes[],2,0)</f>
        <v>GAR</v>
      </c>
      <c r="D1252" s="3"/>
    </row>
    <row r="1253" spans="1:4" x14ac:dyDescent="0.25">
      <c r="A1253" s="2" t="s">
        <v>4067</v>
      </c>
      <c r="B1253" s="2" t="s">
        <v>74</v>
      </c>
      <c r="C1253" s="31" t="str">
        <f>VLOOKUP(irregulares[[#This Row],[Similar a]],padroes[],2,0)</f>
        <v>GAR</v>
      </c>
      <c r="D1253" s="3"/>
    </row>
    <row r="1254" spans="1:4" x14ac:dyDescent="0.25">
      <c r="A1254" s="2" t="s">
        <v>2243</v>
      </c>
      <c r="B1254" s="2" t="s">
        <v>2243</v>
      </c>
      <c r="C1254" s="31" t="str">
        <f>VLOOKUP(irregulares[[#This Row],[Similar a]],padroes[],2,0)</f>
        <v>X-TER</v>
      </c>
      <c r="D1254" s="3"/>
    </row>
    <row r="1255" spans="1:4" x14ac:dyDescent="0.25">
      <c r="A1255" s="2" t="s">
        <v>4492</v>
      </c>
      <c r="B1255" s="2" t="s">
        <v>1444</v>
      </c>
      <c r="C1255" s="31" t="str">
        <f>VLOOKUP(irregulares[[#This Row],[Similar a]],padroes[],2,0)</f>
        <v>Defectivo 3</v>
      </c>
      <c r="D1255" s="3"/>
    </row>
    <row r="1256" spans="1:4" x14ac:dyDescent="0.25">
      <c r="A1256" s="2" t="s">
        <v>4493</v>
      </c>
      <c r="B1256" s="2" t="s">
        <v>988</v>
      </c>
      <c r="C1256" s="31" t="str">
        <f>VLOOKUP(irregulares[[#This Row],[Similar a]],padroes[],2,0)</f>
        <v>AIR</v>
      </c>
      <c r="D1256" s="3"/>
    </row>
    <row r="1257" spans="1:4" x14ac:dyDescent="0.25">
      <c r="A1257" s="2" t="s">
        <v>3906</v>
      </c>
      <c r="B1257" s="2" t="s">
        <v>53</v>
      </c>
      <c r="C1257" s="31" t="str">
        <f>VLOOKUP(irregulares[[#This Row],[Similar a]],padroes[],2,0)</f>
        <v>EAR</v>
      </c>
      <c r="D1257" s="3"/>
    </row>
    <row r="1258" spans="1:4" x14ac:dyDescent="0.25">
      <c r="A1258" s="2" t="s">
        <v>4494</v>
      </c>
      <c r="B1258" s="2" t="s">
        <v>3254</v>
      </c>
      <c r="C1258" s="31" t="str">
        <f>VLOOKUP(irregulares[[#This Row],[Similar a]],padroes[],2,0)</f>
        <v>defectivo 3</v>
      </c>
      <c r="D1258" s="3"/>
    </row>
    <row r="1259" spans="1:4" x14ac:dyDescent="0.25">
      <c r="A1259" s="2" t="s">
        <v>4495</v>
      </c>
      <c r="B1259" s="2" t="s">
        <v>247</v>
      </c>
      <c r="C1259" s="31" t="str">
        <f>VLOOKUP(irregulares[[#This Row],[Similar a]],padroes[],2,0)</f>
        <v>VIR</v>
      </c>
      <c r="D1259" s="3"/>
    </row>
    <row r="1260" spans="1:4" x14ac:dyDescent="0.25">
      <c r="A1260" s="2" t="s">
        <v>4068</v>
      </c>
      <c r="B1260" s="2" t="s">
        <v>74</v>
      </c>
      <c r="C1260" s="31" t="str">
        <f>VLOOKUP(irregulares[[#This Row],[Similar a]],padroes[],2,0)</f>
        <v>GAR</v>
      </c>
      <c r="D1260" s="3"/>
    </row>
    <row r="1261" spans="1:4" x14ac:dyDescent="0.25">
      <c r="A1261" s="2" t="s">
        <v>4069</v>
      </c>
      <c r="B1261" s="2" t="s">
        <v>74</v>
      </c>
      <c r="C1261" s="31" t="str">
        <f>VLOOKUP(irregulares[[#This Row],[Similar a]],padroes[],2,0)</f>
        <v>GAR</v>
      </c>
      <c r="D1261" s="3"/>
    </row>
    <row r="1262" spans="1:4" x14ac:dyDescent="0.25">
      <c r="A1262" s="2" t="s">
        <v>4496</v>
      </c>
      <c r="B1262" s="2" t="s">
        <v>183</v>
      </c>
      <c r="C1262" s="31" t="str">
        <f>VLOOKUP(irregulares[[#This Row],[Similar a]],padroes[],2,0)</f>
        <v>E-X-IR</v>
      </c>
      <c r="D1262" s="3"/>
    </row>
    <row r="1263" spans="1:4" x14ac:dyDescent="0.25">
      <c r="A1263" s="2" t="s">
        <v>4497</v>
      </c>
      <c r="B1263" s="2" t="s">
        <v>82</v>
      </c>
      <c r="C1263" s="31" t="str">
        <f>VLOOKUP(irregulares[[#This Row],[Similar a]],padroes[],2,0)</f>
        <v>UIR</v>
      </c>
      <c r="D1263" s="3"/>
    </row>
    <row r="1264" spans="1:4" x14ac:dyDescent="0.25">
      <c r="A1264" s="2" t="s">
        <v>4498</v>
      </c>
      <c r="B1264" s="2" t="s">
        <v>183</v>
      </c>
      <c r="C1264" s="31" t="str">
        <f>VLOOKUP(irregulares[[#This Row],[Similar a]],padroes[],2,0)</f>
        <v>E-X-IR</v>
      </c>
      <c r="D1264" s="3"/>
    </row>
    <row r="1265" spans="1:4" x14ac:dyDescent="0.25">
      <c r="A1265" s="2" t="s">
        <v>4499</v>
      </c>
      <c r="B1265" s="2" t="s">
        <v>2069</v>
      </c>
      <c r="C1265" s="31" t="str">
        <f>VLOOKUP(irregulares[[#This Row],[Similar a]],padroes[],2,0)</f>
        <v>E-X-IR</v>
      </c>
      <c r="D1265" s="3"/>
    </row>
    <row r="1266" spans="1:4" x14ac:dyDescent="0.25">
      <c r="A1266" s="2" t="s">
        <v>4500</v>
      </c>
      <c r="B1266" s="2" t="s">
        <v>82</v>
      </c>
      <c r="C1266" s="31" t="str">
        <f>VLOOKUP(irregulares[[#This Row],[Similar a]],padroes[],2,0)</f>
        <v>UIR</v>
      </c>
      <c r="D1266" s="3"/>
    </row>
    <row r="1267" spans="1:4" x14ac:dyDescent="0.25">
      <c r="A1267" s="2" t="s">
        <v>4501</v>
      </c>
      <c r="B1267" s="2" t="s">
        <v>82</v>
      </c>
      <c r="C1267" s="31" t="str">
        <f>VLOOKUP(irregulares[[#This Row],[Similar a]],padroes[],2,0)</f>
        <v>UIR</v>
      </c>
      <c r="D1267" s="3"/>
    </row>
    <row r="1268" spans="1:4" x14ac:dyDescent="0.25">
      <c r="A1268" s="2" t="s">
        <v>154</v>
      </c>
      <c r="B1268" s="2" t="s">
        <v>154</v>
      </c>
      <c r="C1268" s="2" t="str">
        <f>VLOOKUP(irregulares[[#This Row],[Similar a]],padroes[],2,0)</f>
        <v>GIR</v>
      </c>
      <c r="D1268" s="3"/>
    </row>
    <row r="1269" spans="1:4" x14ac:dyDescent="0.25">
      <c r="A1269" s="2" t="s">
        <v>4502</v>
      </c>
      <c r="B1269" s="2" t="s">
        <v>82</v>
      </c>
      <c r="C1269" s="31" t="str">
        <f>VLOOKUP(irregulares[[#This Row],[Similar a]],padroes[],2,0)</f>
        <v>UIR</v>
      </c>
      <c r="D1269" s="3"/>
    </row>
    <row r="1270" spans="1:4" x14ac:dyDescent="0.25">
      <c r="A1270" s="2" t="s">
        <v>3908</v>
      </c>
      <c r="B1270" s="2" t="s">
        <v>53</v>
      </c>
      <c r="C1270" s="31" t="str">
        <f>VLOOKUP(irregulares[[#This Row],[Similar a]],padroes[],2,0)</f>
        <v>EAR</v>
      </c>
      <c r="D1270" s="3"/>
    </row>
    <row r="1271" spans="1:4" x14ac:dyDescent="0.25">
      <c r="A1271" s="2" t="s">
        <v>4503</v>
      </c>
      <c r="B1271" s="2" t="s">
        <v>3222</v>
      </c>
      <c r="C1271" s="31" t="str">
        <f>VLOOKUP(irregulares[[#This Row],[Similar a]],padroes[],2,0)</f>
        <v>E-X-IR</v>
      </c>
      <c r="D1271" s="3"/>
    </row>
    <row r="1272" spans="1:4" x14ac:dyDescent="0.25">
      <c r="A1272" s="2" t="s">
        <v>3907</v>
      </c>
      <c r="B1272" s="2" t="s">
        <v>53</v>
      </c>
      <c r="C1272" s="31" t="str">
        <f>VLOOKUP(irregulares[[#This Row],[Similar a]],padroes[],2,0)</f>
        <v>EAR</v>
      </c>
      <c r="D1272" s="3"/>
    </row>
    <row r="1273" spans="1:4" x14ac:dyDescent="0.25">
      <c r="A1273" s="2" t="s">
        <v>4504</v>
      </c>
      <c r="B1273" s="2" t="s">
        <v>183</v>
      </c>
      <c r="C1273" s="31" t="str">
        <f>VLOOKUP(irregulares[[#This Row],[Similar a]],padroes[],2,0)</f>
        <v>E-X-IR</v>
      </c>
      <c r="D1273" s="3"/>
    </row>
    <row r="1274" spans="1:4" x14ac:dyDescent="0.25">
      <c r="A1274" s="2" t="s">
        <v>4505</v>
      </c>
      <c r="B1274" s="2" t="s">
        <v>1717</v>
      </c>
      <c r="C1274" s="31" t="str">
        <f>VLOOKUP(irregulares[[#This Row],[Similar a]],padroes[],2,0)</f>
        <v>Defectivo 1</v>
      </c>
      <c r="D1274" s="3"/>
    </row>
    <row r="1275" spans="1:4" x14ac:dyDescent="0.25">
      <c r="A1275" s="2" t="s">
        <v>4506</v>
      </c>
      <c r="B1275" s="2" t="s">
        <v>2706</v>
      </c>
      <c r="C1275" s="31" t="str">
        <f>VLOOKUP(irregulares[[#This Row],[Similar a]],padroes[],2,0)</f>
        <v>PERDER</v>
      </c>
      <c r="D1275" s="3"/>
    </row>
    <row r="1276" spans="1:4" x14ac:dyDescent="0.25">
      <c r="A1276" s="2" t="s">
        <v>4507</v>
      </c>
      <c r="B1276" s="2" t="s">
        <v>267</v>
      </c>
      <c r="C1276" s="31" t="str">
        <f>VLOOKUP(irregulares[[#This Row],[Similar a]],padroes[],2,0)</f>
        <v>POR</v>
      </c>
      <c r="D1276" s="3"/>
    </row>
    <row r="1277" spans="1:4" x14ac:dyDescent="0.25">
      <c r="A1277" s="2" t="s">
        <v>4508</v>
      </c>
      <c r="B1277" s="2" t="s">
        <v>958</v>
      </c>
      <c r="C1277" s="31" t="str">
        <f>VLOOKUP(irregulares[[#This Row],[Similar a]],padroes[],2,0)</f>
        <v>SENTIR</v>
      </c>
      <c r="D1277" s="3"/>
    </row>
    <row r="1278" spans="1:4" x14ac:dyDescent="0.25">
      <c r="A1278" s="2" t="s">
        <v>4509</v>
      </c>
      <c r="B1278" s="2" t="s">
        <v>3834</v>
      </c>
      <c r="C1278" s="31" t="str">
        <f>VLOOKUP(irregulares[[#This Row],[Similar a]],padroes[],2,0)</f>
        <v>EXTINGUIR</v>
      </c>
      <c r="D1278" s="3"/>
    </row>
    <row r="1279" spans="1:4" x14ac:dyDescent="0.25">
      <c r="A1279" s="2" t="s">
        <v>4285</v>
      </c>
      <c r="B1279" s="2" t="s">
        <v>63</v>
      </c>
      <c r="C1279" s="31" t="str">
        <f>VLOOKUP(irregulares[[#This Row],[Similar a]],padroes[],2,0)</f>
        <v>CER</v>
      </c>
      <c r="D1279" s="3"/>
    </row>
    <row r="1280" spans="1:4" x14ac:dyDescent="0.25">
      <c r="A1280" s="2" t="s">
        <v>4510</v>
      </c>
      <c r="B1280" s="2" t="s">
        <v>988</v>
      </c>
      <c r="C1280" s="31" t="str">
        <f>VLOOKUP(irregulares[[#This Row],[Similar a]],padroes[],2,0)</f>
        <v>AIR</v>
      </c>
      <c r="D1280" s="3"/>
    </row>
    <row r="1281" spans="1:4" x14ac:dyDescent="0.25">
      <c r="A1281" s="2" t="s">
        <v>4070</v>
      </c>
      <c r="B1281" s="2" t="s">
        <v>74</v>
      </c>
      <c r="C1281" s="31" t="str">
        <f>VLOOKUP(irregulares[[#This Row],[Similar a]],padroes[],2,0)</f>
        <v>GAR</v>
      </c>
      <c r="D1281" s="3"/>
    </row>
    <row r="1282" spans="1:4" x14ac:dyDescent="0.25">
      <c r="A1282" s="2" t="s">
        <v>4071</v>
      </c>
      <c r="B1282" s="2" t="s">
        <v>74</v>
      </c>
      <c r="C1282" s="31" t="str">
        <f>VLOOKUP(irregulares[[#This Row],[Similar a]],padroes[],2,0)</f>
        <v>GAR</v>
      </c>
      <c r="D1282" s="3"/>
    </row>
    <row r="1283" spans="1:4" x14ac:dyDescent="0.25">
      <c r="A1283" s="2" t="s">
        <v>4511</v>
      </c>
      <c r="B1283" s="2" t="s">
        <v>950</v>
      </c>
      <c r="C1283" s="31" t="str">
        <f>VLOOKUP(irregulares[[#This Row],[Similar a]],padroes[],2,0)</f>
        <v>E-X-IR</v>
      </c>
      <c r="D1283" s="3"/>
    </row>
    <row r="1284" spans="1:4" x14ac:dyDescent="0.25">
      <c r="A1284" s="2" t="s">
        <v>4512</v>
      </c>
      <c r="B1284" s="2" t="s">
        <v>200</v>
      </c>
      <c r="C1284" s="31" t="str">
        <f>VLOOKUP(irregulares[[#This Row],[Similar a]],padroes[],2,0)</f>
        <v>E-X-IR</v>
      </c>
      <c r="D1284" s="3"/>
    </row>
    <row r="1285" spans="1:4" x14ac:dyDescent="0.25">
      <c r="A1285" s="2" t="s">
        <v>419</v>
      </c>
      <c r="B1285" s="2" t="s">
        <v>419</v>
      </c>
      <c r="C1285" s="31" t="str">
        <f>VLOOKUP(irregulares[[#This Row],[Similar a]],padroes[],2,0)</f>
        <v>DIZER</v>
      </c>
      <c r="D1285" s="3"/>
    </row>
    <row r="1286" spans="1:4" x14ac:dyDescent="0.25">
      <c r="A1286" s="2" t="s">
        <v>4196</v>
      </c>
      <c r="B1286" s="2" t="s">
        <v>49</v>
      </c>
      <c r="C1286" s="31" t="str">
        <f>VLOOKUP(irregulares[[#This Row],[Similar a]],padroes[],2,0)</f>
        <v>OAR</v>
      </c>
      <c r="D1286" s="3"/>
    </row>
    <row r="1287" spans="1:4" x14ac:dyDescent="0.25">
      <c r="A1287" s="2" t="s">
        <v>3259</v>
      </c>
      <c r="B1287" s="2" t="s">
        <v>3259</v>
      </c>
      <c r="C1287" s="31" t="str">
        <f>VLOOKUP(irregulares[[#This Row],[Similar a]],padroes[],2,0)</f>
        <v>OER</v>
      </c>
      <c r="D1287" s="3"/>
    </row>
    <row r="1288" spans="1:4" x14ac:dyDescent="0.25">
      <c r="A1288" s="2" t="s">
        <v>4132</v>
      </c>
      <c r="B1288" s="2" t="s">
        <v>55</v>
      </c>
      <c r="C1288" s="31" t="str">
        <f>VLOOKUP(irregulares[[#This Row],[Similar a]],padroes[],2,0)</f>
        <v>EJAR ô</v>
      </c>
      <c r="D1288" s="3"/>
    </row>
    <row r="1289" spans="1:4" x14ac:dyDescent="0.25">
      <c r="A1289" s="2" t="s">
        <v>3909</v>
      </c>
      <c r="B1289" s="2" t="s">
        <v>53</v>
      </c>
      <c r="C1289" s="31" t="str">
        <f>VLOOKUP(irregulares[[#This Row],[Similar a]],padroes[],2,0)</f>
        <v>EAR</v>
      </c>
      <c r="D1289" s="3"/>
    </row>
    <row r="1290" spans="1:4" x14ac:dyDescent="0.25">
      <c r="A1290" s="2" t="s">
        <v>4513</v>
      </c>
      <c r="B1290" s="2" t="s">
        <v>4513</v>
      </c>
      <c r="C1290" s="31" t="str">
        <f>VLOOKUP(irregulares[[#This Row],[Similar a]],padroes[],2,0)</f>
        <v>DORMIR</v>
      </c>
      <c r="D1290" s="3"/>
    </row>
    <row r="1291" spans="1:4" x14ac:dyDescent="0.25">
      <c r="A1291" s="2" t="s">
        <v>3910</v>
      </c>
      <c r="B1291" s="2" t="s">
        <v>53</v>
      </c>
      <c r="C1291" s="31" t="str">
        <f>VLOOKUP(irregulares[[#This Row],[Similar a]],padroes[],2,0)</f>
        <v>EAR</v>
      </c>
      <c r="D1291" s="3"/>
    </row>
    <row r="1292" spans="1:4" x14ac:dyDescent="0.25">
      <c r="A1292" s="2" t="s">
        <v>4133</v>
      </c>
      <c r="B1292" s="2" t="s">
        <v>55</v>
      </c>
      <c r="C1292" s="31" t="str">
        <f>VLOOKUP(irregulares[[#This Row],[Similar a]],padroes[],2,0)</f>
        <v>EJAR ô</v>
      </c>
      <c r="D1292" s="3"/>
    </row>
    <row r="1293" spans="1:4" x14ac:dyDescent="0.25">
      <c r="A1293" s="2" t="s">
        <v>4072</v>
      </c>
      <c r="B1293" s="2" t="s">
        <v>74</v>
      </c>
      <c r="C1293" s="31" t="str">
        <f>VLOOKUP(irregulares[[#This Row],[Similar a]],padroes[],2,0)</f>
        <v>GAR</v>
      </c>
      <c r="D1293" s="3"/>
    </row>
    <row r="1294" spans="1:4" x14ac:dyDescent="0.25">
      <c r="A1294" s="2" t="s">
        <v>3911</v>
      </c>
      <c r="B1294" s="2" t="s">
        <v>53</v>
      </c>
      <c r="C1294" s="31" t="str">
        <f>VLOOKUP(irregulares[[#This Row],[Similar a]],padroes[],2,0)</f>
        <v>EAR</v>
      </c>
      <c r="D1294" s="3"/>
    </row>
    <row r="1295" spans="1:4" x14ac:dyDescent="0.25">
      <c r="A1295" s="2" t="s">
        <v>4134</v>
      </c>
      <c r="B1295" s="2" t="s">
        <v>55</v>
      </c>
      <c r="C1295" s="31" t="str">
        <f>VLOOKUP(irregulares[[#This Row],[Similar a]],padroes[],2,0)</f>
        <v>EJAR ô</v>
      </c>
      <c r="D1295" s="3"/>
    </row>
    <row r="1296" spans="1:4" x14ac:dyDescent="0.25">
      <c r="A1296" s="2" t="s">
        <v>4073</v>
      </c>
      <c r="B1296" s="2" t="s">
        <v>74</v>
      </c>
      <c r="C1296" s="31" t="str">
        <f>VLOOKUP(irregulares[[#This Row],[Similar a]],padroes[],2,0)</f>
        <v>GAR</v>
      </c>
      <c r="D1296" s="3"/>
    </row>
    <row r="1297" spans="1:4" x14ac:dyDescent="0.25">
      <c r="A1297" s="2" t="s">
        <v>4008</v>
      </c>
      <c r="B1297" s="2" t="s">
        <v>60</v>
      </c>
      <c r="C1297" s="31" t="str">
        <f>VLOOKUP(irregulares[[#This Row],[Similar a]],padroes[],2,0)</f>
        <v>GAR</v>
      </c>
      <c r="D1297" s="3"/>
    </row>
    <row r="1298" spans="1:4" x14ac:dyDescent="0.25">
      <c r="A1298" s="2" t="s">
        <v>4532</v>
      </c>
      <c r="B1298" s="2" t="s">
        <v>1717</v>
      </c>
      <c r="C1298" s="31" t="str">
        <f>VLOOKUP(irregulares[[#This Row],[Similar a]],padroes[],2,0)</f>
        <v>Defectivo 1</v>
      </c>
      <c r="D1298" s="3"/>
    </row>
    <row r="1299" spans="1:4" x14ac:dyDescent="0.25">
      <c r="A1299" s="2" t="s">
        <v>4533</v>
      </c>
      <c r="B1299" s="2" t="s">
        <v>1542</v>
      </c>
      <c r="C1299" s="31" t="str">
        <f>VLOOKUP(irregulares[[#This Row],[Similar a]],padroes[],2,0)</f>
        <v>Defectivo 3</v>
      </c>
      <c r="D1299" s="3"/>
    </row>
    <row r="1300" spans="1:4" x14ac:dyDescent="0.25">
      <c r="A1300" s="2" t="s">
        <v>4198</v>
      </c>
      <c r="B1300" s="2" t="s">
        <v>49</v>
      </c>
      <c r="C1300" s="31" t="str">
        <f>VLOOKUP(irregulares[[#This Row],[Similar a]],padroes[],2,0)</f>
        <v>OAR</v>
      </c>
      <c r="D1300" s="3"/>
    </row>
    <row r="1301" spans="1:4" x14ac:dyDescent="0.25">
      <c r="A1301" s="2" t="s">
        <v>4554</v>
      </c>
      <c r="B1301" s="2" t="s">
        <v>157</v>
      </c>
      <c r="C1301" s="31" t="str">
        <f>VLOOKUP(irregulares[[#This Row],[Similar a]],padroes[],2,0)</f>
        <v>ELHAR</v>
      </c>
      <c r="D1301" s="3"/>
    </row>
    <row r="1302" spans="1:4" x14ac:dyDescent="0.25">
      <c r="A1302" s="2" t="s">
        <v>4534</v>
      </c>
      <c r="B1302" s="2" t="s">
        <v>1887</v>
      </c>
      <c r="C1302" s="31" t="str">
        <f>VLOOKUP(irregulares[[#This Row],[Similar a]],padroes[],2,0)</f>
        <v>UZIR</v>
      </c>
      <c r="D1302" s="3"/>
    </row>
    <row r="1303" spans="1:4" x14ac:dyDescent="0.25">
      <c r="A1303" s="2" t="s">
        <v>4535</v>
      </c>
      <c r="B1303" s="2" t="s">
        <v>82</v>
      </c>
      <c r="C1303" s="31" t="str">
        <f>VLOOKUP(irregulares[[#This Row],[Similar a]],padroes[],2,0)</f>
        <v>UIR</v>
      </c>
      <c r="D1303" s="3"/>
    </row>
    <row r="1304" spans="1:4" x14ac:dyDescent="0.25">
      <c r="A1304" s="2" t="s">
        <v>3781</v>
      </c>
      <c r="B1304" s="2" t="s">
        <v>3781</v>
      </c>
      <c r="C1304" s="31" t="str">
        <f>VLOOKUP(irregulares[[#This Row],[Similar a]],padroes[],2,0)</f>
        <v>GER</v>
      </c>
      <c r="D1304" s="3"/>
    </row>
    <row r="1305" spans="1:4" x14ac:dyDescent="0.25">
      <c r="A1305" s="2" t="s">
        <v>4536</v>
      </c>
      <c r="B1305" s="2" t="s">
        <v>82</v>
      </c>
      <c r="C1305" s="31" t="str">
        <f>VLOOKUP(irregulares[[#This Row],[Similar a]],padroes[],2,0)</f>
        <v>UIR</v>
      </c>
      <c r="D1305" s="3"/>
    </row>
    <row r="1306" spans="1:4" x14ac:dyDescent="0.25">
      <c r="A1306" s="2" t="s">
        <v>3914</v>
      </c>
      <c r="B1306" s="2" t="s">
        <v>53</v>
      </c>
      <c r="C1306" s="31" t="str">
        <f>VLOOKUP(irregulares[[#This Row],[Similar a]],padroes[],2,0)</f>
        <v>EAR</v>
      </c>
      <c r="D1306" s="3"/>
    </row>
    <row r="1307" spans="1:4" x14ac:dyDescent="0.25">
      <c r="A1307" s="2" t="s">
        <v>4537</v>
      </c>
      <c r="B1307" s="2" t="s">
        <v>4537</v>
      </c>
      <c r="C1307" s="31" t="str">
        <f>VLOOKUP(irregulares[[#This Row],[Similar a]],padroes[],2,0)</f>
        <v>Defectivo 2</v>
      </c>
      <c r="D1307" s="3"/>
    </row>
    <row r="1308" spans="1:4" x14ac:dyDescent="0.25">
      <c r="A1308" s="2" t="s">
        <v>4076</v>
      </c>
      <c r="B1308" s="2" t="s">
        <v>74</v>
      </c>
      <c r="C1308" s="31" t="str">
        <f>VLOOKUP(irregulares[[#This Row],[Similar a]],padroes[],2,0)</f>
        <v>GAR</v>
      </c>
      <c r="D1308" s="3"/>
    </row>
    <row r="1309" spans="1:4" x14ac:dyDescent="0.25">
      <c r="A1309" s="2" t="s">
        <v>3915</v>
      </c>
      <c r="B1309" s="2" t="s">
        <v>53</v>
      </c>
      <c r="C1309" s="31" t="str">
        <f>VLOOKUP(irregulares[[#This Row],[Similar a]],padroes[],2,0)</f>
        <v>EAR</v>
      </c>
      <c r="D1309" s="3"/>
    </row>
    <row r="1310" spans="1:4" x14ac:dyDescent="0.25">
      <c r="A1310" s="2" t="s">
        <v>4538</v>
      </c>
      <c r="B1310" s="2" t="s">
        <v>4538</v>
      </c>
      <c r="C1310" s="31" t="str">
        <f>VLOOKUP(irregulares[[#This Row],[Similar a]],padroes[],2,0)</f>
        <v>EMBAUCAR</v>
      </c>
      <c r="D1310" s="3"/>
    </row>
    <row r="1311" spans="1:4" x14ac:dyDescent="0.25">
      <c r="A1311" s="2" t="s">
        <v>4539</v>
      </c>
      <c r="B1311" s="2" t="s">
        <v>65</v>
      </c>
      <c r="C1311" s="31" t="str">
        <f>VLOOKUP(irregulares[[#This Row],[Similar a]],padroes[],2,0)</f>
        <v>Ú-X-AR</v>
      </c>
      <c r="D1311" s="3"/>
    </row>
    <row r="1312" spans="1:4" x14ac:dyDescent="0.25">
      <c r="A1312" s="2" t="s">
        <v>4016</v>
      </c>
      <c r="B1312" s="2" t="s">
        <v>60</v>
      </c>
      <c r="C1312" s="31" t="str">
        <f>VLOOKUP(irregulares[[#This Row],[Similar a]],padroes[],2,0)</f>
        <v>GAR</v>
      </c>
      <c r="D1312" s="3"/>
    </row>
    <row r="1313" spans="1:4" x14ac:dyDescent="0.25">
      <c r="A1313" s="2" t="s">
        <v>4540</v>
      </c>
      <c r="B1313" s="2" t="s">
        <v>319</v>
      </c>
      <c r="C1313" s="31" t="str">
        <f>VLOOKUP(irregulares[[#This Row],[Similar a]],padroes[],2,0)</f>
        <v>Í-X-AR</v>
      </c>
      <c r="D1313" s="3"/>
    </row>
    <row r="1314" spans="1:4" x14ac:dyDescent="0.25">
      <c r="A1314" s="2" t="s">
        <v>3916</v>
      </c>
      <c r="B1314" s="2" t="s">
        <v>53</v>
      </c>
      <c r="C1314" s="31" t="str">
        <f>VLOOKUP(irregulares[[#This Row],[Similar a]],padroes[],2,0)</f>
        <v>EAR</v>
      </c>
      <c r="D1314" s="3"/>
    </row>
    <row r="1315" spans="1:4" x14ac:dyDescent="0.25">
      <c r="A1315" s="2" t="s">
        <v>4541</v>
      </c>
      <c r="B1315" s="2" t="s">
        <v>157</v>
      </c>
      <c r="C1315" s="31" t="str">
        <f>VLOOKUP(irregulares[[#This Row],[Similar a]],padroes[],2,0)</f>
        <v>ELHAR</v>
      </c>
      <c r="D1315" s="3"/>
    </row>
    <row r="1316" spans="1:4" x14ac:dyDescent="0.25">
      <c r="A1316" s="2" t="s">
        <v>3917</v>
      </c>
      <c r="B1316" s="2" t="s">
        <v>53</v>
      </c>
      <c r="C1316" s="31" t="str">
        <f>VLOOKUP(irregulares[[#This Row],[Similar a]],padroes[],2,0)</f>
        <v>EAR</v>
      </c>
      <c r="D1316" s="3"/>
    </row>
    <row r="1317" spans="1:4" x14ac:dyDescent="0.25">
      <c r="A1317" s="2" t="s">
        <v>3912</v>
      </c>
      <c r="B1317" s="2" t="s">
        <v>337</v>
      </c>
      <c r="C1317" s="31" t="str">
        <f>VLOOKUP(irregulares[[#This Row],[Similar a]],padroes[],2,0)</f>
        <v>IDEAR</v>
      </c>
      <c r="D1317" s="3"/>
    </row>
    <row r="1318" spans="1:4" x14ac:dyDescent="0.25">
      <c r="A1318" s="2" t="s">
        <v>4542</v>
      </c>
      <c r="B1318" s="2" t="s">
        <v>221</v>
      </c>
      <c r="C1318" s="31" t="str">
        <f>VLOOKUP(irregulares[[#This Row],[Similar a]],padroes[],2,0)</f>
        <v>ECHAR é</v>
      </c>
      <c r="D1318" s="3"/>
    </row>
    <row r="1319" spans="1:4" x14ac:dyDescent="0.25">
      <c r="A1319" s="2" t="s">
        <v>4078</v>
      </c>
      <c r="B1319" s="2" t="s">
        <v>74</v>
      </c>
      <c r="C1319" s="31" t="str">
        <f>VLOOKUP(irregulares[[#This Row],[Similar a]],padroes[],2,0)</f>
        <v>GAR</v>
      </c>
      <c r="D1319" s="3"/>
    </row>
    <row r="1320" spans="1:4" x14ac:dyDescent="0.25">
      <c r="A1320" s="2" t="s">
        <v>4543</v>
      </c>
      <c r="B1320" s="2" t="s">
        <v>319</v>
      </c>
      <c r="C1320" s="31" t="str">
        <f>VLOOKUP(irregulares[[#This Row],[Similar a]],padroes[],2,0)</f>
        <v>Í-X-AR</v>
      </c>
      <c r="D1320" s="3"/>
    </row>
    <row r="1321" spans="1:4" x14ac:dyDescent="0.25">
      <c r="A1321" s="2" t="s">
        <v>3918</v>
      </c>
      <c r="B1321" s="2" t="s">
        <v>53</v>
      </c>
      <c r="C1321" s="31" t="str">
        <f>VLOOKUP(irregulares[[#This Row],[Similar a]],padroes[],2,0)</f>
        <v>EAR</v>
      </c>
      <c r="D1321" s="3"/>
    </row>
    <row r="1322" spans="1:4" x14ac:dyDescent="0.25">
      <c r="A1322" s="2" t="s">
        <v>1996</v>
      </c>
      <c r="B1322" s="2" t="s">
        <v>1996</v>
      </c>
      <c r="C1322" s="31" t="str">
        <f>VLOOKUP(irregulares[[#This Row],[Similar a]],padroes[],2,0)</f>
        <v>Defectivo 1</v>
      </c>
      <c r="D1322" s="3"/>
    </row>
    <row r="1323" spans="1:4" x14ac:dyDescent="0.25">
      <c r="A1323" s="2" t="s">
        <v>4077</v>
      </c>
      <c r="B1323" s="2" t="s">
        <v>74</v>
      </c>
      <c r="C1323" s="31" t="str">
        <f>VLOOKUP(irregulares[[#This Row],[Similar a]],padroes[],2,0)</f>
        <v>GAR</v>
      </c>
      <c r="D1323" s="3"/>
    </row>
    <row r="1324" spans="1:4" x14ac:dyDescent="0.25">
      <c r="A1324" s="2" t="s">
        <v>4544</v>
      </c>
      <c r="B1324" s="2" t="s">
        <v>185</v>
      </c>
      <c r="C1324" s="31" t="str">
        <f>VLOOKUP(irregulares[[#This Row],[Similar a]],padroes[],2,0)</f>
        <v>Defectivo 2</v>
      </c>
      <c r="D1324" s="3"/>
    </row>
    <row r="1325" spans="1:4" x14ac:dyDescent="0.25">
      <c r="A1325" s="2" t="s">
        <v>4199</v>
      </c>
      <c r="B1325" s="2" t="s">
        <v>49</v>
      </c>
      <c r="C1325" s="31" t="str">
        <f>VLOOKUP(irregulares[[#This Row],[Similar a]],padroes[],2,0)</f>
        <v>OAR</v>
      </c>
      <c r="D1325" s="3"/>
    </row>
    <row r="1326" spans="1:4" x14ac:dyDescent="0.25">
      <c r="A1326" s="2" t="s">
        <v>4079</v>
      </c>
      <c r="B1326" s="2" t="s">
        <v>74</v>
      </c>
      <c r="C1326" s="31" t="str">
        <f>VLOOKUP(irregulares[[#This Row],[Similar a]],padroes[],2,0)</f>
        <v>GAR</v>
      </c>
      <c r="D1326" s="3"/>
    </row>
    <row r="1327" spans="1:4" x14ac:dyDescent="0.25">
      <c r="A1327" s="2" t="s">
        <v>4545</v>
      </c>
      <c r="B1327" s="2" t="s">
        <v>157</v>
      </c>
      <c r="C1327" s="31" t="str">
        <f>VLOOKUP(irregulares[[#This Row],[Similar a]],padroes[],2,0)</f>
        <v>ELHAR</v>
      </c>
      <c r="D1327" s="3"/>
    </row>
    <row r="1328" spans="1:4" x14ac:dyDescent="0.25">
      <c r="A1328" s="2" t="s">
        <v>4546</v>
      </c>
      <c r="B1328" s="2" t="s">
        <v>351</v>
      </c>
      <c r="C1328" s="31" t="str">
        <f>VLOOKUP(irregulares[[#This Row],[Similar a]],padroes[],2,0)</f>
        <v>ÇAR</v>
      </c>
      <c r="D1328" s="3"/>
    </row>
    <row r="1329" spans="1:4" x14ac:dyDescent="0.25">
      <c r="A1329" s="2" t="s">
        <v>4547</v>
      </c>
      <c r="B1329" s="2" t="s">
        <v>185</v>
      </c>
      <c r="C1329" s="31" t="str">
        <f>VLOOKUP(irregulares[[#This Row],[Similar a]],padroes[],2,0)</f>
        <v>Defectivo 2</v>
      </c>
      <c r="D1329" s="3"/>
    </row>
    <row r="1330" spans="1:4" x14ac:dyDescent="0.25">
      <c r="A1330" s="2" t="s">
        <v>4013</v>
      </c>
      <c r="B1330" s="2" t="s">
        <v>74</v>
      </c>
      <c r="C1330" s="31" t="str">
        <f>VLOOKUP(irregulares[[#This Row],[Similar a]],padroes[],2,0)</f>
        <v>GAR</v>
      </c>
      <c r="D1330" s="3"/>
    </row>
    <row r="1331" spans="1:4" x14ac:dyDescent="0.25">
      <c r="A1331" s="2" t="s">
        <v>4197</v>
      </c>
      <c r="B1331" s="2" t="s">
        <v>1377</v>
      </c>
      <c r="C1331" s="31" t="str">
        <f>VLOOKUP(irregulares[[#This Row],[Similar a]],padroes[],2,0)</f>
        <v>Defectivo 3</v>
      </c>
      <c r="D1331" s="3"/>
    </row>
    <row r="1332" spans="1:4" x14ac:dyDescent="0.25">
      <c r="A1332" s="2" t="s">
        <v>4080</v>
      </c>
      <c r="B1332" s="2" t="s">
        <v>74</v>
      </c>
      <c r="C1332" s="31" t="str">
        <f>VLOOKUP(irregulares[[#This Row],[Similar a]],padroes[],2,0)</f>
        <v>GAR</v>
      </c>
      <c r="D1332" s="3"/>
    </row>
    <row r="1333" spans="1:4" x14ac:dyDescent="0.25">
      <c r="A1333" s="2" t="s">
        <v>4081</v>
      </c>
      <c r="B1333" s="2" t="s">
        <v>74</v>
      </c>
      <c r="C1333" s="31" t="str">
        <f>VLOOKUP(irregulares[[#This Row],[Similar a]],padroes[],2,0)</f>
        <v>GAR</v>
      </c>
      <c r="D1333" s="3"/>
    </row>
    <row r="1334" spans="1:4" x14ac:dyDescent="0.25">
      <c r="A1334" s="2" t="s">
        <v>3919</v>
      </c>
      <c r="B1334" s="2" t="s">
        <v>53</v>
      </c>
      <c r="C1334" s="31" t="str">
        <f>VLOOKUP(irregulares[[#This Row],[Similar a]],padroes[],2,0)</f>
        <v>EAR</v>
      </c>
      <c r="D1334" s="3"/>
    </row>
    <row r="1335" spans="1:4" x14ac:dyDescent="0.25">
      <c r="A1335" s="2" t="s">
        <v>4548</v>
      </c>
      <c r="B1335" s="2" t="s">
        <v>1613</v>
      </c>
      <c r="C1335" s="31" t="str">
        <f>VLOOKUP(irregulares[[#This Row],[Similar a]],padroes[],2,0)</f>
        <v>Defectivo 3</v>
      </c>
      <c r="D1335" s="3"/>
    </row>
    <row r="1336" spans="1:4" x14ac:dyDescent="0.25">
      <c r="A1336" s="2" t="s">
        <v>3920</v>
      </c>
      <c r="B1336" s="2" t="s">
        <v>1540</v>
      </c>
      <c r="C1336" s="31" t="str">
        <f>VLOOKUP(irregulares[[#This Row],[Similar a]],padroes[],2,0)</f>
        <v>Defectivo 3</v>
      </c>
      <c r="D1336" s="3"/>
    </row>
    <row r="1337" spans="1:4" x14ac:dyDescent="0.25">
      <c r="A1337" s="2" t="s">
        <v>4200</v>
      </c>
      <c r="B1337" s="2" t="s">
        <v>49</v>
      </c>
      <c r="C1337" s="31" t="str">
        <f>VLOOKUP(irregulares[[#This Row],[Similar a]],padroes[],2,0)</f>
        <v>OAR</v>
      </c>
      <c r="D1337" s="3"/>
    </row>
    <row r="1338" spans="1:4" x14ac:dyDescent="0.25">
      <c r="A1338" s="2" t="s">
        <v>4082</v>
      </c>
      <c r="B1338" s="2" t="s">
        <v>74</v>
      </c>
      <c r="C1338" s="31" t="str">
        <f>VLOOKUP(irregulares[[#This Row],[Similar a]],padroes[],2,0)</f>
        <v>GAR</v>
      </c>
      <c r="D1338" s="3"/>
    </row>
    <row r="1339" spans="1:4" x14ac:dyDescent="0.25">
      <c r="A1339" s="2" t="s">
        <v>4083</v>
      </c>
      <c r="B1339" s="2" t="s">
        <v>74</v>
      </c>
      <c r="C1339" s="31" t="str">
        <f>VLOOKUP(irregulares[[#This Row],[Similar a]],padroes[],2,0)</f>
        <v>GAR</v>
      </c>
      <c r="D1339" s="3"/>
    </row>
    <row r="1340" spans="1:4" x14ac:dyDescent="0.25">
      <c r="A1340" s="2" t="s">
        <v>4017</v>
      </c>
      <c r="B1340" s="2" t="s">
        <v>60</v>
      </c>
      <c r="C1340" s="31" t="str">
        <f>VLOOKUP(irregulares[[#This Row],[Similar a]],padroes[],2,0)</f>
        <v>GAR</v>
      </c>
      <c r="D1340" s="3"/>
    </row>
    <row r="1341" spans="1:4" x14ac:dyDescent="0.25">
      <c r="A1341" s="2" t="s">
        <v>4201</v>
      </c>
      <c r="B1341" s="2" t="s">
        <v>49</v>
      </c>
      <c r="C1341" s="31" t="str">
        <f>VLOOKUP(irregulares[[#This Row],[Similar a]],padroes[],2,0)</f>
        <v>OAR</v>
      </c>
      <c r="D1341" s="3"/>
    </row>
    <row r="1342" spans="1:4" x14ac:dyDescent="0.25">
      <c r="A1342" s="2" t="s">
        <v>4549</v>
      </c>
      <c r="B1342" s="2" t="s">
        <v>63</v>
      </c>
      <c r="C1342" s="31" t="str">
        <f>VLOOKUP(irregulares[[#This Row],[Similar a]],padroes[],2,0)</f>
        <v>CER</v>
      </c>
      <c r="D1342" s="3"/>
    </row>
    <row r="1343" spans="1:4" x14ac:dyDescent="0.25">
      <c r="A1343" s="2" t="s">
        <v>3921</v>
      </c>
      <c r="B1343" s="2" t="s">
        <v>53</v>
      </c>
      <c r="C1343" s="31" t="str">
        <f>VLOOKUP(irregulares[[#This Row],[Similar a]],padroes[],2,0)</f>
        <v>EAR</v>
      </c>
      <c r="D1343" s="3"/>
    </row>
    <row r="1344" spans="1:4" x14ac:dyDescent="0.25">
      <c r="A1344" s="2" t="s">
        <v>3922</v>
      </c>
      <c r="B1344" s="2" t="s">
        <v>53</v>
      </c>
      <c r="C1344" s="31" t="str">
        <f>VLOOKUP(irregulares[[#This Row],[Similar a]],padroes[],2,0)</f>
        <v>EAR</v>
      </c>
      <c r="D1344" s="3"/>
    </row>
    <row r="1345" spans="1:4" x14ac:dyDescent="0.25">
      <c r="A1345" s="2" t="s">
        <v>4550</v>
      </c>
      <c r="B1345" s="2" t="s">
        <v>221</v>
      </c>
      <c r="C1345" s="31" t="str">
        <f>VLOOKUP(irregulares[[#This Row],[Similar a]],padroes[],2,0)</f>
        <v>ECHAR é</v>
      </c>
      <c r="D1345" s="3"/>
    </row>
    <row r="1346" spans="1:4" x14ac:dyDescent="0.25">
      <c r="A1346" s="2" t="s">
        <v>4286</v>
      </c>
      <c r="B1346" s="2" t="s">
        <v>163</v>
      </c>
      <c r="C1346" s="31" t="str">
        <f>VLOOKUP(irregulares[[#This Row],[Similar a]],padroes[],2,0)</f>
        <v>Defectivo 3</v>
      </c>
      <c r="D1346" s="3"/>
    </row>
    <row r="1347" spans="1:4" x14ac:dyDescent="0.25">
      <c r="A1347" s="2" t="s">
        <v>4287</v>
      </c>
      <c r="B1347" s="2" t="s">
        <v>63</v>
      </c>
      <c r="C1347" s="31" t="str">
        <f>VLOOKUP(irregulares[[#This Row],[Similar a]],padroes[],2,0)</f>
        <v>CER</v>
      </c>
      <c r="D1347" s="3"/>
    </row>
    <row r="1348" spans="1:4" x14ac:dyDescent="0.25">
      <c r="A1348" s="2" t="s">
        <v>4202</v>
      </c>
      <c r="B1348" s="2" t="s">
        <v>49</v>
      </c>
      <c r="C1348" s="31" t="str">
        <f>VLOOKUP(irregulares[[#This Row],[Similar a]],padroes[],2,0)</f>
        <v>OAR</v>
      </c>
      <c r="D1348" s="3"/>
    </row>
    <row r="1349" spans="1:4" x14ac:dyDescent="0.25">
      <c r="A1349" s="2" t="s">
        <v>4288</v>
      </c>
      <c r="B1349" s="2" t="s">
        <v>63</v>
      </c>
      <c r="C1349" s="31" t="str">
        <f>VLOOKUP(irregulares[[#This Row],[Similar a]],padroes[],2,0)</f>
        <v>CER</v>
      </c>
      <c r="D1349" s="3"/>
    </row>
    <row r="1350" spans="1:4" x14ac:dyDescent="0.25">
      <c r="A1350" s="2" t="s">
        <v>4084</v>
      </c>
      <c r="B1350" s="2" t="s">
        <v>74</v>
      </c>
      <c r="C1350" s="31" t="str">
        <f>VLOOKUP(irregulares[[#This Row],[Similar a]],padroes[],2,0)</f>
        <v>GAR</v>
      </c>
      <c r="D1350" s="3"/>
    </row>
    <row r="1351" spans="1:4" x14ac:dyDescent="0.25">
      <c r="A1351" s="2" t="s">
        <v>4203</v>
      </c>
      <c r="B1351" s="2" t="s">
        <v>49</v>
      </c>
      <c r="C1351" s="31" t="str">
        <f>VLOOKUP(irregulares[[#This Row],[Similar a]],padroes[],2,0)</f>
        <v>OAR</v>
      </c>
      <c r="D1351" s="3"/>
    </row>
    <row r="1352" spans="1:4" x14ac:dyDescent="0.25">
      <c r="A1352" s="2" t="s">
        <v>4204</v>
      </c>
      <c r="B1352" s="2" t="s">
        <v>49</v>
      </c>
      <c r="C1352" s="31" t="str">
        <f>VLOOKUP(irregulares[[#This Row],[Similar a]],padroes[],2,0)</f>
        <v>OAR</v>
      </c>
      <c r="D1352" s="3"/>
    </row>
    <row r="1353" spans="1:4" x14ac:dyDescent="0.25">
      <c r="A1353" s="2" t="s">
        <v>4205</v>
      </c>
      <c r="B1353" s="2" t="s">
        <v>49</v>
      </c>
      <c r="C1353" s="31" t="str">
        <f>VLOOKUP(irregulares[[#This Row],[Similar a]],padroes[],2,0)</f>
        <v>OAR</v>
      </c>
      <c r="D1353" s="3"/>
    </row>
    <row r="1354" spans="1:4" x14ac:dyDescent="0.25">
      <c r="A1354" s="2" t="s">
        <v>4085</v>
      </c>
      <c r="B1354" s="2" t="s">
        <v>74</v>
      </c>
      <c r="C1354" s="31" t="str">
        <f>VLOOKUP(irregulares[[#This Row],[Similar a]],padroes[],2,0)</f>
        <v>GAR</v>
      </c>
      <c r="D1354" s="3"/>
    </row>
    <row r="1355" spans="1:4" x14ac:dyDescent="0.25">
      <c r="A1355" s="2" t="s">
        <v>4136</v>
      </c>
      <c r="B1355" s="2" t="s">
        <v>55</v>
      </c>
      <c r="C1355" s="31" t="str">
        <f>VLOOKUP(irregulares[[#This Row],[Similar a]],padroes[],2,0)</f>
        <v>EJAR ô</v>
      </c>
      <c r="D1355" s="3"/>
    </row>
    <row r="1356" spans="1:4" x14ac:dyDescent="0.25">
      <c r="A1356" s="2" t="s">
        <v>4289</v>
      </c>
      <c r="B1356" s="2" t="s">
        <v>63</v>
      </c>
      <c r="C1356" s="31" t="str">
        <f>VLOOKUP(irregulares[[#This Row],[Similar a]],padroes[],2,0)</f>
        <v>CER</v>
      </c>
      <c r="D1356" s="3"/>
    </row>
    <row r="1357" spans="1:4" x14ac:dyDescent="0.25">
      <c r="A1357" s="2" t="s">
        <v>4086</v>
      </c>
      <c r="B1357" s="2" t="s">
        <v>74</v>
      </c>
      <c r="C1357" s="31" t="str">
        <f>VLOOKUP(irregulares[[#This Row],[Similar a]],padroes[],2,0)</f>
        <v>GAR</v>
      </c>
      <c r="D1357" s="3"/>
    </row>
    <row r="1358" spans="1:4" x14ac:dyDescent="0.25">
      <c r="A1358" s="2" t="s">
        <v>4018</v>
      </c>
      <c r="B1358" s="2" t="s">
        <v>60</v>
      </c>
      <c r="C1358" s="31" t="str">
        <f>VLOOKUP(irregulares[[#This Row],[Similar a]],padroes[],2,0)</f>
        <v>GAR</v>
      </c>
      <c r="D1358" s="3"/>
    </row>
    <row r="1359" spans="1:4" x14ac:dyDescent="0.25">
      <c r="A1359" s="2" t="s">
        <v>4206</v>
      </c>
      <c r="B1359" s="2" t="s">
        <v>49</v>
      </c>
      <c r="C1359" s="31" t="str">
        <f>VLOOKUP(irregulares[[#This Row],[Similar a]],padroes[],2,0)</f>
        <v>OAR</v>
      </c>
      <c r="D1359" s="3"/>
    </row>
    <row r="1360" spans="1:4" x14ac:dyDescent="0.25">
      <c r="A1360" s="2" t="s">
        <v>4137</v>
      </c>
      <c r="B1360" s="2" t="s">
        <v>55</v>
      </c>
      <c r="C1360" s="31" t="str">
        <f>VLOOKUP(irregulares[[#This Row],[Similar a]],padroes[],2,0)</f>
        <v>EJAR ô</v>
      </c>
      <c r="D1360" s="3"/>
    </row>
    <row r="1361" spans="1:4" x14ac:dyDescent="0.25">
      <c r="A1361" s="2" t="s">
        <v>4207</v>
      </c>
      <c r="B1361" s="2" t="s">
        <v>49</v>
      </c>
      <c r="C1361" s="31" t="str">
        <f>VLOOKUP(irregulares[[#This Row],[Similar a]],padroes[],2,0)</f>
        <v>OAR</v>
      </c>
      <c r="D1361" s="3"/>
    </row>
    <row r="1362" spans="1:4" x14ac:dyDescent="0.25">
      <c r="A1362" s="2" t="s">
        <v>4087</v>
      </c>
      <c r="B1362" s="2" t="s">
        <v>74</v>
      </c>
      <c r="C1362" s="31" t="str">
        <f>VLOOKUP(irregulares[[#This Row],[Similar a]],padroes[],2,0)</f>
        <v>GAR</v>
      </c>
      <c r="D1362" s="3"/>
    </row>
    <row r="1363" spans="1:4" x14ac:dyDescent="0.25">
      <c r="A1363" s="2" t="s">
        <v>4290</v>
      </c>
      <c r="B1363" s="2" t="s">
        <v>63</v>
      </c>
      <c r="C1363" s="31" t="str">
        <f>VLOOKUP(irregulares[[#This Row],[Similar a]],padroes[],2,0)</f>
        <v>CER</v>
      </c>
      <c r="D1363" s="3"/>
    </row>
    <row r="1364" spans="1:4" x14ac:dyDescent="0.25">
      <c r="A1364" s="2" t="s">
        <v>4138</v>
      </c>
      <c r="B1364" s="2" t="s">
        <v>55</v>
      </c>
      <c r="C1364" s="31" t="str">
        <f>VLOOKUP(irregulares[[#This Row],[Similar a]],padroes[],2,0)</f>
        <v>EJAR ô</v>
      </c>
      <c r="D1364" s="3"/>
    </row>
    <row r="1365" spans="1:4" x14ac:dyDescent="0.25">
      <c r="A1365" s="2" t="s">
        <v>3783</v>
      </c>
      <c r="B1365" s="2" t="s">
        <v>3783</v>
      </c>
      <c r="C1365" s="31" t="str">
        <f>VLOOKUP(irregulares[[#This Row],[Similar a]],padroes[],2,0)</f>
        <v>Abundante</v>
      </c>
      <c r="D1365" s="3"/>
    </row>
    <row r="1366" spans="1:4" x14ac:dyDescent="0.25">
      <c r="A1366" s="2" t="s">
        <v>4551</v>
      </c>
      <c r="B1366" s="2" t="s">
        <v>1014</v>
      </c>
      <c r="C1366" s="31" t="str">
        <f>VLOOKUP(irregulares[[#This Row],[Similar a]],padroes[],2,0)</f>
        <v>Ú-X-AR</v>
      </c>
      <c r="D1366" s="3"/>
    </row>
    <row r="1367" spans="1:4" x14ac:dyDescent="0.25">
      <c r="A1367" s="2" t="s">
        <v>4552</v>
      </c>
      <c r="B1367" s="2" t="s">
        <v>3237</v>
      </c>
      <c r="C1367" s="31" t="str">
        <f>VLOOKUP(irregulares[[#This Row],[Similar a]],padroes[],2,0)</f>
        <v>COBRIR</v>
      </c>
      <c r="D1367" s="3"/>
    </row>
    <row r="1368" spans="1:4" x14ac:dyDescent="0.25">
      <c r="A1368" s="2" t="s">
        <v>3923</v>
      </c>
      <c r="B1368" s="2" t="s">
        <v>53</v>
      </c>
      <c r="C1368" s="31" t="str">
        <f>VLOOKUP(irregulares[[#This Row],[Similar a]],padroes[],2,0)</f>
        <v>EAR</v>
      </c>
      <c r="D1368" s="3"/>
    </row>
    <row r="1369" spans="1:4" x14ac:dyDescent="0.25">
      <c r="A1369" s="2" t="s">
        <v>4208</v>
      </c>
      <c r="B1369" s="2" t="s">
        <v>49</v>
      </c>
      <c r="C1369" s="31" t="str">
        <f>VLOOKUP(irregulares[[#This Row],[Similar a]],padroes[],2,0)</f>
        <v>OAR</v>
      </c>
      <c r="D1369" s="3"/>
    </row>
    <row r="1370" spans="1:4" x14ac:dyDescent="0.25">
      <c r="A1370" s="2" t="s">
        <v>4209</v>
      </c>
      <c r="B1370" s="2" t="s">
        <v>49</v>
      </c>
      <c r="C1370" s="31" t="str">
        <f>VLOOKUP(irregulares[[#This Row],[Similar a]],padroes[],2,0)</f>
        <v>OAR</v>
      </c>
      <c r="D1370" s="3"/>
    </row>
    <row r="1371" spans="1:4" x14ac:dyDescent="0.25">
      <c r="A1371" s="2" t="s">
        <v>3924</v>
      </c>
      <c r="B1371" s="2" t="s">
        <v>53</v>
      </c>
      <c r="C1371" s="31" t="str">
        <f>VLOOKUP(irregulares[[#This Row],[Similar a]],padroes[],2,0)</f>
        <v>EAR</v>
      </c>
      <c r="D1371" s="3"/>
    </row>
    <row r="1372" spans="1:4" x14ac:dyDescent="0.25">
      <c r="A1372" s="2" t="s">
        <v>4553</v>
      </c>
      <c r="B1372" s="2" t="s">
        <v>154</v>
      </c>
      <c r="C1372" s="31" t="str">
        <f>VLOOKUP(irregulares[[#This Row],[Similar a]],padroes[],2,0)</f>
        <v>GIR</v>
      </c>
      <c r="D1372" s="3"/>
    </row>
    <row r="1373" spans="1:4" x14ac:dyDescent="0.25">
      <c r="A1373" s="2" t="s">
        <v>4555</v>
      </c>
      <c r="B1373" s="2" t="s">
        <v>157</v>
      </c>
      <c r="C1373" s="31" t="str">
        <f>VLOOKUP(irregulares[[#This Row],[Similar a]],padroes[],2,0)</f>
        <v>ELHAR</v>
      </c>
      <c r="D1373" s="3"/>
    </row>
    <row r="1374" spans="1:4" x14ac:dyDescent="0.25">
      <c r="A1374" s="2" t="s">
        <v>4291</v>
      </c>
      <c r="B1374" s="2" t="s">
        <v>63</v>
      </c>
      <c r="C1374" s="31" t="str">
        <f>VLOOKUP(irregulares[[#This Row],[Similar a]],padroes[],2,0)</f>
        <v>CER</v>
      </c>
      <c r="D1374" s="3"/>
    </row>
    <row r="1375" spans="1:4" x14ac:dyDescent="0.25">
      <c r="A1375" s="2" t="s">
        <v>4292</v>
      </c>
      <c r="B1375" s="2" t="s">
        <v>63</v>
      </c>
      <c r="C1375" s="31" t="str">
        <f>VLOOKUP(irregulares[[#This Row],[Similar a]],padroes[],2,0)</f>
        <v>CER</v>
      </c>
      <c r="D1375" s="3"/>
    </row>
    <row r="1376" spans="1:4" x14ac:dyDescent="0.25">
      <c r="A1376" s="2" t="s">
        <v>4293</v>
      </c>
      <c r="B1376" s="2" t="s">
        <v>63</v>
      </c>
      <c r="C1376" s="31" t="str">
        <f>VLOOKUP(irregulares[[#This Row],[Similar a]],padroes[],2,0)</f>
        <v>CER</v>
      </c>
      <c r="D1376" s="3"/>
    </row>
    <row r="1377" spans="1:4" x14ac:dyDescent="0.25">
      <c r="A1377" s="2" t="s">
        <v>3925</v>
      </c>
      <c r="B1377" s="2" t="s">
        <v>53</v>
      </c>
      <c r="C1377" s="31" t="str">
        <f>VLOOKUP(irregulares[[#This Row],[Similar a]],padroes[],2,0)</f>
        <v>EAR</v>
      </c>
      <c r="D1377" s="3"/>
    </row>
    <row r="1378" spans="1:4" x14ac:dyDescent="0.25">
      <c r="A1378" s="2" t="s">
        <v>4556</v>
      </c>
      <c r="B1378" s="2" t="s">
        <v>1122</v>
      </c>
      <c r="C1378" s="31" t="str">
        <f>VLOOKUP(irregulares[[#This Row],[Similar a]],padroes[],2,0)</f>
        <v>ECHAR ê</v>
      </c>
      <c r="D1378" s="3"/>
    </row>
    <row r="1379" spans="1:4" x14ac:dyDescent="0.25">
      <c r="A1379" s="2" t="s">
        <v>4294</v>
      </c>
      <c r="B1379" s="2" t="s">
        <v>63</v>
      </c>
      <c r="C1379" s="31" t="str">
        <f>VLOOKUP(irregulares[[#This Row],[Similar a]],padroes[],2,0)</f>
        <v>CER</v>
      </c>
      <c r="D1379" s="3"/>
    </row>
    <row r="1380" spans="1:4" x14ac:dyDescent="0.25">
      <c r="A1380" s="2" t="s">
        <v>4557</v>
      </c>
      <c r="B1380" s="2" t="s">
        <v>351</v>
      </c>
      <c r="C1380" s="31" t="str">
        <f>VLOOKUP(irregulares[[#This Row],[Similar a]],padroes[],2,0)</f>
        <v>ÇAR</v>
      </c>
      <c r="D1380" s="3"/>
    </row>
    <row r="1381" spans="1:4" x14ac:dyDescent="0.25">
      <c r="A1381" s="2" t="s">
        <v>4295</v>
      </c>
      <c r="B1381" s="2" t="s">
        <v>63</v>
      </c>
      <c r="C1381" s="31" t="str">
        <f>VLOOKUP(irregulares[[#This Row],[Similar a]],padroes[],2,0)</f>
        <v>CER</v>
      </c>
      <c r="D1381" s="3"/>
    </row>
    <row r="1382" spans="1:4" x14ac:dyDescent="0.25">
      <c r="A1382" s="2" t="s">
        <v>4088</v>
      </c>
      <c r="B1382" s="2" t="s">
        <v>74</v>
      </c>
      <c r="C1382" s="31" t="str">
        <f>VLOOKUP(irregulares[[#This Row],[Similar a]],padroes[],2,0)</f>
        <v>GAR</v>
      </c>
      <c r="D1382" s="3"/>
    </row>
    <row r="1383" spans="1:4" x14ac:dyDescent="0.25">
      <c r="A1383" s="2" t="s">
        <v>4296</v>
      </c>
      <c r="B1383" s="2" t="s">
        <v>63</v>
      </c>
      <c r="C1383" s="31" t="str">
        <f>VLOOKUP(irregulares[[#This Row],[Similar a]],padroes[],2,0)</f>
        <v>CER</v>
      </c>
      <c r="D1383" s="3"/>
    </row>
    <row r="1384" spans="1:4" x14ac:dyDescent="0.25">
      <c r="A1384" s="2" t="s">
        <v>4308</v>
      </c>
      <c r="B1384" s="2" t="s">
        <v>63</v>
      </c>
      <c r="C1384" s="31" t="str">
        <f>VLOOKUP(irregulares[[#This Row],[Similar a]],padroes[],2,0)</f>
        <v>CER</v>
      </c>
      <c r="D1384" s="3"/>
    </row>
    <row r="1385" spans="1:4" x14ac:dyDescent="0.25">
      <c r="A1385" s="2" t="s">
        <v>4297</v>
      </c>
      <c r="B1385" s="2" t="s">
        <v>63</v>
      </c>
      <c r="C1385" s="31" t="str">
        <f>VLOOKUP(irregulares[[#This Row],[Similar a]],padroes[],2,0)</f>
        <v>CER</v>
      </c>
      <c r="D1385" s="3"/>
    </row>
    <row r="1386" spans="1:4" x14ac:dyDescent="0.25">
      <c r="A1386" s="2" t="s">
        <v>4298</v>
      </c>
      <c r="B1386" s="2" t="s">
        <v>63</v>
      </c>
      <c r="C1386" s="31" t="str">
        <f>VLOOKUP(irregulares[[#This Row],[Similar a]],padroes[],2,0)</f>
        <v>CER</v>
      </c>
      <c r="D1386" s="3"/>
    </row>
    <row r="1387" spans="1:4" x14ac:dyDescent="0.25">
      <c r="A1387" s="2" t="s">
        <v>4089</v>
      </c>
      <c r="B1387" s="2" t="s">
        <v>74</v>
      </c>
      <c r="C1387" s="31" t="str">
        <f>VLOOKUP(irregulares[[#This Row],[Similar a]],padroes[],2,0)</f>
        <v>GAR</v>
      </c>
      <c r="D1387" s="3"/>
    </row>
    <row r="1388" spans="1:4" x14ac:dyDescent="0.25">
      <c r="A1388" s="2" t="s">
        <v>4210</v>
      </c>
      <c r="B1388" s="2" t="s">
        <v>49</v>
      </c>
      <c r="C1388" s="31" t="str">
        <f>VLOOKUP(irregulares[[#This Row],[Similar a]],padroes[],2,0)</f>
        <v>OAR</v>
      </c>
      <c r="D1388" s="3"/>
    </row>
    <row r="1389" spans="1:4" x14ac:dyDescent="0.25">
      <c r="A1389" s="2" t="s">
        <v>3926</v>
      </c>
      <c r="B1389" s="2" t="s">
        <v>53</v>
      </c>
      <c r="C1389" s="31" t="str">
        <f>VLOOKUP(irregulares[[#This Row],[Similar a]],padroes[],2,0)</f>
        <v>EAR</v>
      </c>
      <c r="D1389" s="3"/>
    </row>
    <row r="1390" spans="1:4" x14ac:dyDescent="0.25">
      <c r="A1390" s="2" t="s">
        <v>4299</v>
      </c>
      <c r="B1390" s="2" t="s">
        <v>63</v>
      </c>
      <c r="C1390" s="31" t="str">
        <f>VLOOKUP(irregulares[[#This Row],[Similar a]],padroes[],2,0)</f>
        <v>CER</v>
      </c>
      <c r="D1390" s="3"/>
    </row>
    <row r="1391" spans="1:4" x14ac:dyDescent="0.25">
      <c r="A1391" s="2" t="s">
        <v>4300</v>
      </c>
      <c r="B1391" s="2" t="s">
        <v>63</v>
      </c>
      <c r="C1391" s="31" t="str">
        <f>VLOOKUP(irregulares[[#This Row],[Similar a]],padroes[],2,0)</f>
        <v>CER</v>
      </c>
      <c r="D1391" s="3"/>
    </row>
    <row r="1392" spans="1:4" x14ac:dyDescent="0.25">
      <c r="A1392" s="2" t="s">
        <v>4211</v>
      </c>
      <c r="B1392" s="2" t="s">
        <v>49</v>
      </c>
      <c r="C1392" s="31" t="str">
        <f>VLOOKUP(irregulares[[#This Row],[Similar a]],padroes[],2,0)</f>
        <v>OAR</v>
      </c>
      <c r="D1392" s="3"/>
    </row>
    <row r="1393" spans="1:4" x14ac:dyDescent="0.25">
      <c r="A1393" s="2" t="s">
        <v>3927</v>
      </c>
      <c r="B1393" s="2" t="s">
        <v>53</v>
      </c>
      <c r="C1393" s="31" t="str">
        <f>VLOOKUP(irregulares[[#This Row],[Similar a]],padroes[],2,0)</f>
        <v>EAR</v>
      </c>
      <c r="D1393" s="3"/>
    </row>
    <row r="1394" spans="1:4" x14ac:dyDescent="0.25">
      <c r="A1394" s="2" t="s">
        <v>4301</v>
      </c>
      <c r="B1394" s="2" t="s">
        <v>63</v>
      </c>
      <c r="C1394" s="31" t="str">
        <f>VLOOKUP(irregulares[[#This Row],[Similar a]],padroes[],2,0)</f>
        <v>CER</v>
      </c>
      <c r="D1394" s="3"/>
    </row>
    <row r="1395" spans="1:4" x14ac:dyDescent="0.25">
      <c r="A1395" s="2" t="s">
        <v>4090</v>
      </c>
      <c r="B1395" s="2" t="s">
        <v>74</v>
      </c>
      <c r="C1395" s="31" t="str">
        <f>VLOOKUP(irregulares[[#This Row],[Similar a]],padroes[],2,0)</f>
        <v>GAR</v>
      </c>
      <c r="D1395" s="3"/>
    </row>
    <row r="1396" spans="1:4" x14ac:dyDescent="0.25">
      <c r="A1396" s="2" t="s">
        <v>4091</v>
      </c>
      <c r="B1396" s="2" t="s">
        <v>74</v>
      </c>
      <c r="C1396" s="31" t="str">
        <f>VLOOKUP(irregulares[[#This Row],[Similar a]],padroes[],2,0)</f>
        <v>GAR</v>
      </c>
      <c r="D1396" s="3"/>
    </row>
    <row r="1397" spans="1:4" x14ac:dyDescent="0.25">
      <c r="A1397" s="2" t="s">
        <v>3928</v>
      </c>
      <c r="B1397" s="2" t="s">
        <v>53</v>
      </c>
      <c r="C1397" s="31" t="str">
        <f>VLOOKUP(irregulares[[#This Row],[Similar a]],padroes[],2,0)</f>
        <v>EAR</v>
      </c>
      <c r="D1397" s="3"/>
    </row>
    <row r="1398" spans="1:4" x14ac:dyDescent="0.25">
      <c r="A1398" s="2" t="s">
        <v>4302</v>
      </c>
      <c r="B1398" s="2" t="s">
        <v>63</v>
      </c>
      <c r="C1398" s="31" t="str">
        <f>VLOOKUP(irregulares[[#This Row],[Similar a]],padroes[],2,0)</f>
        <v>CER</v>
      </c>
      <c r="D1398" s="3"/>
    </row>
    <row r="1399" spans="1:4" x14ac:dyDescent="0.25">
      <c r="A1399" s="2" t="s">
        <v>3929</v>
      </c>
      <c r="B1399" s="2" t="s">
        <v>53</v>
      </c>
      <c r="C1399" s="31" t="str">
        <f>VLOOKUP(irregulares[[#This Row],[Similar a]],padroes[],2,0)</f>
        <v>EAR</v>
      </c>
      <c r="D1399" s="3"/>
    </row>
    <row r="1400" spans="1:4" x14ac:dyDescent="0.25">
      <c r="A1400" s="2" t="s">
        <v>4303</v>
      </c>
      <c r="B1400" s="2" t="s">
        <v>63</v>
      </c>
      <c r="C1400" s="31" t="str">
        <f>VLOOKUP(irregulares[[#This Row],[Similar a]],padroes[],2,0)</f>
        <v>CER</v>
      </c>
      <c r="D1400" s="3"/>
    </row>
    <row r="1401" spans="1:4" x14ac:dyDescent="0.25">
      <c r="A1401" s="2" t="s">
        <v>4304</v>
      </c>
      <c r="B1401" s="2" t="s">
        <v>63</v>
      </c>
      <c r="C1401" s="31" t="str">
        <f>VLOOKUP(irregulares[[#This Row],[Similar a]],padroes[],2,0)</f>
        <v>CER</v>
      </c>
      <c r="D1401" s="3"/>
    </row>
    <row r="1402" spans="1:4" x14ac:dyDescent="0.25">
      <c r="A1402" s="2" t="s">
        <v>4558</v>
      </c>
      <c r="B1402" s="2" t="s">
        <v>1542</v>
      </c>
      <c r="C1402" s="31" t="str">
        <f>VLOOKUP(irregulares[[#This Row],[Similar a]],padroes[],2,0)</f>
        <v>Defectivo 3</v>
      </c>
      <c r="D1402" s="3"/>
    </row>
    <row r="1403" spans="1:4" x14ac:dyDescent="0.25">
      <c r="A1403" s="2" t="s">
        <v>4305</v>
      </c>
      <c r="B1403" s="2" t="s">
        <v>163</v>
      </c>
      <c r="C1403" s="31" t="str">
        <f>VLOOKUP(irregulares[[#This Row],[Similar a]],padroes[],2,0)</f>
        <v>Defectivo 3</v>
      </c>
      <c r="D1403" s="3"/>
    </row>
    <row r="1404" spans="1:4" x14ac:dyDescent="0.25">
      <c r="A1404" s="2" t="s">
        <v>4306</v>
      </c>
      <c r="B1404" s="2" t="s">
        <v>63</v>
      </c>
      <c r="C1404" s="31" t="str">
        <f>VLOOKUP(irregulares[[#This Row],[Similar a]],padroes[],2,0)</f>
        <v>CER</v>
      </c>
      <c r="D1404" s="3"/>
    </row>
    <row r="1405" spans="1:4" x14ac:dyDescent="0.25">
      <c r="A1405" s="2" t="s">
        <v>4559</v>
      </c>
      <c r="B1405" s="2" t="s">
        <v>157</v>
      </c>
      <c r="C1405" s="31" t="str">
        <f>VLOOKUP(irregulares[[#This Row],[Similar a]],padroes[],2,0)</f>
        <v>ELHAR</v>
      </c>
      <c r="D1405" s="3"/>
    </row>
    <row r="1406" spans="1:4" x14ac:dyDescent="0.25">
      <c r="A1406" s="2" t="s">
        <v>4307</v>
      </c>
      <c r="B1406" s="2" t="s">
        <v>63</v>
      </c>
      <c r="C1406" s="31" t="str">
        <f>VLOOKUP(irregulares[[#This Row],[Similar a]],padroes[],2,0)</f>
        <v>CER</v>
      </c>
      <c r="D1406" s="3"/>
    </row>
    <row r="1407" spans="1:4" x14ac:dyDescent="0.25">
      <c r="A1407" s="2" t="s">
        <v>4092</v>
      </c>
      <c r="B1407" s="2" t="s">
        <v>74</v>
      </c>
      <c r="C1407" s="31" t="str">
        <f>VLOOKUP(irregulares[[#This Row],[Similar a]],padroes[],2,0)</f>
        <v>GAR</v>
      </c>
      <c r="D1407" s="3"/>
    </row>
    <row r="1408" spans="1:4" x14ac:dyDescent="0.25">
      <c r="A1408" s="2" t="s">
        <v>4093</v>
      </c>
      <c r="B1408" s="2" t="s">
        <v>74</v>
      </c>
      <c r="C1408" s="31" t="str">
        <f>VLOOKUP(irregulares[[#This Row],[Similar a]],padroes[],2,0)</f>
        <v>GAR</v>
      </c>
      <c r="D1408" s="3"/>
    </row>
    <row r="1409" spans="1:4" x14ac:dyDescent="0.25">
      <c r="A1409" s="2" t="s">
        <v>4094</v>
      </c>
      <c r="B1409" s="2" t="s">
        <v>74</v>
      </c>
      <c r="C1409" s="31" t="str">
        <f>VLOOKUP(irregulares[[#This Row],[Similar a]],padroes[],2,0)</f>
        <v>GAR</v>
      </c>
      <c r="D1409" s="3"/>
    </row>
    <row r="1410" spans="1:4" x14ac:dyDescent="0.25">
      <c r="A1410" s="2" t="s">
        <v>4560</v>
      </c>
      <c r="B1410" s="2" t="s">
        <v>157</v>
      </c>
      <c r="C1410" s="31" t="str">
        <f>VLOOKUP(irregulares[[#This Row],[Similar a]],padroes[],2,0)</f>
        <v>ELHAR</v>
      </c>
      <c r="D1410" s="3"/>
    </row>
    <row r="1411" spans="1:4" x14ac:dyDescent="0.25">
      <c r="A1411" s="2" t="s">
        <v>4435</v>
      </c>
      <c r="B1411" s="2" t="s">
        <v>4435</v>
      </c>
      <c r="C1411" s="31" t="str">
        <f>VLOOKUP(irregulares[[#This Row],[Similar a]],padroes[],2,0)</f>
        <v>ENGOLIR</v>
      </c>
      <c r="D1411" s="3"/>
    </row>
    <row r="1412" spans="1:4" x14ac:dyDescent="0.25">
      <c r="A1412" s="2" t="s">
        <v>4309</v>
      </c>
      <c r="B1412" s="2" t="s">
        <v>163</v>
      </c>
      <c r="C1412" s="31" t="str">
        <f>VLOOKUP(irregulares[[#This Row],[Similar a]],padroes[],2,0)</f>
        <v>Defectivo 3</v>
      </c>
      <c r="D1412" s="3"/>
    </row>
    <row r="1413" spans="1:4" x14ac:dyDescent="0.25">
      <c r="A1413" s="2" t="s">
        <v>4310</v>
      </c>
      <c r="B1413" s="2" t="s">
        <v>63</v>
      </c>
      <c r="C1413" s="31" t="str">
        <f>VLOOKUP(irregulares[[#This Row],[Similar a]],padroes[],2,0)</f>
        <v>CER</v>
      </c>
      <c r="D1413" s="3"/>
    </row>
    <row r="1414" spans="1:4" x14ac:dyDescent="0.25">
      <c r="A1414" s="2" t="s">
        <v>4311</v>
      </c>
      <c r="B1414" s="2" t="s">
        <v>63</v>
      </c>
      <c r="C1414" s="31" t="str">
        <f>VLOOKUP(irregulares[[#This Row],[Similar a]],padroes[],2,0)</f>
        <v>CER</v>
      </c>
      <c r="D1414" s="3"/>
    </row>
    <row r="1415" spans="1:4" x14ac:dyDescent="0.25">
      <c r="A1415" s="2" t="s">
        <v>4095</v>
      </c>
      <c r="B1415" s="2" t="s">
        <v>74</v>
      </c>
      <c r="C1415" s="31" t="str">
        <f>VLOOKUP(irregulares[[#This Row],[Similar a]],padroes[],2,0)</f>
        <v>GAR</v>
      </c>
      <c r="D1415" s="3"/>
    </row>
    <row r="1416" spans="1:4" x14ac:dyDescent="0.25">
      <c r="A1416" s="2" t="s">
        <v>4212</v>
      </c>
      <c r="B1416" s="2" t="s">
        <v>49</v>
      </c>
      <c r="C1416" s="31" t="str">
        <f>VLOOKUP(irregulares[[#This Row],[Similar a]],padroes[],2,0)</f>
        <v>OAR</v>
      </c>
      <c r="D1416" s="3"/>
    </row>
    <row r="1417" spans="1:4" x14ac:dyDescent="0.25">
      <c r="A1417" s="2" t="s">
        <v>4096</v>
      </c>
      <c r="B1417" s="2" t="s">
        <v>74</v>
      </c>
      <c r="C1417" s="31" t="str">
        <f>VLOOKUP(irregulares[[#This Row],[Similar a]],padroes[],2,0)</f>
        <v>GAR</v>
      </c>
      <c r="D1417" s="3"/>
    </row>
    <row r="1418" spans="1:4" x14ac:dyDescent="0.25">
      <c r="A1418" s="2" t="s">
        <v>3930</v>
      </c>
      <c r="B1418" s="2" t="s">
        <v>53</v>
      </c>
      <c r="C1418" s="31" t="str">
        <f>VLOOKUP(irregulares[[#This Row],[Similar a]],padroes[],2,0)</f>
        <v>EAR</v>
      </c>
      <c r="D1418" s="3"/>
    </row>
    <row r="1419" spans="1:4" x14ac:dyDescent="0.25">
      <c r="A1419" s="2" t="s">
        <v>4312</v>
      </c>
      <c r="B1419" s="2" t="s">
        <v>63</v>
      </c>
      <c r="C1419" s="31" t="str">
        <f>VLOOKUP(irregulares[[#This Row],[Similar a]],padroes[],2,0)</f>
        <v>CER</v>
      </c>
      <c r="D1419" s="3"/>
    </row>
    <row r="1420" spans="1:4" x14ac:dyDescent="0.25">
      <c r="A1420" s="2" t="s">
        <v>3931</v>
      </c>
      <c r="B1420" s="2" t="s">
        <v>53</v>
      </c>
      <c r="C1420" s="31" t="str">
        <f>VLOOKUP(irregulares[[#This Row],[Similar a]],padroes[],2,0)</f>
        <v>EAR</v>
      </c>
      <c r="D1420" s="3"/>
    </row>
    <row r="1421" spans="1:4" x14ac:dyDescent="0.25">
      <c r="A1421" s="2" t="s">
        <v>4313</v>
      </c>
      <c r="B1421" s="2" t="s">
        <v>63</v>
      </c>
      <c r="C1421" s="31" t="str">
        <f>VLOOKUP(irregulares[[#This Row],[Similar a]],padroes[],2,0)</f>
        <v>CER</v>
      </c>
      <c r="D1421" s="3"/>
    </row>
    <row r="1422" spans="1:4" x14ac:dyDescent="0.25">
      <c r="A1422" s="2" t="s">
        <v>4314</v>
      </c>
      <c r="B1422" s="2" t="s">
        <v>63</v>
      </c>
      <c r="C1422" s="31" t="str">
        <f>VLOOKUP(irregulares[[#This Row],[Similar a]],padroes[],2,0)</f>
        <v>CER</v>
      </c>
      <c r="D1422" s="3"/>
    </row>
    <row r="1423" spans="1:4" x14ac:dyDescent="0.25">
      <c r="A1423" s="2" t="s">
        <v>4315</v>
      </c>
      <c r="B1423" s="2" t="s">
        <v>63</v>
      </c>
      <c r="C1423" s="31" t="str">
        <f>VLOOKUP(irregulares[[#This Row],[Similar a]],padroes[],2,0)</f>
        <v>CER</v>
      </c>
      <c r="D1423" s="3"/>
    </row>
    <row r="1424" spans="1:4" x14ac:dyDescent="0.25">
      <c r="A1424" s="2" t="s">
        <v>4316</v>
      </c>
      <c r="B1424" s="2" t="s">
        <v>63</v>
      </c>
      <c r="C1424" s="31" t="str">
        <f>VLOOKUP(irregulares[[#This Row],[Similar a]],padroes[],2,0)</f>
        <v>CER</v>
      </c>
      <c r="D1424" s="3"/>
    </row>
    <row r="1425" spans="1:4" x14ac:dyDescent="0.25">
      <c r="A1425" s="2" t="s">
        <v>4213</v>
      </c>
      <c r="B1425" s="2" t="s">
        <v>49</v>
      </c>
      <c r="C1425" s="31" t="str">
        <f>VLOOKUP(irregulares[[#This Row],[Similar a]],padroes[],2,0)</f>
        <v>OAR</v>
      </c>
      <c r="D1425" s="3"/>
    </row>
    <row r="1426" spans="1:4" x14ac:dyDescent="0.25">
      <c r="A1426" s="2" t="s">
        <v>4317</v>
      </c>
      <c r="B1426" s="2" t="s">
        <v>63</v>
      </c>
      <c r="C1426" s="31" t="str">
        <f>VLOOKUP(irregulares[[#This Row],[Similar a]],padroes[],2,0)</f>
        <v>CER</v>
      </c>
      <c r="D1426" s="3"/>
    </row>
    <row r="1427" spans="1:4" x14ac:dyDescent="0.25">
      <c r="A1427" s="2" t="s">
        <v>4318</v>
      </c>
      <c r="B1427" s="2" t="s">
        <v>63</v>
      </c>
      <c r="C1427" s="31" t="str">
        <f>VLOOKUP(irregulares[[#This Row],[Similar a]],padroes[],2,0)</f>
        <v>CER</v>
      </c>
      <c r="D1427" s="3"/>
    </row>
    <row r="1428" spans="1:4" x14ac:dyDescent="0.25">
      <c r="A1428" s="2" t="s">
        <v>4319</v>
      </c>
      <c r="B1428" s="2" t="s">
        <v>63</v>
      </c>
      <c r="C1428" s="31" t="str">
        <f>VLOOKUP(irregulares[[#This Row],[Similar a]],padroes[],2,0)</f>
        <v>CER</v>
      </c>
      <c r="D1428" s="3"/>
    </row>
    <row r="1429" spans="1:4" x14ac:dyDescent="0.25">
      <c r="A1429" s="2" t="s">
        <v>1415</v>
      </c>
      <c r="B1429" s="2" t="s">
        <v>319</v>
      </c>
      <c r="C1429" s="31" t="str">
        <f>VLOOKUP(irregulares[[#This Row],[Similar a]],padroes[],2,0)</f>
        <v>Í-X-AR</v>
      </c>
      <c r="D1429" s="3"/>
    </row>
    <row r="1430" spans="1:4" x14ac:dyDescent="0.25">
      <c r="A1430" s="2" t="s">
        <v>4320</v>
      </c>
      <c r="B1430" s="2" t="s">
        <v>63</v>
      </c>
      <c r="C1430" s="31" t="str">
        <f>VLOOKUP(irregulares[[#This Row],[Similar a]],padroes[],2,0)</f>
        <v>CER</v>
      </c>
      <c r="D1430" s="3"/>
    </row>
    <row r="1431" spans="1:4" x14ac:dyDescent="0.25">
      <c r="A1431" s="2" t="s">
        <v>3932</v>
      </c>
      <c r="B1431" s="2" t="s">
        <v>53</v>
      </c>
      <c r="C1431" s="31" t="str">
        <f>VLOOKUP(irregulares[[#This Row],[Similar a]],padroes[],2,0)</f>
        <v>EAR</v>
      </c>
      <c r="D1431" s="3"/>
    </row>
    <row r="1432" spans="1:4" x14ac:dyDescent="0.25">
      <c r="A1432" s="2" t="s">
        <v>4561</v>
      </c>
      <c r="B1432" s="2" t="s">
        <v>157</v>
      </c>
      <c r="C1432" s="31" t="str">
        <f>VLOOKUP(irregulares[[#This Row],[Similar a]],padroes[],2,0)</f>
        <v>ELHAR</v>
      </c>
      <c r="D1432" s="3"/>
    </row>
    <row r="1433" spans="1:4" x14ac:dyDescent="0.25">
      <c r="A1433" s="2" t="s">
        <v>3933</v>
      </c>
      <c r="B1433" s="2" t="s">
        <v>53</v>
      </c>
      <c r="C1433" s="31" t="str">
        <f>VLOOKUP(irregulares[[#This Row],[Similar a]],padroes[],2,0)</f>
        <v>EAR</v>
      </c>
      <c r="D1433" s="3"/>
    </row>
    <row r="1434" spans="1:4" x14ac:dyDescent="0.25">
      <c r="A1434" s="2" t="s">
        <v>4562</v>
      </c>
      <c r="B1434" s="2" t="s">
        <v>157</v>
      </c>
      <c r="C1434" s="31" t="str">
        <f>VLOOKUP(irregulares[[#This Row],[Similar a]],padroes[],2,0)</f>
        <v>ELHAR</v>
      </c>
      <c r="D1434" s="3"/>
    </row>
    <row r="1435" spans="1:4" x14ac:dyDescent="0.25">
      <c r="A1435" s="2" t="s">
        <v>4321</v>
      </c>
      <c r="B1435" s="2" t="s">
        <v>63</v>
      </c>
      <c r="C1435" s="31" t="str">
        <f>VLOOKUP(irregulares[[#This Row],[Similar a]],padroes[],2,0)</f>
        <v>CER</v>
      </c>
      <c r="D1435" s="3"/>
    </row>
    <row r="1436" spans="1:4" x14ac:dyDescent="0.25">
      <c r="A1436" s="2" t="s">
        <v>4322</v>
      </c>
      <c r="B1436" s="2" t="s">
        <v>63</v>
      </c>
      <c r="C1436" s="31" t="str">
        <f>VLOOKUP(irregulares[[#This Row],[Similar a]],padroes[],2,0)</f>
        <v>CER</v>
      </c>
      <c r="D1436" s="3"/>
    </row>
    <row r="1437" spans="1:4" x14ac:dyDescent="0.25">
      <c r="A1437" s="2" t="s">
        <v>4323</v>
      </c>
      <c r="B1437" s="2" t="s">
        <v>63</v>
      </c>
      <c r="C1437" s="31" t="str">
        <f>VLOOKUP(irregulares[[#This Row],[Similar a]],padroes[],2,0)</f>
        <v>CER</v>
      </c>
      <c r="D1437" s="3"/>
    </row>
    <row r="1438" spans="1:4" x14ac:dyDescent="0.25">
      <c r="A1438" s="2" t="s">
        <v>4324</v>
      </c>
      <c r="B1438" s="2" t="s">
        <v>63</v>
      </c>
      <c r="C1438" s="31" t="str">
        <f>VLOOKUP(irregulares[[#This Row],[Similar a]],padroes[],2,0)</f>
        <v>CER</v>
      </c>
      <c r="D1438" s="3"/>
    </row>
    <row r="1439" spans="1:4" x14ac:dyDescent="0.25">
      <c r="A1439" s="2" t="s">
        <v>4325</v>
      </c>
      <c r="B1439" s="2" t="s">
        <v>63</v>
      </c>
      <c r="C1439" s="31" t="str">
        <f>VLOOKUP(irregulares[[#This Row],[Similar a]],padroes[],2,0)</f>
        <v>CER</v>
      </c>
      <c r="D1439" s="3"/>
    </row>
    <row r="1440" spans="1:4" x14ac:dyDescent="0.25">
      <c r="A1440" s="2" t="s">
        <v>4097</v>
      </c>
      <c r="B1440" s="2" t="s">
        <v>74</v>
      </c>
      <c r="C1440" s="31" t="str">
        <f>VLOOKUP(irregulares[[#This Row],[Similar a]],padroes[],2,0)</f>
        <v>GAR</v>
      </c>
      <c r="D1440" s="3"/>
    </row>
    <row r="1441" spans="1:4" x14ac:dyDescent="0.25">
      <c r="A1441" s="2" t="s">
        <v>4214</v>
      </c>
      <c r="B1441" s="2" t="s">
        <v>49</v>
      </c>
      <c r="C1441" s="31" t="str">
        <f>VLOOKUP(irregulares[[#This Row],[Similar a]],padroes[],2,0)</f>
        <v>OAR</v>
      </c>
      <c r="D1441" s="3"/>
    </row>
    <row r="1442" spans="1:4" x14ac:dyDescent="0.25">
      <c r="A1442" s="2" t="s">
        <v>4326</v>
      </c>
      <c r="B1442" s="2" t="s">
        <v>63</v>
      </c>
      <c r="C1442" s="31" t="str">
        <f>VLOOKUP(irregulares[[#This Row],[Similar a]],padroes[],2,0)</f>
        <v>CER</v>
      </c>
      <c r="D1442" s="3"/>
    </row>
    <row r="1443" spans="1:4" x14ac:dyDescent="0.25">
      <c r="A1443" s="2" t="s">
        <v>4327</v>
      </c>
      <c r="B1443" s="2" t="s">
        <v>63</v>
      </c>
      <c r="C1443" s="31" t="str">
        <f>VLOOKUP(irregulares[[#This Row],[Similar a]],padroes[],2,0)</f>
        <v>CER</v>
      </c>
      <c r="D1443" s="3"/>
    </row>
    <row r="1444" spans="1:4" x14ac:dyDescent="0.25">
      <c r="A1444" s="2" t="s">
        <v>4139</v>
      </c>
      <c r="B1444" s="2" t="s">
        <v>55</v>
      </c>
      <c r="C1444" s="31" t="str">
        <f>VLOOKUP(irregulares[[#This Row],[Similar a]],padroes[],2,0)</f>
        <v>EJAR ô</v>
      </c>
      <c r="D1444" s="3"/>
    </row>
    <row r="1445" spans="1:4" x14ac:dyDescent="0.25">
      <c r="A1445" s="2" t="s">
        <v>4215</v>
      </c>
      <c r="B1445" s="2" t="s">
        <v>49</v>
      </c>
      <c r="C1445" s="31" t="str">
        <f>VLOOKUP(irregulares[[#This Row],[Similar a]],padroes[],2,0)</f>
        <v>OAR</v>
      </c>
      <c r="D1445" s="3"/>
    </row>
    <row r="1446" spans="1:4" x14ac:dyDescent="0.25">
      <c r="A1446" s="2" t="s">
        <v>4328</v>
      </c>
      <c r="B1446" s="2" t="s">
        <v>63</v>
      </c>
      <c r="C1446" s="31" t="str">
        <f>VLOOKUP(irregulares[[#This Row],[Similar a]],padroes[],2,0)</f>
        <v>CER</v>
      </c>
      <c r="D1446" s="3"/>
    </row>
    <row r="1447" spans="1:4" x14ac:dyDescent="0.25">
      <c r="A1447" s="2" t="s">
        <v>4019</v>
      </c>
      <c r="B1447" s="2" t="s">
        <v>60</v>
      </c>
      <c r="C1447" s="31" t="str">
        <f>VLOOKUP(irregulares[[#This Row],[Similar a]],padroes[],2,0)</f>
        <v>GAR</v>
      </c>
      <c r="D1447" s="3"/>
    </row>
    <row r="1448" spans="1:4" x14ac:dyDescent="0.25">
      <c r="A1448" s="2" t="s">
        <v>3934</v>
      </c>
      <c r="B1448" s="2" t="s">
        <v>53</v>
      </c>
      <c r="C1448" s="31" t="str">
        <f>VLOOKUP(irregulares[[#This Row],[Similar a]],padroes[],2,0)</f>
        <v>EAR</v>
      </c>
      <c r="D1448" s="3"/>
    </row>
    <row r="1449" spans="1:4" x14ac:dyDescent="0.25">
      <c r="A1449" s="2" t="s">
        <v>4329</v>
      </c>
      <c r="B1449" s="2" t="s">
        <v>63</v>
      </c>
      <c r="C1449" s="31" t="str">
        <f>VLOOKUP(irregulares[[#This Row],[Similar a]],padroes[],2,0)</f>
        <v>CER</v>
      </c>
      <c r="D1449" s="3"/>
    </row>
    <row r="1450" spans="1:4" x14ac:dyDescent="0.25">
      <c r="A1450" s="2" t="s">
        <v>4330</v>
      </c>
      <c r="B1450" s="2" t="s">
        <v>63</v>
      </c>
      <c r="C1450" s="31" t="str">
        <f>VLOOKUP(irregulares[[#This Row],[Similar a]],padroes[],2,0)</f>
        <v>CER</v>
      </c>
      <c r="D1450" s="3"/>
    </row>
    <row r="1451" spans="1:4" x14ac:dyDescent="0.25">
      <c r="A1451" s="2" t="s">
        <v>4331</v>
      </c>
      <c r="B1451" s="2" t="s">
        <v>63</v>
      </c>
      <c r="C1451" s="31" t="str">
        <f>VLOOKUP(irregulares[[#This Row],[Similar a]],padroes[],2,0)</f>
        <v>CER</v>
      </c>
      <c r="D1451" s="3"/>
    </row>
    <row r="1452" spans="1:4" x14ac:dyDescent="0.25">
      <c r="A1452" s="2" t="s">
        <v>4098</v>
      </c>
      <c r="B1452" s="2" t="s">
        <v>74</v>
      </c>
      <c r="C1452" s="31" t="str">
        <f>VLOOKUP(irregulares[[#This Row],[Similar a]],padroes[],2,0)</f>
        <v>GAR</v>
      </c>
      <c r="D1452" s="3"/>
    </row>
    <row r="1453" spans="1:4" x14ac:dyDescent="0.25">
      <c r="A1453" s="2" t="s">
        <v>4332</v>
      </c>
      <c r="B1453" s="2" t="s">
        <v>63</v>
      </c>
      <c r="C1453" s="31" t="str">
        <f>VLOOKUP(irregulares[[#This Row],[Similar a]],padroes[],2,0)</f>
        <v>CER</v>
      </c>
      <c r="D1453" s="3"/>
    </row>
    <row r="1454" spans="1:4" x14ac:dyDescent="0.25">
      <c r="A1454" s="2" t="s">
        <v>4563</v>
      </c>
      <c r="B1454" s="2" t="s">
        <v>1717</v>
      </c>
      <c r="C1454" s="31" t="str">
        <f>VLOOKUP(irregulares[[#This Row],[Similar a]],padroes[],2,0)</f>
        <v>Defectivo 1</v>
      </c>
      <c r="D1454" s="3"/>
    </row>
    <row r="1455" spans="1:4" x14ac:dyDescent="0.25">
      <c r="A1455" s="2" t="s">
        <v>4333</v>
      </c>
      <c r="B1455" s="2" t="s">
        <v>367</v>
      </c>
      <c r="C1455" s="31" t="str">
        <f>VLOOKUP(irregulares[[#This Row],[Similar a]],padroes[],2,0)</f>
        <v>Defectivo 4</v>
      </c>
      <c r="D1455" s="3"/>
    </row>
    <row r="1456" spans="1:4" x14ac:dyDescent="0.25">
      <c r="A1456" s="2" t="s">
        <v>3935</v>
      </c>
      <c r="B1456" s="2" t="s">
        <v>53</v>
      </c>
      <c r="C1456" s="31" t="str">
        <f>VLOOKUP(irregulares[[#This Row],[Similar a]],padroes[],2,0)</f>
        <v>EAR</v>
      </c>
      <c r="D1456" s="3"/>
    </row>
    <row r="1457" spans="1:4" x14ac:dyDescent="0.25">
      <c r="A1457" s="2" t="s">
        <v>4334</v>
      </c>
      <c r="B1457" s="2" t="s">
        <v>63</v>
      </c>
      <c r="C1457" s="31" t="str">
        <f>VLOOKUP(irregulares[[#This Row],[Similar a]],padroes[],2,0)</f>
        <v>CER</v>
      </c>
      <c r="D1457" s="3"/>
    </row>
    <row r="1458" spans="1:4" x14ac:dyDescent="0.25">
      <c r="A1458" s="2" t="s">
        <v>4140</v>
      </c>
      <c r="B1458" s="2" t="s">
        <v>55</v>
      </c>
      <c r="C1458" s="31" t="str">
        <f>VLOOKUP(irregulares[[#This Row],[Similar a]],padroes[],2,0)</f>
        <v>EJAR ô</v>
      </c>
      <c r="D1458" s="3"/>
    </row>
    <row r="1459" spans="1:4" x14ac:dyDescent="0.25">
      <c r="A1459" s="2" t="s">
        <v>4335</v>
      </c>
      <c r="B1459" s="2" t="s">
        <v>163</v>
      </c>
      <c r="C1459" s="31" t="str">
        <f>VLOOKUP(irregulares[[#This Row],[Similar a]],padroes[],2,0)</f>
        <v>Defectivo 3</v>
      </c>
      <c r="D1459" s="3"/>
    </row>
    <row r="1460" spans="1:4" x14ac:dyDescent="0.25">
      <c r="A1460" s="2" t="s">
        <v>4336</v>
      </c>
      <c r="B1460" s="2" t="s">
        <v>63</v>
      </c>
      <c r="C1460" s="31" t="str">
        <f>VLOOKUP(irregulares[[#This Row],[Similar a]],padroes[],2,0)</f>
        <v>CER</v>
      </c>
      <c r="D1460" s="3"/>
    </row>
    <row r="1461" spans="1:4" x14ac:dyDescent="0.25">
      <c r="A1461" s="2" t="s">
        <v>4337</v>
      </c>
      <c r="B1461" s="2" t="s">
        <v>63</v>
      </c>
      <c r="C1461" s="31" t="str">
        <f>VLOOKUP(irregulares[[#This Row],[Similar a]],padroes[],2,0)</f>
        <v>CER</v>
      </c>
      <c r="D1461" s="3"/>
    </row>
    <row r="1462" spans="1:4" x14ac:dyDescent="0.25">
      <c r="A1462" s="2" t="s">
        <v>4216</v>
      </c>
      <c r="B1462" s="2" t="s">
        <v>49</v>
      </c>
      <c r="C1462" s="31" t="str">
        <f>VLOOKUP(irregulares[[#This Row],[Similar a]],padroes[],2,0)</f>
        <v>OAR</v>
      </c>
      <c r="D1462" s="3"/>
    </row>
    <row r="1463" spans="1:4" x14ac:dyDescent="0.25">
      <c r="A1463" s="2" t="s">
        <v>4338</v>
      </c>
      <c r="B1463" s="2" t="s">
        <v>63</v>
      </c>
      <c r="C1463" s="31" t="str">
        <f>VLOOKUP(irregulares[[#This Row],[Similar a]],padroes[],2,0)</f>
        <v>CER</v>
      </c>
      <c r="D1463" s="3"/>
    </row>
    <row r="1464" spans="1:4" x14ac:dyDescent="0.25">
      <c r="A1464" s="2" t="s">
        <v>4217</v>
      </c>
      <c r="B1464" s="2" t="s">
        <v>49</v>
      </c>
      <c r="C1464" s="31" t="str">
        <f>VLOOKUP(irregulares[[#This Row],[Similar a]],padroes[],2,0)</f>
        <v>OAR</v>
      </c>
      <c r="D1464" s="3"/>
    </row>
    <row r="1465" spans="1:4" x14ac:dyDescent="0.25">
      <c r="A1465" s="2" t="s">
        <v>4339</v>
      </c>
      <c r="B1465" s="2" t="s">
        <v>63</v>
      </c>
      <c r="C1465" s="31" t="str">
        <f>VLOOKUP(irregulares[[#This Row],[Similar a]],padroes[],2,0)</f>
        <v>CER</v>
      </c>
      <c r="D1465" s="3"/>
    </row>
    <row r="1466" spans="1:4" x14ac:dyDescent="0.25">
      <c r="A1466" s="2" t="s">
        <v>4340</v>
      </c>
      <c r="B1466" s="2" t="s">
        <v>63</v>
      </c>
      <c r="C1466" s="31" t="str">
        <f>VLOOKUP(irregulares[[#This Row],[Similar a]],padroes[],2,0)</f>
        <v>CER</v>
      </c>
      <c r="D1466" s="3"/>
    </row>
    <row r="1467" spans="1:4" x14ac:dyDescent="0.25">
      <c r="A1467" s="2" t="s">
        <v>4218</v>
      </c>
      <c r="B1467" s="2" t="s">
        <v>49</v>
      </c>
      <c r="C1467" s="31" t="str">
        <f>VLOOKUP(irregulares[[#This Row],[Similar a]],padroes[],2,0)</f>
        <v>OAR</v>
      </c>
      <c r="D1467" s="3"/>
    </row>
    <row r="1468" spans="1:4" x14ac:dyDescent="0.25">
      <c r="A1468" s="2" t="s">
        <v>4564</v>
      </c>
      <c r="B1468" s="2" t="s">
        <v>115</v>
      </c>
      <c r="C1468" s="31" t="str">
        <f>VLOOKUP(irregulares[[#This Row],[Similar a]],padroes[],2,0)</f>
        <v>Abundante</v>
      </c>
      <c r="D1468" s="3"/>
    </row>
    <row r="1469" spans="1:4" x14ac:dyDescent="0.25">
      <c r="A1469" s="2" t="s">
        <v>4565</v>
      </c>
      <c r="B1469" s="2" t="s">
        <v>1122</v>
      </c>
      <c r="C1469" s="31" t="str">
        <f>VLOOKUP(irregulares[[#This Row],[Similar a]],padroes[],2,0)</f>
        <v>ECHAR ê</v>
      </c>
      <c r="D1469" s="3"/>
    </row>
    <row r="1470" spans="1:4" x14ac:dyDescent="0.25">
      <c r="A1470" s="2" t="s">
        <v>4341</v>
      </c>
      <c r="B1470" s="2" t="s">
        <v>63</v>
      </c>
      <c r="C1470" s="31" t="str">
        <f>VLOOKUP(irregulares[[#This Row],[Similar a]],padroes[],2,0)</f>
        <v>CER</v>
      </c>
      <c r="D1470" s="3"/>
    </row>
    <row r="1471" spans="1:4" x14ac:dyDescent="0.25">
      <c r="A1471" s="2" t="s">
        <v>4566</v>
      </c>
      <c r="B1471" s="2" t="s">
        <v>419</v>
      </c>
      <c r="C1471" s="31" t="str">
        <f>VLOOKUP(irregulares[[#This Row],[Similar a]],padroes[],2,0)</f>
        <v>DIZER</v>
      </c>
      <c r="D1471" s="3"/>
    </row>
    <row r="1472" spans="1:4" x14ac:dyDescent="0.25">
      <c r="A1472" s="2" t="s">
        <v>4567</v>
      </c>
      <c r="B1472" s="2" t="s">
        <v>1122</v>
      </c>
      <c r="C1472" s="31" t="str">
        <f>VLOOKUP(irregulares[[#This Row],[Similar a]],padroes[],2,0)</f>
        <v>ECHAR ê</v>
      </c>
      <c r="D1472" s="3"/>
    </row>
    <row r="1473" spans="1:4" x14ac:dyDescent="0.25">
      <c r="A1473" s="2" t="s">
        <v>1128</v>
      </c>
      <c r="B1473" s="2" t="s">
        <v>1128</v>
      </c>
      <c r="C1473" s="31" t="str">
        <f>VLOOKUP(irregulares[[#This Row],[Similar a]],padroes[],2,0)</f>
        <v>GAR</v>
      </c>
      <c r="D1473" s="3"/>
    </row>
    <row r="1474" spans="1:4" x14ac:dyDescent="0.25">
      <c r="A1474" s="2" t="s">
        <v>4568</v>
      </c>
      <c r="B1474" s="2" t="s">
        <v>1887</v>
      </c>
      <c r="C1474" s="31" t="str">
        <f>VLOOKUP(irregulares[[#This Row],[Similar a]],padroes[],2,0)</f>
        <v>UZIR</v>
      </c>
      <c r="D1474" s="3"/>
    </row>
    <row r="1475" spans="1:4" x14ac:dyDescent="0.25">
      <c r="A1475" s="2" t="s">
        <v>3936</v>
      </c>
      <c r="B1475" s="2" t="s">
        <v>53</v>
      </c>
      <c r="C1475" s="31" t="str">
        <f>VLOOKUP(irregulares[[#This Row],[Similar a]],padroes[],2,0)</f>
        <v>EAR</v>
      </c>
      <c r="D1475" s="3"/>
    </row>
    <row r="1476" spans="1:4" x14ac:dyDescent="0.25">
      <c r="A1476" s="2" t="s">
        <v>4569</v>
      </c>
      <c r="B1476" s="2" t="s">
        <v>1998</v>
      </c>
      <c r="C1476" s="31" t="str">
        <f>VLOOKUP(irregulares[[#This Row],[Similar a]],padroes[],2,0)</f>
        <v>PEDIR</v>
      </c>
      <c r="D1476" s="3"/>
    </row>
    <row r="1477" spans="1:4" x14ac:dyDescent="0.25">
      <c r="A1477" s="2" t="s">
        <v>4570</v>
      </c>
      <c r="B1477" s="2" t="s">
        <v>267</v>
      </c>
      <c r="C1477" s="31" t="str">
        <f>VLOOKUP(irregulares[[#This Row],[Similar a]],padroes[],2,0)</f>
        <v>POR</v>
      </c>
      <c r="D1477" s="3"/>
    </row>
    <row r="1478" spans="1:4" x14ac:dyDescent="0.25">
      <c r="A1478" s="2" t="s">
        <v>4571</v>
      </c>
      <c r="B1478" s="2" t="s">
        <v>4571</v>
      </c>
      <c r="C1478" s="31" t="str">
        <f>VLOOKUP(irregulares[[#This Row],[Similar a]],padroes[],2,0)</f>
        <v>Defectivo 6</v>
      </c>
      <c r="D1478" s="3"/>
    </row>
    <row r="1479" spans="1:4" x14ac:dyDescent="0.25">
      <c r="A1479" s="2" t="s">
        <v>3937</v>
      </c>
      <c r="B1479" s="2" t="s">
        <v>53</v>
      </c>
      <c r="C1479" s="31" t="str">
        <f>VLOOKUP(irregulares[[#This Row],[Similar a]],padroes[],2,0)</f>
        <v>EAR</v>
      </c>
      <c r="D1479" s="3"/>
    </row>
    <row r="1480" spans="1:4" x14ac:dyDescent="0.25">
      <c r="A1480" s="2" t="s">
        <v>4342</v>
      </c>
      <c r="B1480" s="2" t="s">
        <v>63</v>
      </c>
      <c r="C1480" s="31" t="str">
        <f>VLOOKUP(irregulares[[#This Row],[Similar a]],padroes[],2,0)</f>
        <v>CER</v>
      </c>
      <c r="D1480" s="3"/>
    </row>
    <row r="1481" spans="1:4" x14ac:dyDescent="0.25">
      <c r="A1481" s="2" t="s">
        <v>4572</v>
      </c>
      <c r="B1481" s="2" t="s">
        <v>1</v>
      </c>
      <c r="C1481" s="31" t="str">
        <f>VLOOKUP(irregulares[[#This Row],[Similar a]],padroes[],2,0)</f>
        <v>TER</v>
      </c>
      <c r="D1481" s="3"/>
    </row>
    <row r="1482" spans="1:4" x14ac:dyDescent="0.25">
      <c r="A1482" s="2" t="s">
        <v>4343</v>
      </c>
      <c r="B1482" s="2" t="s">
        <v>63</v>
      </c>
      <c r="C1482" s="31" t="str">
        <f>VLOOKUP(irregulares[[#This Row],[Similar a]],padroes[],2,0)</f>
        <v>CER</v>
      </c>
      <c r="D1482" s="3"/>
    </row>
    <row r="1483" spans="1:4" x14ac:dyDescent="0.25">
      <c r="A1483" s="2" t="s">
        <v>4573</v>
      </c>
      <c r="B1483" s="2" t="s">
        <v>250</v>
      </c>
      <c r="C1483" s="31" t="str">
        <f>VLOOKUP(irregulares[[#This Row],[Similar a]],padroes[],2,0)</f>
        <v>VER</v>
      </c>
      <c r="D1483" s="3"/>
    </row>
    <row r="1484" spans="1:4" x14ac:dyDescent="0.25">
      <c r="A1484" s="2" t="s">
        <v>4344</v>
      </c>
      <c r="B1484" s="2" t="s">
        <v>63</v>
      </c>
      <c r="C1484" s="31" t="str">
        <f>VLOOKUP(irregulares[[#This Row],[Similar a]],padroes[],2,0)</f>
        <v>CER</v>
      </c>
      <c r="D1484" s="3"/>
    </row>
    <row r="1485" spans="1:4" x14ac:dyDescent="0.25">
      <c r="A1485" s="2" t="s">
        <v>4345</v>
      </c>
      <c r="B1485" s="2" t="s">
        <v>63</v>
      </c>
      <c r="C1485" s="31" t="str">
        <f>VLOOKUP(irregulares[[#This Row],[Similar a]],padroes[],2,0)</f>
        <v>CER</v>
      </c>
      <c r="D1485" s="3"/>
    </row>
    <row r="1486" spans="1:4" x14ac:dyDescent="0.25">
      <c r="A1486" s="2" t="s">
        <v>3938</v>
      </c>
      <c r="B1486" s="2" t="s">
        <v>53</v>
      </c>
      <c r="C1486" s="31" t="str">
        <f>VLOOKUP(irregulares[[#This Row],[Similar a]],padroes[],2,0)</f>
        <v>EAR</v>
      </c>
      <c r="D1486" s="3"/>
    </row>
    <row r="1487" spans="1:4" x14ac:dyDescent="0.25">
      <c r="A1487" s="2" t="s">
        <v>4346</v>
      </c>
      <c r="B1487" s="2" t="s">
        <v>63</v>
      </c>
      <c r="C1487" s="31" t="str">
        <f>VLOOKUP(irregulares[[#This Row],[Similar a]],padroes[],2,0)</f>
        <v>CER</v>
      </c>
      <c r="D1487" s="3"/>
    </row>
    <row r="1488" spans="1:4" x14ac:dyDescent="0.25">
      <c r="A1488" s="2" t="s">
        <v>4347</v>
      </c>
      <c r="B1488" s="2" t="s">
        <v>63</v>
      </c>
      <c r="C1488" s="31" t="str">
        <f>VLOOKUP(irregulares[[#This Row],[Similar a]],padroes[],2,0)</f>
        <v>CER</v>
      </c>
      <c r="D1488" s="3"/>
    </row>
    <row r="1489" spans="1:4" x14ac:dyDescent="0.25">
      <c r="A1489" s="2" t="s">
        <v>4348</v>
      </c>
      <c r="B1489" s="2" t="s">
        <v>63</v>
      </c>
      <c r="C1489" s="31" t="str">
        <f>VLOOKUP(irregulares[[#This Row],[Similar a]],padroes[],2,0)</f>
        <v>CER</v>
      </c>
      <c r="D1489" s="3"/>
    </row>
    <row r="1490" spans="1:4" x14ac:dyDescent="0.25">
      <c r="A1490" s="2" t="s">
        <v>4349</v>
      </c>
      <c r="B1490" s="2" t="s">
        <v>63</v>
      </c>
      <c r="C1490" s="31" t="str">
        <f>VLOOKUP(irregulares[[#This Row],[Similar a]],padroes[],2,0)</f>
        <v>CER</v>
      </c>
      <c r="D1490" s="3"/>
    </row>
    <row r="1491" spans="1:4" x14ac:dyDescent="0.25">
      <c r="A1491" s="2" t="s">
        <v>4141</v>
      </c>
      <c r="B1491" s="2" t="s">
        <v>55</v>
      </c>
      <c r="C1491" s="31" t="str">
        <f>VLOOKUP(irregulares[[#This Row],[Similar a]],padroes[],2,0)</f>
        <v>EJAR ô</v>
      </c>
      <c r="D1491" s="3"/>
    </row>
    <row r="1492" spans="1:4" x14ac:dyDescent="0.25">
      <c r="A1492" s="2" t="s">
        <v>4099</v>
      </c>
      <c r="B1492" s="2" t="s">
        <v>74</v>
      </c>
      <c r="C1492" s="31" t="str">
        <f>VLOOKUP(irregulares[[#This Row],[Similar a]],padroes[],2,0)</f>
        <v>GAR</v>
      </c>
      <c r="D1492" s="3"/>
    </row>
    <row r="1493" spans="1:4" x14ac:dyDescent="0.25">
      <c r="A1493" s="2" t="s">
        <v>4574</v>
      </c>
      <c r="B1493" s="2" t="s">
        <v>157</v>
      </c>
      <c r="C1493" s="31" t="str">
        <f>VLOOKUP(irregulares[[#This Row],[Similar a]],padroes[],2,0)</f>
        <v>ELHAR</v>
      </c>
      <c r="D1493" s="3"/>
    </row>
    <row r="1494" spans="1:4" x14ac:dyDescent="0.25">
      <c r="A1494" s="2" t="s">
        <v>4350</v>
      </c>
      <c r="B1494" s="2" t="s">
        <v>63</v>
      </c>
      <c r="C1494" s="31" t="str">
        <f>VLOOKUP(irregulares[[#This Row],[Similar a]],padroes[],2,0)</f>
        <v>CER</v>
      </c>
      <c r="D1494" s="3"/>
    </row>
    <row r="1495" spans="1:4" x14ac:dyDescent="0.25">
      <c r="A1495" s="2" t="s">
        <v>4100</v>
      </c>
      <c r="B1495" s="2" t="s">
        <v>74</v>
      </c>
      <c r="C1495" s="31" t="str">
        <f>VLOOKUP(irregulares[[#This Row],[Similar a]],padroes[],2,0)</f>
        <v>GAR</v>
      </c>
      <c r="D1495" s="3"/>
    </row>
    <row r="1496" spans="1:4" x14ac:dyDescent="0.25">
      <c r="A1496" s="2" t="s">
        <v>4074</v>
      </c>
      <c r="B1496" s="2" t="s">
        <v>60</v>
      </c>
      <c r="C1496" s="31" t="str">
        <f>VLOOKUP(irregulares[[#This Row],[Similar a]],padroes[],2,0)</f>
        <v>GAR</v>
      </c>
      <c r="D1496" s="3"/>
    </row>
    <row r="1497" spans="1:4" x14ac:dyDescent="0.25">
      <c r="A1497" s="2" t="s">
        <v>4575</v>
      </c>
      <c r="B1497" s="2" t="s">
        <v>351</v>
      </c>
      <c r="C1497" s="31" t="str">
        <f>VLOOKUP(irregulares[[#This Row],[Similar a]],padroes[],2,0)</f>
        <v>ÇAR</v>
      </c>
      <c r="D1497" s="3"/>
    </row>
    <row r="1498" spans="1:4" x14ac:dyDescent="0.25">
      <c r="A1498" s="2" t="s">
        <v>4351</v>
      </c>
      <c r="B1498" s="2" t="s">
        <v>63</v>
      </c>
      <c r="C1498" s="31" t="str">
        <f>VLOOKUP(irregulares[[#This Row],[Similar a]],padroes[],2,0)</f>
        <v>CER</v>
      </c>
      <c r="D1498" s="3"/>
    </row>
    <row r="1499" spans="1:4" x14ac:dyDescent="0.25">
      <c r="A1499" s="2" t="s">
        <v>4576</v>
      </c>
      <c r="B1499" s="2" t="s">
        <v>1329</v>
      </c>
      <c r="C1499" s="31" t="str">
        <f>VLOOKUP(irregulares[[#This Row],[Similar a]],padroes[],2,0)</f>
        <v>Ú-X-AR</v>
      </c>
      <c r="D1499" s="3"/>
    </row>
    <row r="1500" spans="1:4" x14ac:dyDescent="0.25">
      <c r="A1500" s="2" t="s">
        <v>4577</v>
      </c>
      <c r="B1500" s="2" t="s">
        <v>1337</v>
      </c>
      <c r="C1500" s="31" t="str">
        <f>VLOOKUP(irregulares[[#This Row],[Similar a]],padroes[],2,0)</f>
        <v>Abundante</v>
      </c>
      <c r="D1500" s="3"/>
    </row>
    <row r="1501" spans="1:4" x14ac:dyDescent="0.25">
      <c r="A1501" s="2" t="s">
        <v>3939</v>
      </c>
      <c r="B1501" s="2" t="s">
        <v>53</v>
      </c>
      <c r="C1501" s="31" t="str">
        <f>VLOOKUP(irregulares[[#This Row],[Similar a]],padroes[],2,0)</f>
        <v>EAR</v>
      </c>
      <c r="D1501" s="3"/>
    </row>
    <row r="1502" spans="1:4" x14ac:dyDescent="0.25">
      <c r="A1502" s="2" t="s">
        <v>4578</v>
      </c>
      <c r="B1502" s="2" t="s">
        <v>313</v>
      </c>
      <c r="C1502" s="31" t="str">
        <f>VLOOKUP(irregulares[[#This Row],[Similar a]],padroes[],2,0)</f>
        <v>´-GUAR</v>
      </c>
      <c r="D1502" s="3"/>
    </row>
    <row r="1503" spans="1:4" x14ac:dyDescent="0.25">
      <c r="A1503" s="2" t="s">
        <v>3940</v>
      </c>
      <c r="B1503" s="2" t="s">
        <v>53</v>
      </c>
      <c r="C1503" s="31" t="str">
        <f>VLOOKUP(irregulares[[#This Row],[Similar a]],padroes[],2,0)</f>
        <v>EAR</v>
      </c>
      <c r="D1503" s="3"/>
    </row>
    <row r="1504" spans="1:4" x14ac:dyDescent="0.25">
      <c r="A1504" s="2" t="s">
        <v>3941</v>
      </c>
      <c r="B1504" s="2" t="s">
        <v>53</v>
      </c>
      <c r="C1504" s="31" t="str">
        <f>VLOOKUP(irregulares[[#This Row],[Similar a]],padroes[],2,0)</f>
        <v>EAR</v>
      </c>
      <c r="D1504" s="3"/>
    </row>
    <row r="1505" spans="1:4" x14ac:dyDescent="0.25">
      <c r="A1505" s="2" t="s">
        <v>4075</v>
      </c>
      <c r="B1505" s="2" t="s">
        <v>60</v>
      </c>
      <c r="C1505" s="31" t="str">
        <f>VLOOKUP(irregulares[[#This Row],[Similar a]],padroes[],2,0)</f>
        <v>GAR</v>
      </c>
      <c r="D1505" s="3"/>
    </row>
    <row r="1506" spans="1:4" x14ac:dyDescent="0.25">
      <c r="A1506" s="2" t="s">
        <v>4579</v>
      </c>
      <c r="B1506" s="2" t="s">
        <v>183</v>
      </c>
      <c r="C1506" s="31" t="str">
        <f>VLOOKUP(irregulares[[#This Row],[Similar a]],padroes[],2,0)</f>
        <v>E-X-IR</v>
      </c>
      <c r="D1506" s="3"/>
    </row>
    <row r="1507" spans="1:4" x14ac:dyDescent="0.25">
      <c r="A1507" s="2" t="s">
        <v>4101</v>
      </c>
      <c r="B1507" s="2" t="s">
        <v>4101</v>
      </c>
      <c r="C1507" s="31" t="str">
        <f>VLOOKUP(irregulares[[#This Row],[Similar a]],padroes[],2,0)</f>
        <v>GAR</v>
      </c>
      <c r="D1507" s="3"/>
    </row>
    <row r="1508" spans="1:4" x14ac:dyDescent="0.25">
      <c r="A1508" s="2" t="s">
        <v>4102</v>
      </c>
      <c r="B1508" s="2" t="s">
        <v>74</v>
      </c>
      <c r="C1508" s="31" t="str">
        <f>VLOOKUP(irregulares[[#This Row],[Similar a]],padroes[],2,0)</f>
        <v>GAR</v>
      </c>
      <c r="D1508" s="3"/>
    </row>
    <row r="1509" spans="1:4" x14ac:dyDescent="0.25">
      <c r="A1509" s="2" t="s">
        <v>4580</v>
      </c>
      <c r="B1509" s="2" t="s">
        <v>1281</v>
      </c>
      <c r="C1509" s="31" t="str">
        <f>VLOOKUP(irregulares[[#This Row],[Similar a]],padroes[],2,0)</f>
        <v>VALER</v>
      </c>
      <c r="D1509" s="3"/>
    </row>
    <row r="1510" spans="1:4" x14ac:dyDescent="0.25">
      <c r="A1510" s="2" t="s">
        <v>2356</v>
      </c>
      <c r="B1510" s="2" t="s">
        <v>2356</v>
      </c>
      <c r="C1510" s="31" t="str">
        <f>VLOOKUP(irregulares[[#This Row],[Similar a]],padroes[],2,0)</f>
        <v>ERGUER</v>
      </c>
      <c r="D1510" s="3"/>
    </row>
    <row r="1511" spans="1:4" x14ac:dyDescent="0.25">
      <c r="A1511" s="2" t="s">
        <v>4581</v>
      </c>
      <c r="B1511" s="2" t="s">
        <v>4581</v>
      </c>
      <c r="C1511" s="31" t="str">
        <f>VLOOKUP(irregulares[[#This Row],[Similar a]],padroes[],2,0)</f>
        <v>GIR</v>
      </c>
      <c r="D1511" s="3"/>
    </row>
    <row r="1512" spans="1:4" x14ac:dyDescent="0.25">
      <c r="A1512" s="2" t="s">
        <v>4352</v>
      </c>
      <c r="B1512" s="2" t="s">
        <v>63</v>
      </c>
      <c r="C1512" s="31" t="str">
        <f>VLOOKUP(irregulares[[#This Row],[Similar a]],padroes[],2,0)</f>
        <v>CER</v>
      </c>
      <c r="D1512" s="3"/>
    </row>
    <row r="1513" spans="1:4" x14ac:dyDescent="0.25">
      <c r="A1513" s="2" t="s">
        <v>4353</v>
      </c>
      <c r="B1513" s="2" t="s">
        <v>63</v>
      </c>
      <c r="C1513" s="31" t="str">
        <f>VLOOKUP(irregulares[[#This Row],[Similar a]],padroes[],2,0)</f>
        <v>CER</v>
      </c>
      <c r="D1513" s="3"/>
    </row>
    <row r="1514" spans="1:4" x14ac:dyDescent="0.25">
      <c r="A1514" s="2" t="s">
        <v>4582</v>
      </c>
      <c r="B1514" s="2" t="s">
        <v>185</v>
      </c>
      <c r="C1514" s="31" t="str">
        <f>VLOOKUP(irregulares[[#This Row],[Similar a]],padroes[],2,0)</f>
        <v>Defectivo 2</v>
      </c>
      <c r="D1514" s="3"/>
    </row>
    <row r="1515" spans="1:4" x14ac:dyDescent="0.25">
      <c r="A1515" s="2" t="s">
        <v>4219</v>
      </c>
      <c r="B1515" s="2" t="s">
        <v>49</v>
      </c>
      <c r="C1515" s="31" t="str">
        <f>VLOOKUP(irregulares[[#This Row],[Similar a]],padroes[],2,0)</f>
        <v>OAR</v>
      </c>
      <c r="D1515" s="3"/>
    </row>
    <row r="1516" spans="1:4" x14ac:dyDescent="0.25">
      <c r="A1516" s="2" t="s">
        <v>3942</v>
      </c>
      <c r="B1516" s="2" t="s">
        <v>53</v>
      </c>
      <c r="C1516" s="31" t="str">
        <f>VLOOKUP(irregulares[[#This Row],[Similar a]],padroes[],2,0)</f>
        <v>EAR</v>
      </c>
      <c r="D1516" s="3"/>
    </row>
    <row r="1517" spans="1:4" x14ac:dyDescent="0.25">
      <c r="A1517" s="2" t="s">
        <v>4220</v>
      </c>
      <c r="B1517" s="2" t="s">
        <v>49</v>
      </c>
      <c r="C1517" s="31" t="str">
        <f>VLOOKUP(irregulares[[#This Row],[Similar a]],padroes[],2,0)</f>
        <v>OAR</v>
      </c>
      <c r="D1517" s="3"/>
    </row>
    <row r="1518" spans="1:4" x14ac:dyDescent="0.25">
      <c r="A1518" s="2" t="s">
        <v>4103</v>
      </c>
      <c r="B1518" s="2" t="s">
        <v>74</v>
      </c>
      <c r="C1518" s="31" t="str">
        <f>VLOOKUP(irregulares[[#This Row],[Similar a]],padroes[],2,0)</f>
        <v>GAR</v>
      </c>
      <c r="D1518" s="3"/>
    </row>
    <row r="1519" spans="1:4" x14ac:dyDescent="0.25">
      <c r="A1519" s="2" t="s">
        <v>4221</v>
      </c>
      <c r="B1519" s="2" t="s">
        <v>49</v>
      </c>
      <c r="C1519" s="31" t="str">
        <f>VLOOKUP(irregulares[[#This Row],[Similar a]],padroes[],2,0)</f>
        <v>OAR</v>
      </c>
      <c r="D1519" s="3"/>
    </row>
    <row r="1520" spans="1:4" x14ac:dyDescent="0.25">
      <c r="A1520" s="2" t="s">
        <v>4020</v>
      </c>
      <c r="B1520" s="2" t="s">
        <v>60</v>
      </c>
      <c r="C1520" s="31" t="str">
        <f>VLOOKUP(irregulares[[#This Row],[Similar a]],padroes[],2,0)</f>
        <v>GAR</v>
      </c>
      <c r="D1520" s="3"/>
    </row>
    <row r="1521" spans="1:4" x14ac:dyDescent="0.25">
      <c r="A1521" s="2" t="s">
        <v>3943</v>
      </c>
      <c r="B1521" s="2" t="s">
        <v>53</v>
      </c>
      <c r="C1521" s="31" t="str">
        <f>VLOOKUP(irregulares[[#This Row],[Similar a]],padroes[],2,0)</f>
        <v>EAR</v>
      </c>
      <c r="D1521" s="3"/>
    </row>
    <row r="1522" spans="1:4" x14ac:dyDescent="0.25">
      <c r="A1522" s="2" t="s">
        <v>3944</v>
      </c>
      <c r="B1522" s="2" t="s">
        <v>53</v>
      </c>
      <c r="C1522" s="31" t="str">
        <f>VLOOKUP(irregulares[[#This Row],[Similar a]],padroes[],2,0)</f>
        <v>EAR</v>
      </c>
      <c r="D1522" s="3"/>
    </row>
    <row r="1523" spans="1:4" x14ac:dyDescent="0.25">
      <c r="A1523" s="2" t="s">
        <v>4222</v>
      </c>
      <c r="B1523" s="2" t="s">
        <v>49</v>
      </c>
      <c r="C1523" s="31" t="str">
        <f>VLOOKUP(irregulares[[#This Row],[Similar a]],padroes[],2,0)</f>
        <v>OAR</v>
      </c>
      <c r="D1523" s="3"/>
    </row>
    <row r="1524" spans="1:4" x14ac:dyDescent="0.25">
      <c r="A1524" s="2" t="s">
        <v>4223</v>
      </c>
      <c r="B1524" s="2" t="s">
        <v>49</v>
      </c>
      <c r="C1524" s="31" t="str">
        <f>VLOOKUP(irregulares[[#This Row],[Similar a]],padroes[],2,0)</f>
        <v>OAR</v>
      </c>
      <c r="D1524" s="3"/>
    </row>
    <row r="1525" spans="1:4" x14ac:dyDescent="0.25">
      <c r="A1525" s="2" t="s">
        <v>4021</v>
      </c>
      <c r="B1525" s="2" t="s">
        <v>60</v>
      </c>
      <c r="C1525" s="31" t="str">
        <f>VLOOKUP(irregulares[[#This Row],[Similar a]],padroes[],2,0)</f>
        <v>GAR</v>
      </c>
      <c r="D1525" s="3"/>
    </row>
    <row r="1526" spans="1:4" x14ac:dyDescent="0.25">
      <c r="A1526" s="2" t="s">
        <v>4142</v>
      </c>
      <c r="B1526" s="2" t="s">
        <v>55</v>
      </c>
      <c r="C1526" s="31" t="str">
        <f>VLOOKUP(irregulares[[#This Row],[Similar a]],padroes[],2,0)</f>
        <v>EJAR ô</v>
      </c>
      <c r="D1526" s="3"/>
    </row>
    <row r="1527" spans="1:4" x14ac:dyDescent="0.25">
      <c r="A1527" s="2" t="s">
        <v>4143</v>
      </c>
      <c r="B1527" s="2" t="s">
        <v>55</v>
      </c>
      <c r="C1527" s="31" t="str">
        <f>VLOOKUP(irregulares[[#This Row],[Similar a]],padroes[],2,0)</f>
        <v>EJAR ô</v>
      </c>
      <c r="D1527" s="3"/>
    </row>
    <row r="1528" spans="1:4" x14ac:dyDescent="0.25">
      <c r="A1528" s="2" t="s">
        <v>4354</v>
      </c>
      <c r="B1528" s="2" t="s">
        <v>63</v>
      </c>
      <c r="C1528" s="31" t="str">
        <f>VLOOKUP(irregulares[[#This Row],[Similar a]],padroes[],2,0)</f>
        <v>CER</v>
      </c>
      <c r="D1528" s="3"/>
    </row>
    <row r="1529" spans="1:4" x14ac:dyDescent="0.25">
      <c r="A1529" s="2" t="s">
        <v>3945</v>
      </c>
      <c r="B1529" s="2" t="s">
        <v>53</v>
      </c>
      <c r="C1529" s="31" t="str">
        <f>VLOOKUP(irregulares[[#This Row],[Similar a]],padroes[],2,0)</f>
        <v>EAR</v>
      </c>
      <c r="D1529" s="3"/>
    </row>
    <row r="1530" spans="1:4" x14ac:dyDescent="0.25">
      <c r="A1530" s="2" t="s">
        <v>4144</v>
      </c>
      <c r="B1530" s="2" t="s">
        <v>55</v>
      </c>
      <c r="C1530" s="31" t="str">
        <f>VLOOKUP(irregulares[[#This Row],[Similar a]],padroes[],2,0)</f>
        <v>EJAR ô</v>
      </c>
      <c r="D1530" s="3"/>
    </row>
    <row r="1531" spans="1:4" x14ac:dyDescent="0.25">
      <c r="A1531" s="2" t="s">
        <v>4224</v>
      </c>
      <c r="B1531" s="2" t="s">
        <v>49</v>
      </c>
      <c r="C1531" s="31" t="str">
        <f>VLOOKUP(irregulares[[#This Row],[Similar a]],padroes[],2,0)</f>
        <v>OAR</v>
      </c>
      <c r="D1531" s="3"/>
    </row>
    <row r="1532" spans="1:4" x14ac:dyDescent="0.25">
      <c r="A1532" s="2" t="s">
        <v>4104</v>
      </c>
      <c r="B1532" s="2" t="s">
        <v>74</v>
      </c>
      <c r="C1532" s="31" t="str">
        <f>VLOOKUP(irregulares[[#This Row],[Similar a]],padroes[],2,0)</f>
        <v>GAR</v>
      </c>
      <c r="D1532" s="3"/>
    </row>
    <row r="1533" spans="1:4" x14ac:dyDescent="0.25">
      <c r="A1533" s="2" t="s">
        <v>3946</v>
      </c>
      <c r="B1533" s="2" t="s">
        <v>53</v>
      </c>
      <c r="C1533" s="31" t="str">
        <f>VLOOKUP(irregulares[[#This Row],[Similar a]],padroes[],2,0)</f>
        <v>EAR</v>
      </c>
      <c r="D1533" s="3"/>
    </row>
    <row r="1534" spans="1:4" x14ac:dyDescent="0.25">
      <c r="A1534" s="2" t="s">
        <v>3947</v>
      </c>
      <c r="B1534" s="2" t="s">
        <v>53</v>
      </c>
      <c r="C1534" s="31" t="str">
        <f>VLOOKUP(irregulares[[#This Row],[Similar a]],padroes[],2,0)</f>
        <v>EAR</v>
      </c>
      <c r="D1534" s="3"/>
    </row>
    <row r="1535" spans="1:4" x14ac:dyDescent="0.25">
      <c r="A1535" s="2" t="s">
        <v>4225</v>
      </c>
      <c r="B1535" s="2" t="s">
        <v>49</v>
      </c>
      <c r="C1535" s="31" t="str">
        <f>VLOOKUP(irregulares[[#This Row],[Similar a]],padroes[],2,0)</f>
        <v>OAR</v>
      </c>
      <c r="D1535" s="3"/>
    </row>
    <row r="1536" spans="1:4" x14ac:dyDescent="0.25">
      <c r="A1536" s="2" t="s">
        <v>3948</v>
      </c>
      <c r="B1536" s="2" t="s">
        <v>53</v>
      </c>
      <c r="C1536" s="31" t="str">
        <f>VLOOKUP(irregulares[[#This Row],[Similar a]],padroes[],2,0)</f>
        <v>EAR</v>
      </c>
      <c r="D1536" s="3"/>
    </row>
    <row r="1537" spans="1:4" x14ac:dyDescent="0.25">
      <c r="A1537" s="2" t="s">
        <v>4355</v>
      </c>
      <c r="B1537" s="2" t="s">
        <v>63</v>
      </c>
      <c r="C1537" s="31" t="str">
        <f>VLOOKUP(irregulares[[#This Row],[Similar a]],padroes[],2,0)</f>
        <v>CER</v>
      </c>
      <c r="D1537" s="3"/>
    </row>
    <row r="1538" spans="1:4" x14ac:dyDescent="0.25">
      <c r="A1538" s="2" t="s">
        <v>4226</v>
      </c>
      <c r="B1538" s="2" t="s">
        <v>49</v>
      </c>
      <c r="C1538" s="31" t="str">
        <f>VLOOKUP(irregulares[[#This Row],[Similar a]],padroes[],2,0)</f>
        <v>OAR</v>
      </c>
      <c r="D1538" s="3"/>
    </row>
    <row r="1539" spans="1:4" x14ac:dyDescent="0.25">
      <c r="A1539" s="2" t="s">
        <v>3949</v>
      </c>
      <c r="B1539" s="2" t="s">
        <v>53</v>
      </c>
      <c r="C1539" s="31" t="str">
        <f>VLOOKUP(irregulares[[#This Row],[Similar a]],padroes[],2,0)</f>
        <v>EAR</v>
      </c>
      <c r="D1539" s="3"/>
    </row>
    <row r="1540" spans="1:4" x14ac:dyDescent="0.25">
      <c r="A1540" s="2" t="s">
        <v>4105</v>
      </c>
      <c r="B1540" s="2" t="s">
        <v>74</v>
      </c>
      <c r="C1540" s="31" t="str">
        <f>VLOOKUP(irregulares[[#This Row],[Similar a]],padroes[],2,0)</f>
        <v>GAR</v>
      </c>
      <c r="D1540" s="3"/>
    </row>
    <row r="1541" spans="1:4" x14ac:dyDescent="0.25">
      <c r="A1541" s="2" t="s">
        <v>3950</v>
      </c>
      <c r="B1541" s="2" t="s">
        <v>53</v>
      </c>
      <c r="C1541" s="31" t="str">
        <f>VLOOKUP(irregulares[[#This Row],[Similar a]],padroes[],2,0)</f>
        <v>EAR</v>
      </c>
      <c r="D1541" s="3"/>
    </row>
    <row r="1542" spans="1:4" x14ac:dyDescent="0.25">
      <c r="A1542" s="2" t="s">
        <v>4356</v>
      </c>
      <c r="B1542" s="2" t="s">
        <v>63</v>
      </c>
      <c r="C1542" s="31" t="str">
        <f>VLOOKUP(irregulares[[#This Row],[Similar a]],padroes[],2,0)</f>
        <v>CER</v>
      </c>
      <c r="D1542" s="3"/>
    </row>
    <row r="1543" spans="1:4" x14ac:dyDescent="0.25">
      <c r="A1543" s="2" t="s">
        <v>3951</v>
      </c>
      <c r="B1543" s="2" t="s">
        <v>53</v>
      </c>
      <c r="C1543" s="31" t="str">
        <f>VLOOKUP(irregulares[[#This Row],[Similar a]],padroes[],2,0)</f>
        <v>EAR</v>
      </c>
      <c r="D1543" s="3"/>
    </row>
    <row r="1544" spans="1:4" x14ac:dyDescent="0.25">
      <c r="A1544" s="2" t="s">
        <v>4227</v>
      </c>
      <c r="B1544" s="2" t="s">
        <v>49</v>
      </c>
      <c r="C1544" s="31" t="str">
        <f>VLOOKUP(irregulares[[#This Row],[Similar a]],padroes[],2,0)</f>
        <v>OAR</v>
      </c>
      <c r="D1544" s="3"/>
    </row>
    <row r="1545" spans="1:4" x14ac:dyDescent="0.25">
      <c r="A1545" s="2" t="s">
        <v>4583</v>
      </c>
      <c r="B1545" s="2" t="s">
        <v>1220</v>
      </c>
      <c r="C1545" s="31" t="str">
        <f>VLOOKUP(irregulares[[#This Row],[Similar a]],padroes[],2,0)</f>
        <v>O-X-IR</v>
      </c>
      <c r="D1545" s="3"/>
    </row>
    <row r="1546" spans="1:4" x14ac:dyDescent="0.25">
      <c r="A1546" s="2" t="s">
        <v>3952</v>
      </c>
      <c r="B1546" s="2" t="s">
        <v>53</v>
      </c>
      <c r="C1546" s="31" t="str">
        <f>VLOOKUP(irregulares[[#This Row],[Similar a]],padroes[],2,0)</f>
        <v>EAR</v>
      </c>
      <c r="D1546" s="3"/>
    </row>
    <row r="1547" spans="1:4" x14ac:dyDescent="0.25">
      <c r="A1547" s="2" t="s">
        <v>3953</v>
      </c>
      <c r="B1547" s="2" t="s">
        <v>53</v>
      </c>
      <c r="C1547" s="31" t="str">
        <f>VLOOKUP(irregulares[[#This Row],[Similar a]],padroes[],2,0)</f>
        <v>EAR</v>
      </c>
      <c r="D1547" s="3"/>
    </row>
    <row r="1548" spans="1:4" x14ac:dyDescent="0.25">
      <c r="A1548" s="2" t="s">
        <v>4584</v>
      </c>
      <c r="B1548" s="2" t="s">
        <v>157</v>
      </c>
      <c r="C1548" s="31" t="str">
        <f>VLOOKUP(irregulares[[#This Row],[Similar a]],padroes[],2,0)</f>
        <v>ELHAR</v>
      </c>
      <c r="D1548" s="3"/>
    </row>
    <row r="1549" spans="1:4" x14ac:dyDescent="0.25">
      <c r="A1549" s="2" t="s">
        <v>3954</v>
      </c>
      <c r="B1549" s="2" t="s">
        <v>53</v>
      </c>
      <c r="C1549" s="31" t="str">
        <f>VLOOKUP(irregulares[[#This Row],[Similar a]],padroes[],2,0)</f>
        <v>EAR</v>
      </c>
      <c r="D1549" s="3"/>
    </row>
    <row r="1550" spans="1:4" x14ac:dyDescent="0.25">
      <c r="A1550" s="2" t="s">
        <v>3955</v>
      </c>
      <c r="B1550" s="2" t="s">
        <v>53</v>
      </c>
      <c r="C1550" s="31" t="str">
        <f>VLOOKUP(irregulares[[#This Row],[Similar a]],padroes[],2,0)</f>
        <v>EAR</v>
      </c>
      <c r="D1550" s="3"/>
    </row>
    <row r="1551" spans="1:4" x14ac:dyDescent="0.25">
      <c r="A1551" s="2" t="s">
        <v>3956</v>
      </c>
      <c r="B1551" s="2" t="s">
        <v>53</v>
      </c>
      <c r="C1551" s="31" t="str">
        <f>VLOOKUP(irregulares[[#This Row],[Similar a]],padroes[],2,0)</f>
        <v>EAR</v>
      </c>
      <c r="D1551" s="3"/>
    </row>
    <row r="1552" spans="1:4" x14ac:dyDescent="0.25">
      <c r="A1552" s="2" t="s">
        <v>4357</v>
      </c>
      <c r="B1552" s="2" t="s">
        <v>63</v>
      </c>
      <c r="C1552" s="31" t="str">
        <f>VLOOKUP(irregulares[[#This Row],[Similar a]],padroes[],2,0)</f>
        <v>CER</v>
      </c>
      <c r="D1552" s="3"/>
    </row>
    <row r="1553" spans="1:4" x14ac:dyDescent="0.25">
      <c r="A1553" s="2" t="s">
        <v>4585</v>
      </c>
      <c r="B1553" s="2" t="s">
        <v>185</v>
      </c>
      <c r="C1553" s="31" t="str">
        <f>VLOOKUP(irregulares[[#This Row],[Similar a]],padroes[],2,0)</f>
        <v>Defectivo 2</v>
      </c>
      <c r="D1553" s="3"/>
    </row>
    <row r="1554" spans="1:4" x14ac:dyDescent="0.25">
      <c r="A1554" s="2" t="s">
        <v>3957</v>
      </c>
      <c r="B1554" s="2" t="s">
        <v>53</v>
      </c>
      <c r="C1554" s="31" t="str">
        <f>VLOOKUP(irregulares[[#This Row],[Similar a]],padroes[],2,0)</f>
        <v>EAR</v>
      </c>
      <c r="D1554" s="3"/>
    </row>
    <row r="1555" spans="1:4" x14ac:dyDescent="0.25">
      <c r="A1555" s="2" t="s">
        <v>4228</v>
      </c>
      <c r="B1555" s="2" t="s">
        <v>49</v>
      </c>
      <c r="C1555" s="31" t="str">
        <f>VLOOKUP(irregulares[[#This Row],[Similar a]],padroes[],2,0)</f>
        <v>OAR</v>
      </c>
      <c r="D1555" s="3"/>
    </row>
    <row r="1556" spans="1:4" x14ac:dyDescent="0.25">
      <c r="A1556" s="2" t="s">
        <v>3958</v>
      </c>
      <c r="B1556" s="2" t="s">
        <v>53</v>
      </c>
      <c r="C1556" s="31" t="str">
        <f>VLOOKUP(irregulares[[#This Row],[Similar a]],padroes[],2,0)</f>
        <v>EAR</v>
      </c>
      <c r="D1556" s="3"/>
    </row>
    <row r="1557" spans="1:4" x14ac:dyDescent="0.25">
      <c r="A1557" s="2" t="s">
        <v>3959</v>
      </c>
      <c r="B1557" s="2" t="s">
        <v>53</v>
      </c>
      <c r="C1557" s="31" t="str">
        <f>VLOOKUP(irregulares[[#This Row],[Similar a]],padroes[],2,0)</f>
        <v>EAR</v>
      </c>
      <c r="D1557" s="3"/>
    </row>
    <row r="1558" spans="1:4" x14ac:dyDescent="0.25">
      <c r="A1558" s="2" t="s">
        <v>4358</v>
      </c>
      <c r="B1558" s="2" t="s">
        <v>63</v>
      </c>
      <c r="C1558" s="31" t="str">
        <f>VLOOKUP(irregulares[[#This Row],[Similar a]],padroes[],2,0)</f>
        <v>CER</v>
      </c>
      <c r="D1558" s="3"/>
    </row>
    <row r="1559" spans="1:4" x14ac:dyDescent="0.25">
      <c r="A1559" s="2" t="s">
        <v>4229</v>
      </c>
      <c r="B1559" s="2" t="s">
        <v>49</v>
      </c>
      <c r="C1559" s="31" t="str">
        <f>VLOOKUP(irregulares[[#This Row],[Similar a]],padroes[],2,0)</f>
        <v>OAR</v>
      </c>
      <c r="D1559" s="3"/>
    </row>
    <row r="1560" spans="1:4" x14ac:dyDescent="0.25">
      <c r="A1560" s="2" t="s">
        <v>3960</v>
      </c>
      <c r="B1560" s="2" t="s">
        <v>53</v>
      </c>
      <c r="C1560" s="31" t="str">
        <f>VLOOKUP(irregulares[[#This Row],[Similar a]],padroes[],2,0)</f>
        <v>EAR</v>
      </c>
      <c r="D1560" s="3"/>
    </row>
    <row r="1561" spans="1:4" x14ac:dyDescent="0.25">
      <c r="A1561" s="2" t="s">
        <v>3961</v>
      </c>
      <c r="B1561" s="2" t="s">
        <v>53</v>
      </c>
      <c r="C1561" s="31" t="str">
        <f>VLOOKUP(irregulares[[#This Row],[Similar a]],padroes[],2,0)</f>
        <v>EAR</v>
      </c>
      <c r="D1561" s="3"/>
    </row>
    <row r="1562" spans="1:4" x14ac:dyDescent="0.25">
      <c r="A1562" s="2" t="s">
        <v>3962</v>
      </c>
      <c r="B1562" s="2" t="s">
        <v>53</v>
      </c>
      <c r="C1562" s="31" t="str">
        <f>VLOOKUP(irregulares[[#This Row],[Similar a]],padroes[],2,0)</f>
        <v>EAR</v>
      </c>
      <c r="D1562" s="3"/>
    </row>
    <row r="1563" spans="1:4" x14ac:dyDescent="0.25">
      <c r="A1563" s="2" t="s">
        <v>3963</v>
      </c>
      <c r="B1563" s="2" t="s">
        <v>53</v>
      </c>
      <c r="C1563" s="31" t="str">
        <f>VLOOKUP(irregulares[[#This Row],[Similar a]],padroes[],2,0)</f>
        <v>EAR</v>
      </c>
      <c r="D1563" s="3"/>
    </row>
    <row r="1564" spans="1:4" x14ac:dyDescent="0.25">
      <c r="A1564" s="2" t="s">
        <v>3964</v>
      </c>
      <c r="B1564" s="2" t="s">
        <v>53</v>
      </c>
      <c r="C1564" s="31" t="str">
        <f>VLOOKUP(irregulares[[#This Row],[Similar a]],padroes[],2,0)</f>
        <v>EAR</v>
      </c>
      <c r="D1564" s="3"/>
    </row>
    <row r="1565" spans="1:4" x14ac:dyDescent="0.25">
      <c r="A1565" s="2" t="s">
        <v>4230</v>
      </c>
      <c r="B1565" s="2" t="s">
        <v>49</v>
      </c>
      <c r="C1565" s="31" t="str">
        <f>VLOOKUP(irregulares[[#This Row],[Similar a]],padroes[],2,0)</f>
        <v>OAR</v>
      </c>
      <c r="D1565" s="3"/>
    </row>
    <row r="1566" spans="1:4" x14ac:dyDescent="0.25">
      <c r="A1566" s="2" t="s">
        <v>4022</v>
      </c>
      <c r="B1566" s="2" t="s">
        <v>60</v>
      </c>
      <c r="C1566" s="31" t="str">
        <f>VLOOKUP(irregulares[[#This Row],[Similar a]],padroes[],2,0)</f>
        <v>GAR</v>
      </c>
      <c r="D1566" s="3"/>
    </row>
    <row r="1567" spans="1:4" x14ac:dyDescent="0.25">
      <c r="A1567" s="2" t="s">
        <v>3965</v>
      </c>
      <c r="B1567" s="2" t="s">
        <v>53</v>
      </c>
      <c r="C1567" s="31" t="str">
        <f>VLOOKUP(irregulares[[#This Row],[Similar a]],padroes[],2,0)</f>
        <v>EAR</v>
      </c>
      <c r="D1567" s="3"/>
    </row>
    <row r="1568" spans="1:4" x14ac:dyDescent="0.25">
      <c r="A1568" s="2" t="s">
        <v>3966</v>
      </c>
      <c r="B1568" s="2" t="s">
        <v>53</v>
      </c>
      <c r="C1568" s="31" t="str">
        <f>VLOOKUP(irregulares[[#This Row],[Similar a]],padroes[],2,0)</f>
        <v>EAR</v>
      </c>
      <c r="D1568" s="3"/>
    </row>
    <row r="1569" spans="1:4" x14ac:dyDescent="0.25">
      <c r="A1569" s="2" t="s">
        <v>2363</v>
      </c>
      <c r="B1569" s="2" t="s">
        <v>2363</v>
      </c>
      <c r="C1569" s="31" t="str">
        <f>VLOOKUP(irregulares[[#This Row],[Similar a]],padroes[],2,0)</f>
        <v>Abundante</v>
      </c>
      <c r="D1569" s="3"/>
    </row>
    <row r="1570" spans="1:4" x14ac:dyDescent="0.25">
      <c r="A1570" s="2" t="s">
        <v>3967</v>
      </c>
      <c r="B1570" s="2" t="s">
        <v>53</v>
      </c>
      <c r="C1570" s="31" t="str">
        <f>VLOOKUP(irregulares[[#This Row],[Similar a]],padroes[],2,0)</f>
        <v>EAR</v>
      </c>
      <c r="D1570" s="3"/>
    </row>
    <row r="1571" spans="1:4" x14ac:dyDescent="0.25">
      <c r="A1571" s="2" t="s">
        <v>3968</v>
      </c>
      <c r="B1571" s="2" t="s">
        <v>53</v>
      </c>
      <c r="C1571" s="31" t="str">
        <f>VLOOKUP(irregulares[[#This Row],[Similar a]],padroes[],2,0)</f>
        <v>EAR</v>
      </c>
      <c r="D1571" s="3"/>
    </row>
    <row r="1572" spans="1:4" x14ac:dyDescent="0.25">
      <c r="A1572" s="2" t="s">
        <v>4359</v>
      </c>
      <c r="B1572" s="2" t="s">
        <v>63</v>
      </c>
      <c r="C1572" s="31" t="str">
        <f>VLOOKUP(irregulares[[#This Row],[Similar a]],padroes[],2,0)</f>
        <v>CER</v>
      </c>
      <c r="D1572" s="3"/>
    </row>
    <row r="1573" spans="1:4" x14ac:dyDescent="0.25">
      <c r="A1573" s="2" t="s">
        <v>4145</v>
      </c>
      <c r="B1573" s="2" t="s">
        <v>55</v>
      </c>
      <c r="C1573" s="31" t="str">
        <f>VLOOKUP(irregulares[[#This Row],[Similar a]],padroes[],2,0)</f>
        <v>EJAR ô</v>
      </c>
      <c r="D1573" s="3"/>
    </row>
    <row r="1574" spans="1:4" x14ac:dyDescent="0.25">
      <c r="A1574" s="2" t="s">
        <v>3969</v>
      </c>
      <c r="B1574" s="2" t="s">
        <v>53</v>
      </c>
      <c r="C1574" s="31" t="str">
        <f>VLOOKUP(irregulares[[#This Row],[Similar a]],padroes[],2,0)</f>
        <v>EAR</v>
      </c>
      <c r="D1574" s="3"/>
    </row>
    <row r="1575" spans="1:4" x14ac:dyDescent="0.25">
      <c r="A1575" s="2" t="s">
        <v>4360</v>
      </c>
      <c r="B1575" s="2" t="s">
        <v>63</v>
      </c>
      <c r="C1575" s="31" t="str">
        <f>VLOOKUP(irregulares[[#This Row],[Similar a]],padroes[],2,0)</f>
        <v>CER</v>
      </c>
      <c r="D1575" s="3"/>
    </row>
    <row r="1576" spans="1:4" x14ac:dyDescent="0.25">
      <c r="A1576" s="2" t="s">
        <v>3970</v>
      </c>
      <c r="B1576" s="2" t="s">
        <v>53</v>
      </c>
      <c r="C1576" s="31" t="str">
        <f>VLOOKUP(irregulares[[#This Row],[Similar a]],padroes[],2,0)</f>
        <v>EAR</v>
      </c>
      <c r="D1576" s="3"/>
    </row>
    <row r="1577" spans="1:4" x14ac:dyDescent="0.25">
      <c r="A1577" s="2" t="s">
        <v>4586</v>
      </c>
      <c r="B1577" s="2" t="s">
        <v>859</v>
      </c>
      <c r="C1577" s="31" t="str">
        <f>VLOOKUP(irregulares[[#This Row],[Similar a]],padroes[],2,0)</f>
        <v>FAZER</v>
      </c>
      <c r="D1577" s="3"/>
    </row>
    <row r="1578" spans="1:4" x14ac:dyDescent="0.25">
      <c r="A1578" s="2" t="s">
        <v>3971</v>
      </c>
      <c r="B1578" s="2" t="s">
        <v>53</v>
      </c>
      <c r="C1578" s="31" t="str">
        <f>VLOOKUP(irregulares[[#This Row],[Similar a]],padroes[],2,0)</f>
        <v>EAR</v>
      </c>
      <c r="D1578" s="3"/>
    </row>
    <row r="1579" spans="1:4" x14ac:dyDescent="0.25">
      <c r="A1579" s="2" t="s">
        <v>3972</v>
      </c>
      <c r="B1579" s="2" t="s">
        <v>53</v>
      </c>
      <c r="C1579" s="31" t="str">
        <f>VLOOKUP(irregulares[[#This Row],[Similar a]],padroes[],2,0)</f>
        <v>EAR</v>
      </c>
      <c r="D1579" s="3"/>
    </row>
    <row r="1580" spans="1:4" x14ac:dyDescent="0.25">
      <c r="A1580" s="2" t="s">
        <v>4014</v>
      </c>
      <c r="B1580" s="2" t="s">
        <v>1939</v>
      </c>
      <c r="C1580" s="31" t="str">
        <f>VLOOKUP(irregulares[[#This Row],[Similar a]],padroes[],2,0)</f>
        <v>RESFOLEGAR</v>
      </c>
      <c r="D1580" s="3"/>
    </row>
    <row r="1581" spans="1:4" x14ac:dyDescent="0.25">
      <c r="A1581" s="2" t="s">
        <v>3973</v>
      </c>
      <c r="B1581" s="2" t="s">
        <v>53</v>
      </c>
      <c r="C1581" s="31" t="str">
        <f>VLOOKUP(irregulares[[#This Row],[Similar a]],padroes[],2,0)</f>
        <v>EAR</v>
      </c>
      <c r="D1581" s="3"/>
    </row>
    <row r="1582" spans="1:4" x14ac:dyDescent="0.25">
      <c r="A1582" s="2" t="s">
        <v>3974</v>
      </c>
      <c r="B1582" s="2" t="s">
        <v>53</v>
      </c>
      <c r="C1582" s="31" t="str">
        <f>VLOOKUP(irregulares[[#This Row],[Similar a]],padroes[],2,0)</f>
        <v>EAR</v>
      </c>
      <c r="D1582" s="3"/>
    </row>
    <row r="1583" spans="1:4" x14ac:dyDescent="0.25">
      <c r="A1583" s="2" t="s">
        <v>4023</v>
      </c>
      <c r="B1583" s="2" t="s">
        <v>60</v>
      </c>
      <c r="C1583" s="31" t="str">
        <f>VLOOKUP(irregulares[[#This Row],[Similar a]],padroes[],2,0)</f>
        <v>GAR</v>
      </c>
      <c r="D1583" s="3"/>
    </row>
    <row r="1584" spans="1:4" x14ac:dyDescent="0.25">
      <c r="A1584" s="2" t="s">
        <v>3975</v>
      </c>
      <c r="B1584" s="2" t="s">
        <v>53</v>
      </c>
      <c r="C1584" s="31" t="str">
        <f>VLOOKUP(irregulares[[#This Row],[Similar a]],padroes[],2,0)</f>
        <v>EAR</v>
      </c>
      <c r="D1584" s="3"/>
    </row>
    <row r="1585" spans="1:4" x14ac:dyDescent="0.25">
      <c r="A1585" s="2" t="s">
        <v>4587</v>
      </c>
      <c r="B1585" s="2" t="s">
        <v>157</v>
      </c>
      <c r="C1585" s="31" t="str">
        <f>VLOOKUP(irregulares[[#This Row],[Similar a]],padroes[],2,0)</f>
        <v>ELHAR</v>
      </c>
      <c r="D1585" s="3"/>
    </row>
    <row r="1586" spans="1:4" x14ac:dyDescent="0.25">
      <c r="A1586" s="2" t="s">
        <v>4106</v>
      </c>
      <c r="B1586" s="2" t="s">
        <v>74</v>
      </c>
      <c r="C1586" s="31" t="str">
        <f>VLOOKUP(irregulares[[#This Row],[Similar a]],padroes[],2,0)</f>
        <v>GAR</v>
      </c>
      <c r="D1586" s="3"/>
    </row>
    <row r="1587" spans="1:4" x14ac:dyDescent="0.25">
      <c r="A1587" s="2" t="s">
        <v>3976</v>
      </c>
      <c r="B1587" s="2" t="s">
        <v>53</v>
      </c>
      <c r="C1587" s="31" t="str">
        <f>VLOOKUP(irregulares[[#This Row],[Similar a]],padroes[],2,0)</f>
        <v>EAR</v>
      </c>
      <c r="D1587" s="3"/>
    </row>
    <row r="1588" spans="1:4" x14ac:dyDescent="0.25">
      <c r="A1588" s="2" t="s">
        <v>4588</v>
      </c>
      <c r="B1588" s="2" t="s">
        <v>157</v>
      </c>
      <c r="C1588" s="31" t="str">
        <f>VLOOKUP(irregulares[[#This Row],[Similar a]],padroes[],2,0)</f>
        <v>ELHAR</v>
      </c>
      <c r="D1588" s="3"/>
    </row>
    <row r="1589" spans="1:4" x14ac:dyDescent="0.25">
      <c r="A1589" s="2" t="s">
        <v>4589</v>
      </c>
      <c r="B1589" s="2" t="s">
        <v>157</v>
      </c>
      <c r="C1589" s="31" t="str">
        <f>VLOOKUP(irregulares[[#This Row],[Similar a]],padroes[],2,0)</f>
        <v>ELHAR</v>
      </c>
      <c r="D1589" s="3"/>
    </row>
    <row r="1590" spans="1:4" x14ac:dyDescent="0.25">
      <c r="A1590" s="2" t="s">
        <v>4231</v>
      </c>
      <c r="B1590" s="2" t="s">
        <v>49</v>
      </c>
      <c r="C1590" s="31" t="str">
        <f>VLOOKUP(irregulares[[#This Row],[Similar a]],padroes[],2,0)</f>
        <v>OAR</v>
      </c>
      <c r="D1590" s="3"/>
    </row>
    <row r="1591" spans="1:4" x14ac:dyDescent="0.25">
      <c r="A1591" s="2" t="s">
        <v>4107</v>
      </c>
      <c r="B1591" s="2" t="s">
        <v>74</v>
      </c>
      <c r="C1591" s="31" t="str">
        <f>VLOOKUP(irregulares[[#This Row],[Similar a]],padroes[],2,0)</f>
        <v>GAR</v>
      </c>
      <c r="D1591" s="3"/>
    </row>
    <row r="1592" spans="1:4" x14ac:dyDescent="0.25">
      <c r="A1592" s="2" t="s">
        <v>4108</v>
      </c>
      <c r="B1592" s="2" t="s">
        <v>74</v>
      </c>
      <c r="C1592" s="31" t="str">
        <f>VLOOKUP(irregulares[[#This Row],[Similar a]],padroes[],2,0)</f>
        <v>GAR</v>
      </c>
      <c r="D1592" s="3"/>
    </row>
    <row r="1593" spans="1:4" x14ac:dyDescent="0.25">
      <c r="A1593" s="2" t="s">
        <v>4361</v>
      </c>
      <c r="B1593" s="2" t="s">
        <v>63</v>
      </c>
      <c r="C1593" s="31" t="str">
        <f>VLOOKUP(irregulares[[#This Row],[Similar a]],padroes[],2,0)</f>
        <v>CER</v>
      </c>
      <c r="D1593" s="3"/>
    </row>
    <row r="1594" spans="1:4" x14ac:dyDescent="0.25">
      <c r="A1594" s="2" t="s">
        <v>4109</v>
      </c>
      <c r="B1594" s="2" t="s">
        <v>74</v>
      </c>
      <c r="C1594" s="31" t="str">
        <f>VLOOKUP(irregulares[[#This Row],[Similar a]],padroes[],2,0)</f>
        <v>GAR</v>
      </c>
      <c r="D1594" s="3"/>
    </row>
    <row r="1595" spans="1:4" x14ac:dyDescent="0.25">
      <c r="A1595" s="2" t="s">
        <v>4362</v>
      </c>
      <c r="B1595" s="2" t="s">
        <v>63</v>
      </c>
      <c r="C1595" s="31" t="str">
        <f>VLOOKUP(irregulares[[#This Row],[Similar a]],padroes[],2,0)</f>
        <v>CER</v>
      </c>
      <c r="D1595" s="3"/>
    </row>
    <row r="1596" spans="1:4" x14ac:dyDescent="0.25">
      <c r="A1596" s="2" t="s">
        <v>4590</v>
      </c>
      <c r="B1596" s="2" t="s">
        <v>1122</v>
      </c>
      <c r="C1596" s="31" t="str">
        <f>VLOOKUP(irregulares[[#This Row],[Similar a]],padroes[],2,0)</f>
        <v>ECHAR ê</v>
      </c>
      <c r="D1596" s="3"/>
    </row>
    <row r="1597" spans="1:4" x14ac:dyDescent="0.25">
      <c r="A1597" s="2" t="s">
        <v>3977</v>
      </c>
      <c r="B1597" s="2" t="s">
        <v>53</v>
      </c>
      <c r="C1597" s="31" t="str">
        <f>VLOOKUP(irregulares[[#This Row],[Similar a]],padroes[],2,0)</f>
        <v>EAR</v>
      </c>
      <c r="D1597" s="3"/>
    </row>
    <row r="1598" spans="1:4" x14ac:dyDescent="0.25">
      <c r="A1598" s="2" t="s">
        <v>4591</v>
      </c>
      <c r="B1598" s="2" t="s">
        <v>47</v>
      </c>
      <c r="C1598" s="31" t="str">
        <f>VLOOKUP(irregulares[[#This Row],[Similar a]],padroes[],2,0)</f>
        <v>Ú-X-AR</v>
      </c>
      <c r="D1598" s="3"/>
    </row>
    <row r="1599" spans="1:4" x14ac:dyDescent="0.25">
      <c r="A1599" s="2" t="s">
        <v>4592</v>
      </c>
      <c r="B1599" s="2" t="s">
        <v>3259</v>
      </c>
      <c r="C1599" s="31" t="str">
        <f>VLOOKUP(irregulares[[#This Row],[Similar a]],padroes[],2,0)</f>
        <v>OER</v>
      </c>
      <c r="D1599" s="3"/>
    </row>
    <row r="1600" spans="1:4" x14ac:dyDescent="0.25">
      <c r="A1600" s="2" t="s">
        <v>4363</v>
      </c>
      <c r="B1600" s="2" t="s">
        <v>63</v>
      </c>
      <c r="C1600" s="31" t="str">
        <f>VLOOKUP(irregulares[[#This Row],[Similar a]],padroes[],2,0)</f>
        <v>CER</v>
      </c>
      <c r="D1600" s="3"/>
    </row>
    <row r="1601" spans="1:4" x14ac:dyDescent="0.25">
      <c r="A1601" s="2" t="s">
        <v>4024</v>
      </c>
      <c r="B1601" s="2" t="s">
        <v>60</v>
      </c>
      <c r="C1601" s="31" t="str">
        <f>VLOOKUP(irregulares[[#This Row],[Similar a]],padroes[],2,0)</f>
        <v>GAR</v>
      </c>
      <c r="D1601" s="3"/>
    </row>
    <row r="1602" spans="1:4" x14ac:dyDescent="0.25">
      <c r="A1602" s="2" t="s">
        <v>4110</v>
      </c>
      <c r="B1602" s="2" t="s">
        <v>74</v>
      </c>
      <c r="C1602" s="31" t="str">
        <f>VLOOKUP(irregulares[[#This Row],[Similar a]],padroes[],2,0)</f>
        <v>GAR</v>
      </c>
      <c r="D1602" s="3"/>
    </row>
    <row r="1603" spans="1:4" x14ac:dyDescent="0.25">
      <c r="A1603" s="2" t="s">
        <v>3978</v>
      </c>
      <c r="B1603" s="2" t="s">
        <v>53</v>
      </c>
      <c r="C1603" s="31" t="str">
        <f>VLOOKUP(irregulares[[#This Row],[Similar a]],padroes[],2,0)</f>
        <v>EAR</v>
      </c>
      <c r="D1603" s="3"/>
    </row>
    <row r="1604" spans="1:4" x14ac:dyDescent="0.25">
      <c r="A1604" s="2" t="s">
        <v>4146</v>
      </c>
      <c r="B1604" s="2" t="s">
        <v>55</v>
      </c>
      <c r="C1604" s="31" t="str">
        <f>VLOOKUP(irregulares[[#This Row],[Similar a]],padroes[],2,0)</f>
        <v>EJAR ô</v>
      </c>
      <c r="D1604" s="3"/>
    </row>
    <row r="1605" spans="1:4" x14ac:dyDescent="0.25">
      <c r="A1605" s="2" t="s">
        <v>4364</v>
      </c>
      <c r="B1605" s="2" t="s">
        <v>63</v>
      </c>
      <c r="C1605" s="31" t="str">
        <f>VLOOKUP(irregulares[[#This Row],[Similar a]],padroes[],2,0)</f>
        <v>CER</v>
      </c>
      <c r="D1605" s="3"/>
    </row>
    <row r="1606" spans="1:4" x14ac:dyDescent="0.25">
      <c r="A1606" s="2" t="s">
        <v>3979</v>
      </c>
      <c r="B1606" s="2" t="s">
        <v>53</v>
      </c>
      <c r="C1606" s="31" t="str">
        <f>VLOOKUP(irregulares[[#This Row],[Similar a]],padroes[],2,0)</f>
        <v>EAR</v>
      </c>
      <c r="D1606" s="3"/>
    </row>
    <row r="1607" spans="1:4" x14ac:dyDescent="0.25">
      <c r="A1607" s="2" t="s">
        <v>4111</v>
      </c>
      <c r="B1607" s="2" t="s">
        <v>74</v>
      </c>
      <c r="C1607" s="31" t="str">
        <f>VLOOKUP(irregulares[[#This Row],[Similar a]],padroes[],2,0)</f>
        <v>GAR</v>
      </c>
      <c r="D1607" s="3"/>
    </row>
    <row r="1608" spans="1:4" x14ac:dyDescent="0.25">
      <c r="A1608" s="2" t="s">
        <v>4112</v>
      </c>
      <c r="B1608" s="2" t="s">
        <v>74</v>
      </c>
      <c r="C1608" s="31" t="str">
        <f>VLOOKUP(irregulares[[#This Row],[Similar a]],padroes[],2,0)</f>
        <v>GAR</v>
      </c>
      <c r="D1608" s="3"/>
    </row>
    <row r="1609" spans="1:4" x14ac:dyDescent="0.25">
      <c r="A1609" s="2" t="s">
        <v>4147</v>
      </c>
      <c r="B1609" s="2" t="s">
        <v>55</v>
      </c>
      <c r="C1609" s="31" t="str">
        <f>VLOOKUP(irregulares[[#This Row],[Similar a]],padroes[],2,0)</f>
        <v>EJAR ô</v>
      </c>
      <c r="D1609" s="3"/>
    </row>
    <row r="1610" spans="1:4" x14ac:dyDescent="0.25">
      <c r="A1610" s="2" t="s">
        <v>4593</v>
      </c>
      <c r="B1610" s="2" t="s">
        <v>154</v>
      </c>
      <c r="C1610" s="31" t="str">
        <f>VLOOKUP(irregulares[[#This Row],[Similar a]],padroes[],2,0)</f>
        <v>GIR</v>
      </c>
      <c r="D1610" s="3"/>
    </row>
    <row r="1611" spans="1:4" x14ac:dyDescent="0.25">
      <c r="A1611" s="2" t="s">
        <v>4025</v>
      </c>
      <c r="B1611" s="2" t="s">
        <v>60</v>
      </c>
      <c r="C1611" s="31" t="str">
        <f>VLOOKUP(irregulares[[#This Row],[Similar a]],padroes[],2,0)</f>
        <v>GAR</v>
      </c>
      <c r="D1611" s="3"/>
    </row>
    <row r="1612" spans="1:4" x14ac:dyDescent="0.25">
      <c r="A1612" s="2" t="s">
        <v>4594</v>
      </c>
      <c r="B1612" s="2" t="s">
        <v>1717</v>
      </c>
      <c r="C1612" s="31" t="str">
        <f>VLOOKUP(irregulares[[#This Row],[Similar a]],padroes[],2,0)</f>
        <v>Defectivo 1</v>
      </c>
      <c r="D1612" s="3"/>
    </row>
    <row r="1613" spans="1:4" x14ac:dyDescent="0.25">
      <c r="A1613" s="2" t="s">
        <v>4365</v>
      </c>
      <c r="B1613" s="2" t="s">
        <v>63</v>
      </c>
      <c r="C1613" s="31" t="str">
        <f>VLOOKUP(irregulares[[#This Row],[Similar a]],padroes[],2,0)</f>
        <v>CER</v>
      </c>
      <c r="D1613" s="3"/>
    </row>
    <row r="1614" spans="1:4" x14ac:dyDescent="0.25">
      <c r="A1614" s="2" t="s">
        <v>4595</v>
      </c>
      <c r="B1614" s="2" t="s">
        <v>185</v>
      </c>
      <c r="C1614" s="31" t="str">
        <f>VLOOKUP(irregulares[[#This Row],[Similar a]],padroes[],2,0)</f>
        <v>Defectivo 2</v>
      </c>
      <c r="D1614" s="3"/>
    </row>
    <row r="1615" spans="1:4" x14ac:dyDescent="0.25">
      <c r="A1615" s="2" t="s">
        <v>4596</v>
      </c>
      <c r="B1615" s="2" t="s">
        <v>351</v>
      </c>
      <c r="C1615" s="31" t="str">
        <f>VLOOKUP(irregulares[[#This Row],[Similar a]],padroes[],2,0)</f>
        <v>ÇAR</v>
      </c>
      <c r="D1615" s="3"/>
    </row>
    <row r="1616" spans="1:4" x14ac:dyDescent="0.25">
      <c r="A1616" s="2" t="s">
        <v>4015</v>
      </c>
      <c r="B1616" s="2" t="s">
        <v>74</v>
      </c>
      <c r="C1616" s="31" t="str">
        <f>VLOOKUP(irregulares[[#This Row],[Similar a]],padroes[],2,0)</f>
        <v>GAR</v>
      </c>
      <c r="D1616" s="3"/>
    </row>
    <row r="1617" spans="1:4" x14ac:dyDescent="0.25">
      <c r="A1617" s="2" t="s">
        <v>4597</v>
      </c>
      <c r="B1617" s="2" t="s">
        <v>157</v>
      </c>
      <c r="C1617" s="31" t="str">
        <f>VLOOKUP(irregulares[[#This Row],[Similar a]],padroes[],2,0)</f>
        <v>ELHAR</v>
      </c>
      <c r="D1617" s="3"/>
    </row>
    <row r="1618" spans="1:4" x14ac:dyDescent="0.25">
      <c r="A1618" s="2" t="s">
        <v>3980</v>
      </c>
      <c r="B1618" s="2" t="s">
        <v>53</v>
      </c>
      <c r="C1618" s="31" t="str">
        <f>VLOOKUP(irregulares[[#This Row],[Similar a]],padroes[],2,0)</f>
        <v>EAR</v>
      </c>
      <c r="D1618" s="3"/>
    </row>
    <row r="1619" spans="1:4" x14ac:dyDescent="0.25">
      <c r="A1619" s="2" t="s">
        <v>4148</v>
      </c>
      <c r="B1619" s="2" t="s">
        <v>55</v>
      </c>
      <c r="C1619" s="31" t="str">
        <f>VLOOKUP(irregulares[[#This Row],[Similar a]],padroes[],2,0)</f>
        <v>EJAR ô</v>
      </c>
      <c r="D1619" s="3"/>
    </row>
    <row r="1620" spans="1:4" x14ac:dyDescent="0.25">
      <c r="A1620" s="2" t="s">
        <v>3981</v>
      </c>
      <c r="B1620" s="2" t="s">
        <v>53</v>
      </c>
      <c r="C1620" s="31" t="str">
        <f>VLOOKUP(irregulares[[#This Row],[Similar a]],padroes[],2,0)</f>
        <v>EAR</v>
      </c>
      <c r="D1620" s="3"/>
    </row>
    <row r="1621" spans="1:4" x14ac:dyDescent="0.25">
      <c r="A1621" s="2" t="s">
        <v>4026</v>
      </c>
      <c r="B1621" s="2" t="s">
        <v>60</v>
      </c>
      <c r="C1621" s="31" t="str">
        <f>VLOOKUP(irregulares[[#This Row],[Similar a]],padroes[],2,0)</f>
        <v>GAR</v>
      </c>
      <c r="D1621" s="3"/>
    </row>
    <row r="1622" spans="1:4" x14ac:dyDescent="0.25">
      <c r="A1622" s="2" t="s">
        <v>4113</v>
      </c>
      <c r="B1622" s="2" t="s">
        <v>74</v>
      </c>
      <c r="C1622" s="31" t="str">
        <f>VLOOKUP(irregulares[[#This Row],[Similar a]],padroes[],2,0)</f>
        <v>GAR</v>
      </c>
      <c r="D1622" s="3"/>
    </row>
    <row r="1623" spans="1:4" x14ac:dyDescent="0.25">
      <c r="A1623" s="2" t="s">
        <v>3982</v>
      </c>
      <c r="B1623" s="2" t="s">
        <v>53</v>
      </c>
      <c r="C1623" s="31" t="str">
        <f>VLOOKUP(irregulares[[#This Row],[Similar a]],padroes[],2,0)</f>
        <v>EAR</v>
      </c>
      <c r="D1623" s="3"/>
    </row>
    <row r="1624" spans="1:4" x14ac:dyDescent="0.25">
      <c r="A1624" s="2" t="s">
        <v>3983</v>
      </c>
      <c r="B1624" s="2" t="s">
        <v>53</v>
      </c>
      <c r="C1624" s="31" t="str">
        <f>VLOOKUP(irregulares[[#This Row],[Similar a]],padroes[],2,0)</f>
        <v>EAR</v>
      </c>
      <c r="D1624" s="3"/>
    </row>
    <row r="1625" spans="1:4" x14ac:dyDescent="0.25">
      <c r="A1625" s="2" t="s">
        <v>4598</v>
      </c>
      <c r="B1625" s="2" t="s">
        <v>1613</v>
      </c>
      <c r="C1625" s="31" t="str">
        <f>VLOOKUP(irregulares[[#This Row],[Similar a]],padroes[],2,0)</f>
        <v>Defectivo 3</v>
      </c>
      <c r="D1625" s="3"/>
    </row>
    <row r="1626" spans="1:4" x14ac:dyDescent="0.25">
      <c r="A1626" s="2" t="s">
        <v>4366</v>
      </c>
      <c r="B1626" s="2" t="s">
        <v>63</v>
      </c>
      <c r="C1626" s="31" t="str">
        <f>VLOOKUP(irregulares[[#This Row],[Similar a]],padroes[],2,0)</f>
        <v>CER</v>
      </c>
      <c r="D1626" s="3"/>
    </row>
    <row r="1627" spans="1:4" x14ac:dyDescent="0.25">
      <c r="A1627" s="2" t="s">
        <v>4232</v>
      </c>
      <c r="B1627" s="2" t="s">
        <v>49</v>
      </c>
      <c r="C1627" s="31" t="str">
        <f>VLOOKUP(irregulares[[#This Row],[Similar a]],padroes[],2,0)</f>
        <v>OAR</v>
      </c>
      <c r="D1627" s="3"/>
    </row>
    <row r="1628" spans="1:4" x14ac:dyDescent="0.25">
      <c r="A1628" s="2" t="s">
        <v>4599</v>
      </c>
      <c r="B1628" s="2" t="s">
        <v>1613</v>
      </c>
      <c r="C1628" s="31" t="str">
        <f>VLOOKUP(irregulares[[#This Row],[Similar a]],padroes[],2,0)</f>
        <v>Defectivo 3</v>
      </c>
      <c r="D1628" s="3"/>
    </row>
    <row r="1629" spans="1:4" x14ac:dyDescent="0.25">
      <c r="A1629" s="2" t="s">
        <v>3984</v>
      </c>
      <c r="B1629" s="2" t="s">
        <v>53</v>
      </c>
      <c r="C1629" s="31" t="str">
        <f>VLOOKUP(irregulares[[#This Row],[Similar a]],padroes[],2,0)</f>
        <v>EAR</v>
      </c>
      <c r="D1629" s="3"/>
    </row>
    <row r="1630" spans="1:4" x14ac:dyDescent="0.25">
      <c r="A1630" s="2" t="s">
        <v>3985</v>
      </c>
      <c r="B1630" s="2" t="s">
        <v>53</v>
      </c>
      <c r="C1630" s="31" t="str">
        <f>VLOOKUP(irregulares[[#This Row],[Similar a]],padroes[],2,0)</f>
        <v>EAR</v>
      </c>
      <c r="D1630" s="3"/>
    </row>
    <row r="1631" spans="1:4" x14ac:dyDescent="0.25">
      <c r="A1631" s="2" t="s">
        <v>4149</v>
      </c>
      <c r="B1631" s="2" t="s">
        <v>55</v>
      </c>
      <c r="C1631" s="31" t="str">
        <f>VLOOKUP(irregulares[[#This Row],[Similar a]],padroes[],2,0)</f>
        <v>EJAR ô</v>
      </c>
      <c r="D1631" s="3"/>
    </row>
    <row r="1632" spans="1:4" x14ac:dyDescent="0.25">
      <c r="A1632" s="2" t="s">
        <v>4114</v>
      </c>
      <c r="B1632" s="2" t="s">
        <v>74</v>
      </c>
      <c r="C1632" s="31" t="str">
        <f>VLOOKUP(irregulares[[#This Row],[Similar a]],padroes[],2,0)</f>
        <v>GAR</v>
      </c>
      <c r="D1632" s="3"/>
    </row>
    <row r="1633" spans="1:4" x14ac:dyDescent="0.25">
      <c r="A1633" s="2" t="s">
        <v>4150</v>
      </c>
      <c r="B1633" s="2" t="s">
        <v>55</v>
      </c>
      <c r="C1633" s="31" t="str">
        <f>VLOOKUP(irregulares[[#This Row],[Similar a]],padroes[],2,0)</f>
        <v>EJAR ô</v>
      </c>
      <c r="D1633" s="3"/>
    </row>
    <row r="1634" spans="1:4" x14ac:dyDescent="0.25">
      <c r="A1634" s="2" t="s">
        <v>4122</v>
      </c>
      <c r="B1634" s="2" t="s">
        <v>74</v>
      </c>
      <c r="C1634" s="31" t="str">
        <f>VLOOKUP(irregulares[[#This Row],[Similar a]],padroes[],2,0)</f>
        <v>GAR</v>
      </c>
      <c r="D1634" s="3"/>
    </row>
    <row r="1635" spans="1:4" x14ac:dyDescent="0.25">
      <c r="A1635" s="2" t="s">
        <v>4151</v>
      </c>
      <c r="B1635" s="2" t="s">
        <v>55</v>
      </c>
      <c r="C1635" s="31" t="str">
        <f>VLOOKUP(irregulares[[#This Row],[Similar a]],padroes[],2,0)</f>
        <v>EJAR ô</v>
      </c>
      <c r="D1635" s="3"/>
    </row>
    <row r="1636" spans="1:4" x14ac:dyDescent="0.25">
      <c r="A1636" s="2" t="s">
        <v>4152</v>
      </c>
      <c r="B1636" s="2" t="s">
        <v>55</v>
      </c>
      <c r="C1636" s="31" t="str">
        <f>VLOOKUP(irregulares[[#This Row],[Similar a]],padroes[],2,0)</f>
        <v>EJAR ô</v>
      </c>
      <c r="D1636" s="3"/>
    </row>
    <row r="1637" spans="1:4" x14ac:dyDescent="0.25">
      <c r="A1637" s="2" t="s">
        <v>4367</v>
      </c>
      <c r="B1637" s="2" t="s">
        <v>63</v>
      </c>
      <c r="C1637" s="31" t="str">
        <f>VLOOKUP(irregulares[[#This Row],[Similar a]],padroes[],2,0)</f>
        <v>CER</v>
      </c>
      <c r="D1637" s="3"/>
    </row>
    <row r="1638" spans="1:4" x14ac:dyDescent="0.25">
      <c r="A1638" s="2" t="s">
        <v>3986</v>
      </c>
      <c r="B1638" s="2" t="s">
        <v>53</v>
      </c>
      <c r="C1638" s="31" t="str">
        <f>VLOOKUP(irregulares[[#This Row],[Similar a]],padroes[],2,0)</f>
        <v>EAR</v>
      </c>
      <c r="D1638" s="3"/>
    </row>
    <row r="1639" spans="1:4" x14ac:dyDescent="0.25">
      <c r="A1639" s="2" t="s">
        <v>4153</v>
      </c>
      <c r="B1639" s="2" t="s">
        <v>55</v>
      </c>
      <c r="C1639" s="31" t="str">
        <f>VLOOKUP(irregulares[[#This Row],[Similar a]],padroes[],2,0)</f>
        <v>EJAR ô</v>
      </c>
      <c r="D1639" s="3"/>
    </row>
    <row r="1640" spans="1:4" x14ac:dyDescent="0.25">
      <c r="A1640" s="2" t="s">
        <v>3987</v>
      </c>
      <c r="B1640" s="2" t="s">
        <v>53</v>
      </c>
      <c r="C1640" s="31" t="str">
        <f>VLOOKUP(irregulares[[#This Row],[Similar a]],padroes[],2,0)</f>
        <v>EAR</v>
      </c>
      <c r="D1640" s="3"/>
    </row>
    <row r="1641" spans="1:4" x14ac:dyDescent="0.25">
      <c r="A1641" s="2" t="s">
        <v>3988</v>
      </c>
      <c r="B1641" s="2" t="s">
        <v>53</v>
      </c>
      <c r="C1641" s="31" t="str">
        <f>VLOOKUP(irregulares[[#This Row],[Similar a]],padroes[],2,0)</f>
        <v>EAR</v>
      </c>
      <c r="D1641" s="3"/>
    </row>
    <row r="1642" spans="1:4" x14ac:dyDescent="0.25">
      <c r="A1642" s="2" t="s">
        <v>3</v>
      </c>
      <c r="B1642" s="2" t="s">
        <v>3</v>
      </c>
      <c r="C1642" s="2" t="str">
        <f>VLOOKUP(irregulares[[#This Row],[Similar a]],padroes[],2,0)</f>
        <v>ESTAR</v>
      </c>
      <c r="D1642" s="3"/>
    </row>
    <row r="1643" spans="1:4" x14ac:dyDescent="0.25">
      <c r="A1643" s="2" t="s">
        <v>4368</v>
      </c>
      <c r="B1643" s="2" t="s">
        <v>63</v>
      </c>
      <c r="C1643" s="31" t="str">
        <f>VLOOKUP(irregulares[[#This Row],[Similar a]],padroes[],2,0)</f>
        <v>CER</v>
      </c>
      <c r="D1643" s="3"/>
    </row>
    <row r="1644" spans="1:4" x14ac:dyDescent="0.25">
      <c r="A1644" s="2" t="s">
        <v>4600</v>
      </c>
      <c r="B1644" s="2" t="s">
        <v>82</v>
      </c>
      <c r="C1644" s="31" t="str">
        <f>VLOOKUP(irregulares[[#This Row],[Similar a]],padroes[],2,0)</f>
        <v>UIR</v>
      </c>
      <c r="D1644" s="3"/>
    </row>
    <row r="1645" spans="1:4" x14ac:dyDescent="0.25">
      <c r="A1645" s="2" t="s">
        <v>3913</v>
      </c>
      <c r="B1645" s="2" t="s">
        <v>53</v>
      </c>
      <c r="C1645" s="31" t="str">
        <f>VLOOKUP(irregulares[[#This Row],[Similar a]],padroes[],2,0)</f>
        <v>EAR</v>
      </c>
      <c r="D1645" s="3"/>
    </row>
    <row r="1646" spans="1:4" x14ac:dyDescent="0.25">
      <c r="A1646" s="2" t="s">
        <v>3989</v>
      </c>
      <c r="B1646" s="2" t="s">
        <v>53</v>
      </c>
      <c r="C1646" s="31" t="str">
        <f>VLOOKUP(irregulares[[#This Row],[Similar a]],padroes[],2,0)</f>
        <v>EAR</v>
      </c>
      <c r="D1646" s="3"/>
    </row>
    <row r="1647" spans="1:4" x14ac:dyDescent="0.25">
      <c r="A1647" s="2" t="s">
        <v>4116</v>
      </c>
      <c r="B1647" s="2" t="s">
        <v>74</v>
      </c>
      <c r="C1647" s="31" t="str">
        <f>VLOOKUP(irregulares[[#This Row],[Similar a]],padroes[],2,0)</f>
        <v>GAR</v>
      </c>
      <c r="D1647" s="3"/>
    </row>
    <row r="1648" spans="1:4" x14ac:dyDescent="0.25">
      <c r="A1648" s="2" t="s">
        <v>3990</v>
      </c>
      <c r="B1648" s="2" t="s">
        <v>53</v>
      </c>
      <c r="C1648" s="31" t="str">
        <f>VLOOKUP(irregulares[[#This Row],[Similar a]],padroes[],2,0)</f>
        <v>EAR</v>
      </c>
      <c r="D1648" s="3"/>
    </row>
    <row r="1649" spans="1:4" x14ac:dyDescent="0.25">
      <c r="A1649" s="2" t="s">
        <v>3991</v>
      </c>
      <c r="B1649" s="2" t="s">
        <v>53</v>
      </c>
      <c r="C1649" s="31" t="str">
        <f>VLOOKUP(irregulares[[#This Row],[Similar a]],padroes[],2,0)</f>
        <v>EAR</v>
      </c>
      <c r="D1649" s="3"/>
    </row>
    <row r="1650" spans="1:4" x14ac:dyDescent="0.25">
      <c r="A1650" s="2" t="s">
        <v>4027</v>
      </c>
      <c r="B1650" s="2" t="s">
        <v>60</v>
      </c>
      <c r="C1650" s="31" t="str">
        <f>VLOOKUP(irregulares[[#This Row],[Similar a]],padroes[],2,0)</f>
        <v>GAR</v>
      </c>
      <c r="D1650" s="3"/>
    </row>
    <row r="1651" spans="1:4" x14ac:dyDescent="0.25">
      <c r="A1651" s="2" t="s">
        <v>4369</v>
      </c>
      <c r="B1651" s="2" t="s">
        <v>63</v>
      </c>
      <c r="C1651" s="31" t="str">
        <f>VLOOKUP(irregulares[[#This Row],[Similar a]],padroes[],2,0)</f>
        <v>CER</v>
      </c>
      <c r="D1651" s="3"/>
    </row>
    <row r="1652" spans="1:4" x14ac:dyDescent="0.25">
      <c r="A1652" s="2" t="s">
        <v>4233</v>
      </c>
      <c r="B1652" s="2" t="s">
        <v>49</v>
      </c>
      <c r="C1652" s="31" t="str">
        <f>VLOOKUP(irregulares[[#This Row],[Similar a]],padroes[],2,0)</f>
        <v>OAR</v>
      </c>
      <c r="D1652" s="3"/>
    </row>
    <row r="1653" spans="1:4" x14ac:dyDescent="0.25">
      <c r="A1653" s="2" t="s">
        <v>4234</v>
      </c>
      <c r="B1653" s="2" t="s">
        <v>49</v>
      </c>
      <c r="C1653" s="31" t="str">
        <f>VLOOKUP(irregulares[[#This Row],[Similar a]],padroes[],2,0)</f>
        <v>OAR</v>
      </c>
      <c r="D1653" s="3"/>
    </row>
    <row r="1654" spans="1:4" x14ac:dyDescent="0.25">
      <c r="A1654" s="2" t="s">
        <v>4028</v>
      </c>
      <c r="B1654" s="2" t="s">
        <v>60</v>
      </c>
      <c r="C1654" s="31" t="str">
        <f>VLOOKUP(irregulares[[#This Row],[Similar a]],padroes[],2,0)</f>
        <v>GAR</v>
      </c>
      <c r="D1654" s="3"/>
    </row>
    <row r="1655" spans="1:4" x14ac:dyDescent="0.25">
      <c r="A1655" s="2" t="s">
        <v>4117</v>
      </c>
      <c r="B1655" s="2" t="s">
        <v>74</v>
      </c>
      <c r="C1655" s="31" t="str">
        <f>VLOOKUP(irregulares[[#This Row],[Similar a]],padroes[],2,0)</f>
        <v>GAR</v>
      </c>
      <c r="D1655" s="3"/>
    </row>
    <row r="1656" spans="1:4" x14ac:dyDescent="0.25">
      <c r="A1656" s="2" t="s">
        <v>4154</v>
      </c>
      <c r="B1656" s="2" t="s">
        <v>55</v>
      </c>
      <c r="C1656" s="31" t="str">
        <f>VLOOKUP(irregulares[[#This Row],[Similar a]],padroes[],2,0)</f>
        <v>EJAR ô</v>
      </c>
      <c r="D1656" s="3"/>
    </row>
    <row r="1657" spans="1:4" x14ac:dyDescent="0.25">
      <c r="A1657" s="2" t="s">
        <v>3992</v>
      </c>
      <c r="B1657" s="2" t="s">
        <v>337</v>
      </c>
      <c r="C1657" s="31" t="str">
        <f>VLOOKUP(irregulares[[#This Row],[Similar a]],padroes[],2,0)</f>
        <v>IDEAR</v>
      </c>
      <c r="D1657" s="3"/>
    </row>
    <row r="1658" spans="1:4" x14ac:dyDescent="0.25">
      <c r="A1658" s="2" t="s">
        <v>4135</v>
      </c>
      <c r="B1658" s="2" t="s">
        <v>1604</v>
      </c>
      <c r="C1658" s="31" t="str">
        <f>VLOOKUP(irregulares[[#This Row],[Similar a]],padroes[],2,0)</f>
        <v>Defectivo 3</v>
      </c>
      <c r="D1658" s="3"/>
    </row>
    <row r="1659" spans="1:4" x14ac:dyDescent="0.25">
      <c r="A1659" s="2" t="s">
        <v>4370</v>
      </c>
      <c r="B1659" s="2" t="s">
        <v>63</v>
      </c>
      <c r="C1659" s="31" t="str">
        <f>VLOOKUP(irregulares[[#This Row],[Similar a]],padroes[],2,0)</f>
        <v>CER</v>
      </c>
      <c r="D1659" s="3"/>
    </row>
    <row r="1660" spans="1:4" x14ac:dyDescent="0.25">
      <c r="A1660" s="2" t="s">
        <v>4118</v>
      </c>
      <c r="B1660" s="2" t="s">
        <v>74</v>
      </c>
      <c r="C1660" s="31" t="str">
        <f>VLOOKUP(irregulares[[#This Row],[Similar a]],padroes[],2,0)</f>
        <v>GAR</v>
      </c>
      <c r="D1660" s="3"/>
    </row>
    <row r="1661" spans="1:4" x14ac:dyDescent="0.25">
      <c r="A1661" s="2" t="s">
        <v>4601</v>
      </c>
      <c r="B1661" s="2" t="s">
        <v>154</v>
      </c>
      <c r="C1661" s="31" t="str">
        <f>VLOOKUP(irregulares[[#This Row],[Similar a]],padroes[],2,0)</f>
        <v>GIR</v>
      </c>
      <c r="D1661" s="3"/>
    </row>
    <row r="1662" spans="1:4" x14ac:dyDescent="0.25">
      <c r="A1662" s="2" t="s">
        <v>4115</v>
      </c>
      <c r="B1662" s="2" t="s">
        <v>74</v>
      </c>
      <c r="C1662" s="31" t="str">
        <f>VLOOKUP(irregulares[[#This Row],[Similar a]],padroes[],2,0)</f>
        <v>GAR</v>
      </c>
      <c r="D1662" s="3"/>
    </row>
    <row r="1663" spans="1:4" x14ac:dyDescent="0.25">
      <c r="A1663" s="2" t="s">
        <v>4602</v>
      </c>
      <c r="B1663" s="2" t="s">
        <v>154</v>
      </c>
      <c r="C1663" s="31" t="str">
        <f>VLOOKUP(irregulares[[#This Row],[Similar a]],padroes[],2,0)</f>
        <v>GIR</v>
      </c>
      <c r="D1663" s="3"/>
    </row>
    <row r="1664" spans="1:4" x14ac:dyDescent="0.25">
      <c r="A1664" s="2" t="s">
        <v>3993</v>
      </c>
      <c r="B1664" s="2" t="s">
        <v>53</v>
      </c>
      <c r="C1664" s="31" t="str">
        <f>VLOOKUP(irregulares[[#This Row],[Similar a]],padroes[],2,0)</f>
        <v>EAR</v>
      </c>
      <c r="D1664" s="3"/>
    </row>
    <row r="1665" spans="1:4" x14ac:dyDescent="0.25">
      <c r="A1665" s="2" t="s">
        <v>3994</v>
      </c>
      <c r="B1665" s="2" t="s">
        <v>53</v>
      </c>
      <c r="C1665" s="31" t="str">
        <f>VLOOKUP(irregulares[[#This Row],[Similar a]],padroes[],2,0)</f>
        <v>EAR</v>
      </c>
      <c r="D1665" s="3"/>
    </row>
    <row r="1666" spans="1:4" x14ac:dyDescent="0.25">
      <c r="A1666" s="2" t="s">
        <v>4155</v>
      </c>
      <c r="B1666" s="2" t="s">
        <v>55</v>
      </c>
      <c r="C1666" s="31" t="str">
        <f>VLOOKUP(irregulares[[#This Row],[Similar a]],padroes[],2,0)</f>
        <v>EJAR ô</v>
      </c>
      <c r="D1666" s="3"/>
    </row>
    <row r="1667" spans="1:4" x14ac:dyDescent="0.25">
      <c r="A1667" s="2" t="s">
        <v>4603</v>
      </c>
      <c r="B1667" s="2" t="s">
        <v>154</v>
      </c>
      <c r="C1667" s="31" t="str">
        <f>VLOOKUP(irregulares[[#This Row],[Similar a]],padroes[],2,0)</f>
        <v>GIR</v>
      </c>
      <c r="D1667" s="3"/>
    </row>
    <row r="1668" spans="1:4" x14ac:dyDescent="0.25">
      <c r="A1668" s="2" t="s">
        <v>4604</v>
      </c>
      <c r="B1668" s="2" t="s">
        <v>82</v>
      </c>
      <c r="C1668" s="31" t="str">
        <f>VLOOKUP(irregulares[[#This Row],[Similar a]],padroes[],2,0)</f>
        <v>UIR</v>
      </c>
      <c r="D1668" s="3"/>
    </row>
    <row r="1669" spans="1:4" x14ac:dyDescent="0.25">
      <c r="A1669" s="2" t="s">
        <v>4119</v>
      </c>
      <c r="B1669" s="2" t="s">
        <v>74</v>
      </c>
      <c r="C1669" s="31" t="str">
        <f>VLOOKUP(irregulares[[#This Row],[Similar a]],padroes[],2,0)</f>
        <v>GAR</v>
      </c>
      <c r="D1669" s="3"/>
    </row>
    <row r="1670" spans="1:4" x14ac:dyDescent="0.25">
      <c r="A1670" s="2" t="s">
        <v>4605</v>
      </c>
      <c r="B1670" s="2" t="s">
        <v>859</v>
      </c>
      <c r="C1670" s="31" t="str">
        <f>VLOOKUP(irregulares[[#This Row],[Similar a]],padroes[],2,0)</f>
        <v>FAZER</v>
      </c>
      <c r="D1670" s="3"/>
    </row>
    <row r="1671" spans="1:4" x14ac:dyDescent="0.25">
      <c r="A1671" s="2" t="s">
        <v>4371</v>
      </c>
      <c r="B1671" s="2" t="s">
        <v>63</v>
      </c>
      <c r="C1671" s="31" t="str">
        <f>VLOOKUP(irregulares[[#This Row],[Similar a]],padroes[],2,0)</f>
        <v>CER</v>
      </c>
      <c r="D1671" s="3"/>
    </row>
    <row r="1672" spans="1:4" x14ac:dyDescent="0.25">
      <c r="A1672" s="2" t="s">
        <v>4606</v>
      </c>
      <c r="B1672" s="2" t="s">
        <v>988</v>
      </c>
      <c r="C1672" s="31" t="str">
        <f>VLOOKUP(irregulares[[#This Row],[Similar a]],padroes[],2,0)</f>
        <v>AIR</v>
      </c>
      <c r="D1672" s="3"/>
    </row>
    <row r="1673" spans="1:4" x14ac:dyDescent="0.25">
      <c r="A1673" s="2" t="s">
        <v>4372</v>
      </c>
      <c r="B1673" s="2" t="s">
        <v>63</v>
      </c>
      <c r="C1673" s="31" t="str">
        <f>VLOOKUP(irregulares[[#This Row],[Similar a]],padroes[],2,0)</f>
        <v>CER</v>
      </c>
      <c r="D1673" s="3"/>
    </row>
    <row r="1674" spans="1:4" x14ac:dyDescent="0.25">
      <c r="A1674" s="2" t="s">
        <v>3995</v>
      </c>
      <c r="B1674" s="2" t="s">
        <v>53</v>
      </c>
      <c r="C1674" s="31" t="str">
        <f>VLOOKUP(irregulares[[#This Row],[Similar a]],padroes[],2,0)</f>
        <v>EAR</v>
      </c>
      <c r="D1674" s="3"/>
    </row>
    <row r="1675" spans="1:4" x14ac:dyDescent="0.25">
      <c r="A1675" s="2" t="s">
        <v>4120</v>
      </c>
      <c r="B1675" s="2" t="s">
        <v>74</v>
      </c>
      <c r="C1675" s="31" t="str">
        <f>VLOOKUP(irregulares[[#This Row],[Similar a]],padroes[],2,0)</f>
        <v>GAR</v>
      </c>
      <c r="D1675" s="3"/>
    </row>
    <row r="1676" spans="1:4" x14ac:dyDescent="0.25">
      <c r="A1676" s="2" t="s">
        <v>4156</v>
      </c>
      <c r="B1676" s="2" t="s">
        <v>55</v>
      </c>
      <c r="C1676" s="31" t="str">
        <f>VLOOKUP(irregulares[[#This Row],[Similar a]],padroes[],2,0)</f>
        <v>EJAR ô</v>
      </c>
      <c r="D1676" s="3"/>
    </row>
    <row r="1677" spans="1:4" x14ac:dyDescent="0.25">
      <c r="A1677" s="2" t="s">
        <v>4373</v>
      </c>
      <c r="B1677" s="2" t="s">
        <v>63</v>
      </c>
      <c r="C1677" s="31" t="str">
        <f>VLOOKUP(irregulares[[#This Row],[Similar a]],padroes[],2,0)</f>
        <v>CER</v>
      </c>
      <c r="D1677" s="3"/>
    </row>
    <row r="1678" spans="1:4" x14ac:dyDescent="0.25">
      <c r="A1678" s="2" t="s">
        <v>4607</v>
      </c>
      <c r="B1678" s="2" t="s">
        <v>82</v>
      </c>
      <c r="C1678" s="31" t="str">
        <f>VLOOKUP(irregulares[[#This Row],[Similar a]],padroes[],2,0)</f>
        <v>UIR</v>
      </c>
      <c r="D1678" s="3"/>
    </row>
    <row r="1679" spans="1:4" x14ac:dyDescent="0.25">
      <c r="A1679" s="2" t="s">
        <v>4608</v>
      </c>
      <c r="B1679" s="2" t="s">
        <v>1717</v>
      </c>
      <c r="C1679" s="31" t="str">
        <f>VLOOKUP(irregulares[[#This Row],[Similar a]],padroes[],2,0)</f>
        <v>Defectivo 1</v>
      </c>
      <c r="D1679" s="3"/>
    </row>
    <row r="1680" spans="1:4" x14ac:dyDescent="0.25">
      <c r="A1680" s="2" t="s">
        <v>4609</v>
      </c>
      <c r="B1680" s="2" t="s">
        <v>1717</v>
      </c>
      <c r="C1680" s="31" t="str">
        <f>VLOOKUP(irregulares[[#This Row],[Similar a]],padroes[],2,0)</f>
        <v>Defectivo 1</v>
      </c>
      <c r="D1680" s="3"/>
    </row>
    <row r="1681" spans="1:4" x14ac:dyDescent="0.25">
      <c r="A1681" s="2" t="s">
        <v>4610</v>
      </c>
      <c r="B1681" s="2" t="s">
        <v>1717</v>
      </c>
      <c r="C1681" s="31" t="str">
        <f>VLOOKUP(irregulares[[#This Row],[Similar a]],padroes[],2,0)</f>
        <v>Defectivo 1</v>
      </c>
      <c r="D1681" s="3"/>
    </row>
    <row r="1682" spans="1:4" x14ac:dyDescent="0.25">
      <c r="A1682" s="2" t="s">
        <v>4611</v>
      </c>
      <c r="B1682" s="2" t="s">
        <v>82</v>
      </c>
      <c r="C1682" s="31" t="str">
        <f>VLOOKUP(irregulares[[#This Row],[Similar a]],padroes[],2,0)</f>
        <v>UIR</v>
      </c>
      <c r="D1682" s="3"/>
    </row>
    <row r="1683" spans="1:4" x14ac:dyDescent="0.25">
      <c r="A1683" s="2" t="s">
        <v>4121</v>
      </c>
      <c r="B1683" s="2" t="s">
        <v>74</v>
      </c>
      <c r="C1683" s="31" t="str">
        <f>VLOOKUP(irregulares[[#This Row],[Similar a]],padroes[],2,0)</f>
        <v>GAR</v>
      </c>
      <c r="D1683" s="3"/>
    </row>
    <row r="1684" spans="1:4" x14ac:dyDescent="0.25">
      <c r="A1684" s="2" t="s">
        <v>4374</v>
      </c>
      <c r="B1684" s="2" t="s">
        <v>63</v>
      </c>
      <c r="C1684" s="31" t="str">
        <f>VLOOKUP(irregulares[[#This Row],[Similar a]],padroes[],2,0)</f>
        <v>CER</v>
      </c>
      <c r="D1684" s="3"/>
    </row>
    <row r="1685" spans="1:4" x14ac:dyDescent="0.25">
      <c r="A1685" s="2" t="s">
        <v>4375</v>
      </c>
      <c r="B1685" s="2" t="s">
        <v>63</v>
      </c>
      <c r="C1685" s="31" t="str">
        <f>VLOOKUP(irregulares[[#This Row],[Similar a]],padroes[],2,0)</f>
        <v>CER</v>
      </c>
      <c r="D1685" s="3"/>
    </row>
    <row r="1686" spans="1:4" x14ac:dyDescent="0.25">
      <c r="A1686" s="2" t="s">
        <v>4612</v>
      </c>
      <c r="B1686" s="2" t="s">
        <v>154</v>
      </c>
      <c r="C1686" s="31" t="str">
        <f>VLOOKUP(irregulares[[#This Row],[Similar a]],padroes[],2,0)</f>
        <v>GIR</v>
      </c>
      <c r="D1686" s="3"/>
    </row>
    <row r="1687" spans="1:4" x14ac:dyDescent="0.25">
      <c r="A1687" s="2" t="s">
        <v>4613</v>
      </c>
      <c r="B1687" s="2" t="s">
        <v>185</v>
      </c>
      <c r="C1687" s="31" t="str">
        <f>VLOOKUP(irregulares[[#This Row],[Similar a]],padroes[],2,0)</f>
        <v>Defectivo 2</v>
      </c>
      <c r="D1687" s="3"/>
    </row>
    <row r="1688" spans="1:4" x14ac:dyDescent="0.25">
      <c r="A1688" s="2" t="s">
        <v>4614</v>
      </c>
      <c r="B1688" s="2" t="s">
        <v>1998</v>
      </c>
      <c r="C1688" s="31" t="str">
        <f>VLOOKUP(irregulares[[#This Row],[Similar a]],padroes[],2,0)</f>
        <v>PEDIR</v>
      </c>
      <c r="D1688" s="3"/>
    </row>
    <row r="1689" spans="1:4" x14ac:dyDescent="0.25">
      <c r="A1689" s="2" t="s">
        <v>4615</v>
      </c>
      <c r="B1689" s="2" t="s">
        <v>4615</v>
      </c>
      <c r="C1689" s="31" t="str">
        <f>VLOOKUP(irregulares[[#This Row],[Similar a]],padroes[],2,0)</f>
        <v>Abundante</v>
      </c>
      <c r="D1689" s="3"/>
    </row>
    <row r="1690" spans="1:4" x14ac:dyDescent="0.25">
      <c r="A1690" s="2" t="s">
        <v>4616</v>
      </c>
      <c r="B1690" s="2" t="s">
        <v>1717</v>
      </c>
      <c r="C1690" s="31" t="str">
        <f>VLOOKUP(irregulares[[#This Row],[Similar a]],padroes[],2,0)</f>
        <v>Defectivo 1</v>
      </c>
      <c r="D1690" s="3"/>
    </row>
    <row r="1691" spans="1:4" x14ac:dyDescent="0.25">
      <c r="A1691" s="2" t="s">
        <v>4617</v>
      </c>
      <c r="B1691" s="2" t="s">
        <v>82</v>
      </c>
      <c r="C1691" s="31" t="str">
        <f>VLOOKUP(irregulares[[#This Row],[Similar a]],padroes[],2,0)</f>
        <v>UIR</v>
      </c>
      <c r="D1691" s="3"/>
    </row>
    <row r="1692" spans="1:4" x14ac:dyDescent="0.25">
      <c r="A1692" s="2" t="s">
        <v>4618</v>
      </c>
      <c r="B1692" s="2" t="s">
        <v>267</v>
      </c>
      <c r="C1692" s="31" t="str">
        <f>VLOOKUP(irregulares[[#This Row],[Similar a]],padroes[],2,0)</f>
        <v>POR</v>
      </c>
      <c r="D1692" s="3"/>
    </row>
    <row r="1693" spans="1:4" x14ac:dyDescent="0.25">
      <c r="A1693" s="2" t="s">
        <v>4619</v>
      </c>
      <c r="B1693" s="2" t="s">
        <v>141</v>
      </c>
      <c r="C1693" s="31" t="str">
        <f>VLOOKUP(irregulares[[#This Row],[Similar a]],padroes[],2,0)</f>
        <v>Abundante</v>
      </c>
      <c r="D1693" s="3"/>
    </row>
    <row r="1694" spans="1:4" x14ac:dyDescent="0.25">
      <c r="A1694" s="2" t="s">
        <v>4621</v>
      </c>
      <c r="B1694" s="2" t="s">
        <v>141</v>
      </c>
      <c r="C1694" s="31" t="str">
        <f>VLOOKUP(irregulares[[#This Row],[Similar a]],padroes[],2,0)</f>
        <v>Abundante</v>
      </c>
      <c r="D1694" s="3"/>
    </row>
    <row r="1695" spans="1:4" x14ac:dyDescent="0.25">
      <c r="A1695" s="2" t="s">
        <v>4622</v>
      </c>
      <c r="B1695" s="2" t="s">
        <v>1717</v>
      </c>
      <c r="C1695" s="31" t="str">
        <f>VLOOKUP(irregulares[[#This Row],[Similar a]],padroes[],2,0)</f>
        <v>Defectivo 1</v>
      </c>
      <c r="D1695" s="3"/>
    </row>
    <row r="1696" spans="1:4" x14ac:dyDescent="0.25">
      <c r="A1696" s="2" t="s">
        <v>4623</v>
      </c>
      <c r="B1696" s="2" t="s">
        <v>154</v>
      </c>
      <c r="C1696" s="31" t="str">
        <f>VLOOKUP(irregulares[[#This Row],[Similar a]],padroes[],2,0)</f>
        <v>GIR</v>
      </c>
      <c r="D1696" s="3"/>
    </row>
    <row r="1697" spans="1:4" x14ac:dyDescent="0.25">
      <c r="A1697" s="2" t="s">
        <v>3834</v>
      </c>
      <c r="B1697" s="2" t="s">
        <v>3834</v>
      </c>
      <c r="C1697" s="31" t="str">
        <f>VLOOKUP(irregulares[[#This Row],[Similar a]],padroes[],2,0)</f>
        <v>EXTINGUIR</v>
      </c>
      <c r="D1697" s="3"/>
    </row>
    <row r="1698" spans="1:4" x14ac:dyDescent="0.25">
      <c r="A1698" s="2" t="s">
        <v>4624</v>
      </c>
      <c r="B1698" s="2" t="s">
        <v>1717</v>
      </c>
      <c r="C1698" s="31" t="str">
        <f>VLOOKUP(irregulares[[#This Row],[Similar a]],padroes[],2,0)</f>
        <v>Defectivo 1</v>
      </c>
      <c r="D1698" s="3"/>
    </row>
    <row r="1699" spans="1:4" x14ac:dyDescent="0.25">
      <c r="A1699" s="2" t="s">
        <v>4625</v>
      </c>
      <c r="B1699" s="2" t="s">
        <v>988</v>
      </c>
      <c r="C1699" s="31" t="str">
        <f>VLOOKUP(irregulares[[#This Row],[Similar a]],padroes[],2,0)</f>
        <v>AIR</v>
      </c>
      <c r="D1699" s="3"/>
    </row>
    <row r="1700" spans="1:4" x14ac:dyDescent="0.25">
      <c r="A1700" s="2" t="s">
        <v>4626</v>
      </c>
      <c r="B1700" s="2" t="s">
        <v>267</v>
      </c>
      <c r="C1700" s="31" t="str">
        <f>VLOOKUP(irregulares[[#This Row],[Similar a]],padroes[],2,0)</f>
        <v>POR</v>
      </c>
      <c r="D1700" s="3"/>
    </row>
    <row r="1701" spans="1:4" x14ac:dyDescent="0.25">
      <c r="A1701" s="2" t="s">
        <v>4123</v>
      </c>
      <c r="B1701" s="2" t="s">
        <v>74</v>
      </c>
      <c r="C1701" s="31" t="str">
        <f>VLOOKUP(irregulares[[#This Row],[Similar a]],padroes[],2,0)</f>
        <v>GAR</v>
      </c>
      <c r="D1701" s="3"/>
    </row>
    <row r="1702" spans="1:4" x14ac:dyDescent="0.25">
      <c r="A1702" s="2" t="s">
        <v>1661</v>
      </c>
      <c r="B1702" s="2" t="s">
        <v>44</v>
      </c>
      <c r="C1702" s="31" t="str">
        <f>VLOOKUP(irregulares[[#This Row],[Similar a]],padroes[],2,0)</f>
        <v>CAR</v>
      </c>
      <c r="D1702" s="3"/>
    </row>
    <row r="1703" spans="1:4" x14ac:dyDescent="0.25">
      <c r="A1703" s="2" t="s">
        <v>1662</v>
      </c>
      <c r="B1703" s="2" t="s">
        <v>53</v>
      </c>
      <c r="C1703" s="31" t="str">
        <f>VLOOKUP(irregulares[[#This Row],[Similar a]],padroes[],2,0)</f>
        <v>EAR</v>
      </c>
      <c r="D1703" s="3"/>
    </row>
    <row r="1704" spans="1:4" x14ac:dyDescent="0.25">
      <c r="A1704" s="2" t="s">
        <v>1663</v>
      </c>
      <c r="B1704" s="2" t="s">
        <v>53</v>
      </c>
      <c r="C1704" s="31" t="str">
        <f>VLOOKUP(irregulares[[#This Row],[Similar a]],padroes[],2,0)</f>
        <v>EAR</v>
      </c>
      <c r="D1704" s="3"/>
    </row>
    <row r="1705" spans="1:4" x14ac:dyDescent="0.25">
      <c r="A1705" s="2" t="s">
        <v>1664</v>
      </c>
      <c r="B1705" s="2" t="s">
        <v>53</v>
      </c>
      <c r="C1705" s="31" t="str">
        <f>VLOOKUP(irregulares[[#This Row],[Similar a]],padroes[],2,0)</f>
        <v>EAR</v>
      </c>
      <c r="D1705" s="3"/>
    </row>
    <row r="1706" spans="1:4" x14ac:dyDescent="0.25">
      <c r="A1706" s="2" t="s">
        <v>1665</v>
      </c>
      <c r="B1706" s="2" t="s">
        <v>55</v>
      </c>
      <c r="C1706" s="31" t="str">
        <f>VLOOKUP(irregulares[[#This Row],[Similar a]],padroes[],2,0)</f>
        <v>EJAR ô</v>
      </c>
      <c r="D1706" s="3"/>
    </row>
    <row r="1707" spans="1:4" x14ac:dyDescent="0.25">
      <c r="A1707" s="2" t="s">
        <v>1666</v>
      </c>
      <c r="B1707" s="2" t="s">
        <v>74</v>
      </c>
      <c r="C1707" s="31" t="str">
        <f>VLOOKUP(irregulares[[#This Row],[Similar a]],padroes[],2,0)</f>
        <v>GAR</v>
      </c>
      <c r="D1707" s="3"/>
    </row>
    <row r="1708" spans="1:4" x14ac:dyDescent="0.25">
      <c r="A1708" s="2" t="s">
        <v>1667</v>
      </c>
      <c r="B1708" s="2" t="s">
        <v>44</v>
      </c>
      <c r="C1708" s="31" t="str">
        <f>VLOOKUP(irregulares[[#This Row],[Similar a]],padroes[],2,0)</f>
        <v>CAR</v>
      </c>
      <c r="D1708" s="3"/>
    </row>
    <row r="1709" spans="1:4" x14ac:dyDescent="0.25">
      <c r="A1709" s="2" t="s">
        <v>1668</v>
      </c>
      <c r="B1709" s="2" t="s">
        <v>53</v>
      </c>
      <c r="C1709" s="31" t="str">
        <f>VLOOKUP(irregulares[[#This Row],[Similar a]],padroes[],2,0)</f>
        <v>EAR</v>
      </c>
      <c r="D1709" s="3"/>
    </row>
    <row r="1710" spans="1:4" x14ac:dyDescent="0.25">
      <c r="A1710" s="2" t="s">
        <v>1669</v>
      </c>
      <c r="B1710" s="2" t="s">
        <v>42</v>
      </c>
      <c r="C1710" s="31" t="str">
        <f>VLOOKUP(irregulares[[#This Row],[Similar a]],padroes[],2,0)</f>
        <v>ÇAR</v>
      </c>
      <c r="D1710" s="3"/>
    </row>
    <row r="1711" spans="1:4" x14ac:dyDescent="0.25">
      <c r="A1711" s="2" t="s">
        <v>1670</v>
      </c>
      <c r="B1711" s="2" t="s">
        <v>49</v>
      </c>
      <c r="C1711" s="31" t="str">
        <f>VLOOKUP(irregulares[[#This Row],[Similar a]],padroes[],2,0)</f>
        <v>OAR</v>
      </c>
      <c r="D1711" s="3"/>
    </row>
    <row r="1712" spans="1:4" x14ac:dyDescent="0.25">
      <c r="A1712" s="2" t="s">
        <v>1671</v>
      </c>
      <c r="B1712" s="2" t="s">
        <v>63</v>
      </c>
      <c r="C1712" s="31" t="str">
        <f>VLOOKUP(irregulares[[#This Row],[Similar a]],padroes[],2,0)</f>
        <v>CER</v>
      </c>
      <c r="D1712" s="3"/>
    </row>
    <row r="1713" spans="1:4" x14ac:dyDescent="0.25">
      <c r="A1713" s="2" t="s">
        <v>185</v>
      </c>
      <c r="B1713" s="2" t="s">
        <v>185</v>
      </c>
      <c r="C1713" s="31" t="str">
        <f>VLOOKUP(irregulares[[#This Row],[Similar a]],padroes[],2,0)</f>
        <v>Defectivo 2</v>
      </c>
      <c r="D1713" s="3"/>
    </row>
    <row r="1714" spans="1:4" x14ac:dyDescent="0.25">
      <c r="A1714" s="2" t="s">
        <v>1672</v>
      </c>
      <c r="B1714" s="2" t="s">
        <v>53</v>
      </c>
      <c r="C1714" s="31" t="str">
        <f>VLOOKUP(irregulares[[#This Row],[Similar a]],padroes[],2,0)</f>
        <v>EAR</v>
      </c>
      <c r="D1714" s="3"/>
    </row>
    <row r="1715" spans="1:4" x14ac:dyDescent="0.25">
      <c r="A1715" s="2" t="s">
        <v>1673</v>
      </c>
      <c r="B1715" s="2" t="s">
        <v>55</v>
      </c>
      <c r="C1715" s="31" t="str">
        <f>VLOOKUP(irregulares[[#This Row],[Similar a]],padroes[],2,0)</f>
        <v>EJAR ô</v>
      </c>
      <c r="D1715" s="3"/>
    </row>
    <row r="1716" spans="1:4" x14ac:dyDescent="0.25">
      <c r="A1716" s="2" t="s">
        <v>1674</v>
      </c>
      <c r="B1716" s="2" t="s">
        <v>53</v>
      </c>
      <c r="C1716" s="31" t="str">
        <f>VLOOKUP(irregulares[[#This Row],[Similar a]],padroes[],2,0)</f>
        <v>EAR</v>
      </c>
      <c r="D1716" s="3"/>
    </row>
    <row r="1717" spans="1:4" x14ac:dyDescent="0.25">
      <c r="A1717" s="2" t="s">
        <v>1675</v>
      </c>
      <c r="B1717" s="2" t="s">
        <v>53</v>
      </c>
      <c r="C1717" s="31" t="str">
        <f>VLOOKUP(irregulares[[#This Row],[Similar a]],padroes[],2,0)</f>
        <v>EAR</v>
      </c>
      <c r="D1717" s="3"/>
    </row>
    <row r="1718" spans="1:4" x14ac:dyDescent="0.25">
      <c r="A1718" s="2" t="s">
        <v>1676</v>
      </c>
      <c r="B1718" s="2" t="s">
        <v>44</v>
      </c>
      <c r="C1718" s="31" t="str">
        <f>VLOOKUP(irregulares[[#This Row],[Similar a]],padroes[],2,0)</f>
        <v>CAR</v>
      </c>
      <c r="D1718" s="3"/>
    </row>
    <row r="1719" spans="1:4" x14ac:dyDescent="0.25">
      <c r="A1719" s="2" t="s">
        <v>1677</v>
      </c>
      <c r="B1719" s="2" t="s">
        <v>74</v>
      </c>
      <c r="C1719" s="31" t="str">
        <f>VLOOKUP(irregulares[[#This Row],[Similar a]],padroes[],2,0)</f>
        <v>GAR</v>
      </c>
      <c r="D1719" s="3"/>
    </row>
    <row r="1720" spans="1:4" x14ac:dyDescent="0.25">
      <c r="A1720" s="2" t="s">
        <v>1678</v>
      </c>
      <c r="B1720" s="2" t="s">
        <v>53</v>
      </c>
      <c r="C1720" s="31" t="str">
        <f>VLOOKUP(irregulares[[#This Row],[Similar a]],padroes[],2,0)</f>
        <v>EAR</v>
      </c>
      <c r="D1720" s="3"/>
    </row>
    <row r="1721" spans="1:4" x14ac:dyDescent="0.25">
      <c r="A1721" s="2" t="s">
        <v>1679</v>
      </c>
      <c r="B1721" s="2" t="s">
        <v>53</v>
      </c>
      <c r="C1721" s="31" t="str">
        <f>VLOOKUP(irregulares[[#This Row],[Similar a]],padroes[],2,0)</f>
        <v>EAR</v>
      </c>
      <c r="D1721" s="3"/>
    </row>
    <row r="1722" spans="1:4" x14ac:dyDescent="0.25">
      <c r="A1722" s="2" t="s">
        <v>1680</v>
      </c>
      <c r="B1722" s="2" t="s">
        <v>53</v>
      </c>
      <c r="C1722" s="31" t="str">
        <f>VLOOKUP(irregulares[[#This Row],[Similar a]],padroes[],2,0)</f>
        <v>EAR</v>
      </c>
      <c r="D1722" s="3"/>
    </row>
    <row r="1723" spans="1:4" x14ac:dyDescent="0.25">
      <c r="A1723" s="2" t="s">
        <v>1681</v>
      </c>
      <c r="B1723" s="2" t="s">
        <v>44</v>
      </c>
      <c r="C1723" s="31" t="str">
        <f>VLOOKUP(irregulares[[#This Row],[Similar a]],padroes[],2,0)</f>
        <v>CAR</v>
      </c>
      <c r="D1723" s="3"/>
    </row>
    <row r="1724" spans="1:4" x14ac:dyDescent="0.25">
      <c r="A1724" s="2" t="s">
        <v>1682</v>
      </c>
      <c r="B1724" s="2" t="s">
        <v>53</v>
      </c>
      <c r="C1724" s="31" t="str">
        <f>VLOOKUP(irregulares[[#This Row],[Similar a]],padroes[],2,0)</f>
        <v>EAR</v>
      </c>
      <c r="D1724" s="3"/>
    </row>
    <row r="1725" spans="1:4" x14ac:dyDescent="0.25">
      <c r="A1725" s="2" t="s">
        <v>1683</v>
      </c>
      <c r="B1725" s="2" t="s">
        <v>55</v>
      </c>
      <c r="C1725" s="31" t="str">
        <f>VLOOKUP(irregulares[[#This Row],[Similar a]],padroes[],2,0)</f>
        <v>EJAR ô</v>
      </c>
      <c r="D1725" s="3"/>
    </row>
    <row r="1726" spans="1:4" x14ac:dyDescent="0.25">
      <c r="A1726" s="2" t="s">
        <v>1684</v>
      </c>
      <c r="B1726" s="2" t="s">
        <v>55</v>
      </c>
      <c r="C1726" s="31" t="str">
        <f>VLOOKUP(irregulares[[#This Row],[Similar a]],padroes[],2,0)</f>
        <v>EJAR ô</v>
      </c>
      <c r="D1726" s="3"/>
    </row>
    <row r="1727" spans="1:4" x14ac:dyDescent="0.25">
      <c r="A1727" s="2" t="s">
        <v>1685</v>
      </c>
      <c r="B1727" s="2" t="s">
        <v>44</v>
      </c>
      <c r="C1727" s="31" t="str">
        <f>VLOOKUP(irregulares[[#This Row],[Similar a]],padroes[],2,0)</f>
        <v>CAR</v>
      </c>
      <c r="D1727" s="3"/>
    </row>
    <row r="1728" spans="1:4" x14ac:dyDescent="0.25">
      <c r="A1728" s="2" t="s">
        <v>1686</v>
      </c>
      <c r="B1728" s="2" t="s">
        <v>53</v>
      </c>
      <c r="C1728" s="31" t="str">
        <f>VLOOKUP(irregulares[[#This Row],[Similar a]],padroes[],2,0)</f>
        <v>EAR</v>
      </c>
      <c r="D1728" s="3"/>
    </row>
    <row r="1729" spans="1:4" x14ac:dyDescent="0.25">
      <c r="A1729" s="2" t="s">
        <v>1687</v>
      </c>
      <c r="B1729" s="2" t="s">
        <v>53</v>
      </c>
      <c r="C1729" s="31" t="str">
        <f>VLOOKUP(irregulares[[#This Row],[Similar a]],padroes[],2,0)</f>
        <v>EAR</v>
      </c>
      <c r="D1729" s="3"/>
    </row>
    <row r="1730" spans="1:4" x14ac:dyDescent="0.25">
      <c r="A1730" s="2" t="s">
        <v>1688</v>
      </c>
      <c r="B1730" s="2" t="s">
        <v>53</v>
      </c>
      <c r="C1730" s="31" t="str">
        <f>VLOOKUP(irregulares[[#This Row],[Similar a]],padroes[],2,0)</f>
        <v>EAR</v>
      </c>
      <c r="D1730" s="3"/>
    </row>
    <row r="1731" spans="1:4" x14ac:dyDescent="0.25">
      <c r="A1731" s="2" t="s">
        <v>1689</v>
      </c>
      <c r="B1731" s="2" t="s">
        <v>53</v>
      </c>
      <c r="C1731" s="31" t="str">
        <f>VLOOKUP(irregulares[[#This Row],[Similar a]],padroes[],2,0)</f>
        <v>EAR</v>
      </c>
      <c r="D1731" s="3"/>
    </row>
    <row r="1732" spans="1:4" x14ac:dyDescent="0.25">
      <c r="A1732" s="2" t="s">
        <v>1690</v>
      </c>
      <c r="B1732" s="2" t="s">
        <v>53</v>
      </c>
      <c r="C1732" s="31" t="str">
        <f>VLOOKUP(irregulares[[#This Row],[Similar a]],padroes[],2,0)</f>
        <v>EAR</v>
      </c>
      <c r="D1732" s="3"/>
    </row>
    <row r="1733" spans="1:4" x14ac:dyDescent="0.25">
      <c r="A1733" s="2" t="s">
        <v>1691</v>
      </c>
      <c r="B1733" s="2" t="s">
        <v>55</v>
      </c>
      <c r="C1733" s="31" t="str">
        <f>VLOOKUP(irregulares[[#This Row],[Similar a]],padroes[],2,0)</f>
        <v>EJAR ô</v>
      </c>
      <c r="D1733" s="3"/>
    </row>
    <row r="1734" spans="1:4" x14ac:dyDescent="0.25">
      <c r="A1734" s="2" t="s">
        <v>1692</v>
      </c>
      <c r="B1734" s="2" t="s">
        <v>74</v>
      </c>
      <c r="C1734" s="31" t="str">
        <f>VLOOKUP(irregulares[[#This Row],[Similar a]],padroes[],2,0)</f>
        <v>GAR</v>
      </c>
      <c r="D1734" s="3"/>
    </row>
    <row r="1735" spans="1:4" x14ac:dyDescent="0.25">
      <c r="A1735" s="2" t="s">
        <v>1693</v>
      </c>
      <c r="B1735" s="2" t="s">
        <v>47</v>
      </c>
      <c r="C1735" s="31" t="str">
        <f>VLOOKUP(irregulares[[#This Row],[Similar a]],padroes[],2,0)</f>
        <v>Ú-X-AR</v>
      </c>
      <c r="D1735" s="3"/>
    </row>
    <row r="1736" spans="1:4" x14ac:dyDescent="0.25">
      <c r="A1736" s="2" t="s">
        <v>1694</v>
      </c>
      <c r="B1736" s="2" t="s">
        <v>53</v>
      </c>
      <c r="C1736" s="31" t="str">
        <f>VLOOKUP(irregulares[[#This Row],[Similar a]],padroes[],2,0)</f>
        <v>EAR</v>
      </c>
      <c r="D1736" s="3"/>
    </row>
    <row r="1737" spans="1:4" x14ac:dyDescent="0.25">
      <c r="A1737" s="2" t="s">
        <v>1695</v>
      </c>
      <c r="B1737" s="2" t="s">
        <v>63</v>
      </c>
      <c r="C1737" s="31" t="str">
        <f>VLOOKUP(irregulares[[#This Row],[Similar a]],padroes[],2,0)</f>
        <v>CER</v>
      </c>
      <c r="D1737" s="3"/>
    </row>
    <row r="1738" spans="1:4" x14ac:dyDescent="0.25">
      <c r="A1738" s="2" t="s">
        <v>859</v>
      </c>
      <c r="B1738" s="2" t="s">
        <v>859</v>
      </c>
      <c r="C1738" s="2" t="str">
        <f>VLOOKUP(irregulares[[#This Row],[Similar a]],padroes[],2,0)</f>
        <v>FAZER</v>
      </c>
      <c r="D1738" s="3"/>
    </row>
    <row r="1739" spans="1:4" x14ac:dyDescent="0.25">
      <c r="A1739" s="2" t="s">
        <v>1122</v>
      </c>
      <c r="B1739" s="2" t="s">
        <v>1122</v>
      </c>
      <c r="C1739" s="31" t="str">
        <f>VLOOKUP(irregulares[[#This Row],[Similar a]],padroes[],2,0)</f>
        <v>ECHAR ê</v>
      </c>
      <c r="D1739" s="3"/>
    </row>
    <row r="1740" spans="1:4" x14ac:dyDescent="0.25">
      <c r="A1740" s="2" t="s">
        <v>1696</v>
      </c>
      <c r="B1740" s="2" t="s">
        <v>63</v>
      </c>
      <c r="C1740" s="31" t="str">
        <f>VLOOKUP(irregulares[[#This Row],[Similar a]],padroes[],2,0)</f>
        <v>CER</v>
      </c>
      <c r="D1740" s="3"/>
    </row>
    <row r="1741" spans="1:4" x14ac:dyDescent="0.25">
      <c r="A1741" s="2" t="s">
        <v>1697</v>
      </c>
      <c r="B1741" s="2" t="s">
        <v>183</v>
      </c>
      <c r="C1741" s="31" t="str">
        <f>VLOOKUP(irregulares[[#This Row],[Similar a]],padroes[],2,0)</f>
        <v>E-X-IR</v>
      </c>
      <c r="D1741" s="3"/>
    </row>
    <row r="1742" spans="1:4" x14ac:dyDescent="0.25">
      <c r="A1742" s="2" t="s">
        <v>1698</v>
      </c>
      <c r="B1742" s="2" t="s">
        <v>53</v>
      </c>
      <c r="C1742" s="31" t="str">
        <f>VLOOKUP(irregulares[[#This Row],[Similar a]],padroes[],2,0)</f>
        <v>EAR</v>
      </c>
      <c r="D1742" s="3"/>
    </row>
    <row r="1743" spans="1:4" x14ac:dyDescent="0.25">
      <c r="A1743" s="2" t="s">
        <v>1699</v>
      </c>
      <c r="B1743" s="2" t="s">
        <v>49</v>
      </c>
      <c r="C1743" s="31" t="str">
        <f>VLOOKUP(irregulares[[#This Row],[Similar a]],padroes[],2,0)</f>
        <v>OAR</v>
      </c>
      <c r="D1743" s="3"/>
    </row>
    <row r="1744" spans="1:4" x14ac:dyDescent="0.25">
      <c r="A1744" s="2" t="s">
        <v>1700</v>
      </c>
      <c r="B1744" s="2" t="s">
        <v>49</v>
      </c>
      <c r="C1744" s="31" t="str">
        <f>VLOOKUP(irregulares[[#This Row],[Similar a]],padroes[],2,0)</f>
        <v>OAR</v>
      </c>
      <c r="D1744" s="3"/>
    </row>
    <row r="1745" spans="1:4" x14ac:dyDescent="0.25">
      <c r="A1745" s="2" t="s">
        <v>1701</v>
      </c>
      <c r="B1745" s="2" t="s">
        <v>53</v>
      </c>
      <c r="C1745" s="31" t="str">
        <f>VLOOKUP(irregulares[[#This Row],[Similar a]],padroes[],2,0)</f>
        <v>EAR</v>
      </c>
      <c r="D1745" s="3"/>
    </row>
    <row r="1746" spans="1:4" x14ac:dyDescent="0.25">
      <c r="A1746" s="2" t="s">
        <v>1702</v>
      </c>
      <c r="B1746" s="2" t="s">
        <v>55</v>
      </c>
      <c r="C1746" s="31" t="str">
        <f>VLOOKUP(irregulares[[#This Row],[Similar a]],padroes[],2,0)</f>
        <v>EJAR ô</v>
      </c>
      <c r="D1746" s="3"/>
    </row>
    <row r="1747" spans="1:4" x14ac:dyDescent="0.25">
      <c r="A1747" s="2" t="s">
        <v>1703</v>
      </c>
      <c r="B1747" s="2" t="s">
        <v>49</v>
      </c>
      <c r="C1747" s="31" t="str">
        <f>VLOOKUP(irregulares[[#This Row],[Similar a]],padroes[],2,0)</f>
        <v>OAR</v>
      </c>
      <c r="D1747" s="3"/>
    </row>
    <row r="1748" spans="1:4" x14ac:dyDescent="0.25">
      <c r="A1748" s="2" t="s">
        <v>2334</v>
      </c>
      <c r="B1748" s="2" t="s">
        <v>44</v>
      </c>
      <c r="C1748" s="31" t="str">
        <f>VLOOKUP(irregulares[[#This Row],[Similar a]],padroes[],2,0)</f>
        <v>CAR</v>
      </c>
      <c r="D1748" s="3"/>
    </row>
    <row r="1749" spans="1:4" x14ac:dyDescent="0.25">
      <c r="A1749" s="2" t="s">
        <v>1704</v>
      </c>
      <c r="B1749" s="2" t="s">
        <v>44</v>
      </c>
      <c r="C1749" s="31" t="str">
        <f>VLOOKUP(irregulares[[#This Row],[Similar a]],padroes[],2,0)</f>
        <v>CAR</v>
      </c>
      <c r="D1749" s="3"/>
    </row>
    <row r="1750" spans="1:4" x14ac:dyDescent="0.25">
      <c r="A1750" s="2" t="s">
        <v>4878</v>
      </c>
      <c r="B1750" s="2" t="s">
        <v>141</v>
      </c>
      <c r="C1750" s="31" t="str">
        <f>VLOOKUP(irregulares[[#This Row],[Similar a]],padroes[],2,0)</f>
        <v>Abundante</v>
      </c>
      <c r="D1750" s="3"/>
    </row>
    <row r="1751" spans="1:4" x14ac:dyDescent="0.25">
      <c r="A1751" s="2" t="s">
        <v>1705</v>
      </c>
      <c r="B1751" s="2" t="s">
        <v>154</v>
      </c>
      <c r="C1751" s="31" t="str">
        <f>VLOOKUP(irregulares[[#This Row],[Similar a]],padroes[],2,0)</f>
        <v>GIR</v>
      </c>
      <c r="D1751" s="3"/>
    </row>
    <row r="1752" spans="1:4" x14ac:dyDescent="0.25">
      <c r="A1752" s="2" t="s">
        <v>1706</v>
      </c>
      <c r="B1752" s="2" t="s">
        <v>74</v>
      </c>
      <c r="C1752" s="31" t="str">
        <f>VLOOKUP(irregulares[[#This Row],[Similar a]],padroes[],2,0)</f>
        <v>GAR</v>
      </c>
      <c r="D1752" s="3"/>
    </row>
    <row r="1753" spans="1:4" x14ac:dyDescent="0.25">
      <c r="A1753" s="2" t="s">
        <v>4881</v>
      </c>
      <c r="B1753" s="2" t="s">
        <v>141</v>
      </c>
      <c r="C1753" s="31" t="str">
        <f>VLOOKUP(irregulares[[#This Row],[Similar a]],padroes[],2,0)</f>
        <v>Abundante</v>
      </c>
      <c r="D1753" s="3"/>
    </row>
    <row r="1754" spans="1:4" x14ac:dyDescent="0.25">
      <c r="A1754" s="2" t="s">
        <v>1707</v>
      </c>
      <c r="B1754" s="2" t="s">
        <v>53</v>
      </c>
      <c r="C1754" s="31" t="str">
        <f>VLOOKUP(irregulares[[#This Row],[Similar a]],padroes[],2,0)</f>
        <v>EAR</v>
      </c>
      <c r="D1754" s="3"/>
    </row>
    <row r="1755" spans="1:4" x14ac:dyDescent="0.25">
      <c r="A1755" s="2" t="s">
        <v>1708</v>
      </c>
      <c r="B1755" s="2" t="s">
        <v>55</v>
      </c>
      <c r="C1755" s="31" t="str">
        <f>VLOOKUP(irregulares[[#This Row],[Similar a]],padroes[],2,0)</f>
        <v>EJAR ô</v>
      </c>
      <c r="D1755" s="3"/>
    </row>
    <row r="1756" spans="1:4" x14ac:dyDescent="0.25">
      <c r="A1756" s="2" t="s">
        <v>1709</v>
      </c>
      <c r="B1756" s="2" t="s">
        <v>53</v>
      </c>
      <c r="C1756" s="31" t="str">
        <f>VLOOKUP(irregulares[[#This Row],[Similar a]],padroes[],2,0)</f>
        <v>EAR</v>
      </c>
      <c r="D1756" s="3"/>
    </row>
    <row r="1757" spans="1:4" x14ac:dyDescent="0.25">
      <c r="A1757" s="2" t="s">
        <v>1710</v>
      </c>
      <c r="B1757" s="2" t="s">
        <v>63</v>
      </c>
      <c r="C1757" s="31" t="str">
        <f>VLOOKUP(irregulares[[#This Row],[Similar a]],padroes[],2,0)</f>
        <v>CER</v>
      </c>
      <c r="D1757" s="3"/>
    </row>
    <row r="1758" spans="1:4" x14ac:dyDescent="0.25">
      <c r="A1758" s="2" t="s">
        <v>221</v>
      </c>
      <c r="B1758" s="2" t="s">
        <v>221</v>
      </c>
      <c r="C1758" s="31" t="str">
        <f>VLOOKUP(irregulares[[#This Row],[Similar a]],padroes[],2,0)</f>
        <v>ECHAR é</v>
      </c>
      <c r="D1758" s="3"/>
    </row>
    <row r="1759" spans="1:4" x14ac:dyDescent="0.25">
      <c r="A1759" s="2" t="s">
        <v>1711</v>
      </c>
      <c r="B1759" s="2" t="s">
        <v>1717</v>
      </c>
      <c r="C1759" s="31" t="str">
        <f>VLOOKUP(irregulares[[#This Row],[Similar a]],padroes[],2,0)</f>
        <v>Defectivo 1</v>
      </c>
      <c r="D1759" s="3"/>
    </row>
    <row r="1760" spans="1:4" x14ac:dyDescent="0.25">
      <c r="A1760" s="2" t="s">
        <v>1712</v>
      </c>
      <c r="B1760" s="2" t="s">
        <v>1717</v>
      </c>
      <c r="C1760" s="31" t="str">
        <f>VLOOKUP(irregulares[[#This Row],[Similar a]],padroes[],2,0)</f>
        <v>Defectivo 1</v>
      </c>
      <c r="D1760" s="3"/>
    </row>
    <row r="1761" spans="1:4" x14ac:dyDescent="0.25">
      <c r="A1761" s="2" t="s">
        <v>1713</v>
      </c>
      <c r="B1761" s="2" t="s">
        <v>53</v>
      </c>
      <c r="C1761" s="31" t="str">
        <f>VLOOKUP(irregulares[[#This Row],[Similar a]],padroes[],2,0)</f>
        <v>EAR</v>
      </c>
      <c r="D1761" s="3"/>
    </row>
    <row r="1762" spans="1:4" x14ac:dyDescent="0.25">
      <c r="A1762" s="2" t="s">
        <v>1714</v>
      </c>
      <c r="B1762" s="2" t="s">
        <v>55</v>
      </c>
      <c r="C1762" s="31" t="str">
        <f>VLOOKUP(irregulares[[#This Row],[Similar a]],padroes[],2,0)</f>
        <v>EJAR ô</v>
      </c>
      <c r="D1762" s="3"/>
    </row>
    <row r="1763" spans="1:4" x14ac:dyDescent="0.25">
      <c r="A1763" s="2" t="s">
        <v>1715</v>
      </c>
      <c r="B1763" s="2" t="s">
        <v>63</v>
      </c>
      <c r="C1763" s="31" t="str">
        <f>VLOOKUP(irregulares[[#This Row],[Similar a]],padroes[],2,0)</f>
        <v>CER</v>
      </c>
      <c r="D1763" s="3"/>
    </row>
    <row r="1764" spans="1:4" x14ac:dyDescent="0.25">
      <c r="A1764" s="2" t="s">
        <v>1716</v>
      </c>
      <c r="B1764" s="2" t="s">
        <v>53</v>
      </c>
      <c r="C1764" s="31" t="str">
        <f>VLOOKUP(irregulares[[#This Row],[Similar a]],padroes[],2,0)</f>
        <v>EAR</v>
      </c>
      <c r="D1764" s="3"/>
    </row>
    <row r="1765" spans="1:4" x14ac:dyDescent="0.25">
      <c r="A1765" s="2" t="s">
        <v>1717</v>
      </c>
      <c r="B1765" s="2" t="s">
        <v>1717</v>
      </c>
      <c r="C1765" s="31" t="str">
        <f>VLOOKUP(irregulares[[#This Row],[Similar a]],padroes[],2,0)</f>
        <v>Defectivo 1</v>
      </c>
      <c r="D1765" s="3"/>
    </row>
    <row r="1766" spans="1:4" x14ac:dyDescent="0.25">
      <c r="A1766" s="2" t="s">
        <v>1718</v>
      </c>
      <c r="B1766" s="2" t="s">
        <v>44</v>
      </c>
      <c r="C1766" s="31" t="str">
        <f>VLOOKUP(irregulares[[#This Row],[Similar a]],padroes[],2,0)</f>
        <v>CAR</v>
      </c>
      <c r="D1766" s="3"/>
    </row>
    <row r="1767" spans="1:4" x14ac:dyDescent="0.25">
      <c r="A1767" s="2" t="s">
        <v>1719</v>
      </c>
      <c r="B1767" s="2" t="s">
        <v>82</v>
      </c>
      <c r="C1767" s="31" t="str">
        <f>VLOOKUP(irregulares[[#This Row],[Similar a]],padroes[],2,0)</f>
        <v>UIR</v>
      </c>
      <c r="D1767" s="3"/>
    </row>
    <row r="1768" spans="1:4" x14ac:dyDescent="0.25">
      <c r="A1768" s="2" t="s">
        <v>1720</v>
      </c>
      <c r="B1768" s="2" t="s">
        <v>163</v>
      </c>
      <c r="C1768" s="31" t="str">
        <f>VLOOKUP(irregulares[[#This Row],[Similar a]],padroes[],2,0)</f>
        <v>Defectivo 3</v>
      </c>
      <c r="D1768" s="3"/>
    </row>
    <row r="1769" spans="1:4" x14ac:dyDescent="0.25">
      <c r="A1769" s="2" t="s">
        <v>1721</v>
      </c>
      <c r="B1769" s="2" t="s">
        <v>44</v>
      </c>
      <c r="C1769" s="31" t="str">
        <f>VLOOKUP(irregulares[[#This Row],[Similar a]],padroes[],2,0)</f>
        <v>CAR</v>
      </c>
      <c r="D1769" s="3"/>
    </row>
    <row r="1770" spans="1:4" x14ac:dyDescent="0.25">
      <c r="A1770" s="2" t="s">
        <v>1722</v>
      </c>
      <c r="B1770" s="2" t="s">
        <v>44</v>
      </c>
      <c r="C1770" s="31" t="str">
        <f>VLOOKUP(irregulares[[#This Row],[Similar a]],padroes[],2,0)</f>
        <v>CAR</v>
      </c>
      <c r="D1770" s="3"/>
    </row>
    <row r="1771" spans="1:4" x14ac:dyDescent="0.25">
      <c r="A1771" s="2" t="s">
        <v>1723</v>
      </c>
      <c r="B1771" s="2" t="s">
        <v>53</v>
      </c>
      <c r="C1771" s="31" t="str">
        <f>VLOOKUP(irregulares[[#This Row],[Similar a]],padroes[],2,0)</f>
        <v>EAR</v>
      </c>
      <c r="D1771" s="3"/>
    </row>
    <row r="1772" spans="1:4" x14ac:dyDescent="0.25">
      <c r="A1772" s="2" t="s">
        <v>1724</v>
      </c>
      <c r="B1772" s="2" t="s">
        <v>53</v>
      </c>
      <c r="C1772" s="31" t="str">
        <f>VLOOKUP(irregulares[[#This Row],[Similar a]],padroes[],2,0)</f>
        <v>EAR</v>
      </c>
      <c r="D1772" s="3"/>
    </row>
    <row r="1773" spans="1:4" x14ac:dyDescent="0.25">
      <c r="A1773" s="2" t="s">
        <v>1725</v>
      </c>
      <c r="B1773" s="2" t="s">
        <v>42</v>
      </c>
      <c r="C1773" s="31" t="str">
        <f>VLOOKUP(irregulares[[#This Row],[Similar a]],padroes[],2,0)</f>
        <v>ÇAR</v>
      </c>
      <c r="D1773" s="3"/>
    </row>
    <row r="1774" spans="1:4" x14ac:dyDescent="0.25">
      <c r="A1774" s="2" t="s">
        <v>1726</v>
      </c>
      <c r="B1774" s="2" t="s">
        <v>53</v>
      </c>
      <c r="C1774" s="31" t="str">
        <f>VLOOKUP(irregulares[[#This Row],[Similar a]],padroes[],2,0)</f>
        <v>EAR</v>
      </c>
      <c r="D1774" s="3"/>
    </row>
    <row r="1775" spans="1:4" x14ac:dyDescent="0.25">
      <c r="A1775" s="2" t="s">
        <v>1727</v>
      </c>
      <c r="B1775" s="2" t="s">
        <v>60</v>
      </c>
      <c r="C1775" s="31" t="str">
        <f>VLOOKUP(irregulares[[#This Row],[Similar a]],padroes[],2,0)</f>
        <v>GAR</v>
      </c>
      <c r="D1775" s="3"/>
    </row>
    <row r="1776" spans="1:4" x14ac:dyDescent="0.25">
      <c r="A1776" s="2" t="s">
        <v>1728</v>
      </c>
      <c r="B1776" s="2" t="s">
        <v>74</v>
      </c>
      <c r="C1776" s="31" t="str">
        <f>VLOOKUP(irregulares[[#This Row],[Similar a]],padroes[],2,0)</f>
        <v>GAR</v>
      </c>
      <c r="D1776" s="3"/>
    </row>
    <row r="1777" spans="1:4" x14ac:dyDescent="0.25">
      <c r="A1777" s="2" t="s">
        <v>1729</v>
      </c>
      <c r="B1777" s="2" t="s">
        <v>53</v>
      </c>
      <c r="C1777" s="31" t="str">
        <f>VLOOKUP(irregulares[[#This Row],[Similar a]],padroes[],2,0)</f>
        <v>EAR</v>
      </c>
      <c r="D1777" s="3"/>
    </row>
    <row r="1778" spans="1:4" x14ac:dyDescent="0.25">
      <c r="A1778" s="2" t="s">
        <v>1730</v>
      </c>
      <c r="B1778" s="2" t="s">
        <v>53</v>
      </c>
      <c r="C1778" s="31" t="str">
        <f>VLOOKUP(irregulares[[#This Row],[Similar a]],padroes[],2,0)</f>
        <v>EAR</v>
      </c>
      <c r="D1778" s="3"/>
    </row>
    <row r="1779" spans="1:4" x14ac:dyDescent="0.25">
      <c r="A1779" s="2" t="s">
        <v>1731</v>
      </c>
      <c r="B1779" s="2" t="s">
        <v>154</v>
      </c>
      <c r="C1779" s="31" t="str">
        <f>VLOOKUP(irregulares[[#This Row],[Similar a]],padroes[],2,0)</f>
        <v>GIR</v>
      </c>
      <c r="D1779" s="3"/>
    </row>
    <row r="1780" spans="1:4" x14ac:dyDescent="0.25">
      <c r="A1780" s="2" t="s">
        <v>1732</v>
      </c>
      <c r="B1780" s="2" t="s">
        <v>44</v>
      </c>
      <c r="C1780" s="31" t="str">
        <f>VLOOKUP(irregulares[[#This Row],[Similar a]],padroes[],2,0)</f>
        <v>CAR</v>
      </c>
      <c r="D1780" s="3"/>
    </row>
    <row r="1781" spans="1:4" x14ac:dyDescent="0.25">
      <c r="A1781" s="2" t="s">
        <v>1733</v>
      </c>
      <c r="B1781" s="2" t="s">
        <v>42</v>
      </c>
      <c r="C1781" s="31" t="str">
        <f>VLOOKUP(irregulares[[#This Row],[Similar a]],padroes[],2,0)</f>
        <v>ÇAR</v>
      </c>
      <c r="D1781" s="3"/>
    </row>
    <row r="1782" spans="1:4" x14ac:dyDescent="0.25">
      <c r="A1782" s="2" t="s">
        <v>1734</v>
      </c>
      <c r="B1782" s="2" t="s">
        <v>55</v>
      </c>
      <c r="C1782" s="31" t="str">
        <f>VLOOKUP(irregulares[[#This Row],[Similar a]],padroes[],2,0)</f>
        <v>EJAR ô</v>
      </c>
      <c r="D1782" s="3"/>
    </row>
    <row r="1783" spans="1:4" x14ac:dyDescent="0.25">
      <c r="A1783" s="2" t="s">
        <v>1735</v>
      </c>
      <c r="B1783" s="2" t="s">
        <v>44</v>
      </c>
      <c r="C1783" s="31" t="str">
        <f>VLOOKUP(irregulares[[#This Row],[Similar a]],padroes[],2,0)</f>
        <v>CAR</v>
      </c>
      <c r="D1783" s="3"/>
    </row>
    <row r="1784" spans="1:4" x14ac:dyDescent="0.25">
      <c r="A1784" s="2" t="s">
        <v>1736</v>
      </c>
      <c r="B1784" s="2" t="s">
        <v>74</v>
      </c>
      <c r="C1784" s="31" t="str">
        <f>VLOOKUP(irregulares[[#This Row],[Similar a]],padroes[],2,0)</f>
        <v>GAR</v>
      </c>
      <c r="D1784" s="3"/>
    </row>
    <row r="1785" spans="1:4" x14ac:dyDescent="0.25">
      <c r="A1785" s="2" t="s">
        <v>1737</v>
      </c>
      <c r="B1785" s="2" t="s">
        <v>55</v>
      </c>
      <c r="C1785" s="31" t="str">
        <f>VLOOKUP(irregulares[[#This Row],[Similar a]],padroes[],2,0)</f>
        <v>EJAR ô</v>
      </c>
      <c r="D1785" s="3"/>
    </row>
    <row r="1786" spans="1:4" x14ac:dyDescent="0.25">
      <c r="A1786" s="2" t="s">
        <v>1738</v>
      </c>
      <c r="B1786" s="2" t="s">
        <v>53</v>
      </c>
      <c r="C1786" s="31" t="str">
        <f>VLOOKUP(irregulares[[#This Row],[Similar a]],padroes[],2,0)</f>
        <v>EAR</v>
      </c>
      <c r="D1786" s="3"/>
    </row>
    <row r="1787" spans="1:4" x14ac:dyDescent="0.25">
      <c r="A1787" s="2" t="s">
        <v>1739</v>
      </c>
      <c r="B1787" s="2" t="s">
        <v>53</v>
      </c>
      <c r="C1787" s="31" t="str">
        <f>VLOOKUP(irregulares[[#This Row],[Similar a]],padroes[],2,0)</f>
        <v>EAR</v>
      </c>
      <c r="D1787" s="3"/>
    </row>
    <row r="1788" spans="1:4" x14ac:dyDescent="0.25">
      <c r="A1788" s="2" t="s">
        <v>1740</v>
      </c>
      <c r="B1788" s="2" t="s">
        <v>63</v>
      </c>
      <c r="C1788" s="31" t="str">
        <f>VLOOKUP(irregulares[[#This Row],[Similar a]],padroes[],2,0)</f>
        <v>CER</v>
      </c>
      <c r="D1788" s="3"/>
    </row>
    <row r="1789" spans="1:4" x14ac:dyDescent="0.25">
      <c r="A1789" s="2" t="s">
        <v>1741</v>
      </c>
      <c r="B1789" s="2" t="s">
        <v>55</v>
      </c>
      <c r="C1789" s="31" t="str">
        <f>VLOOKUP(irregulares[[#This Row],[Similar a]],padroes[],2,0)</f>
        <v>EJAR ô</v>
      </c>
      <c r="D1789" s="3"/>
    </row>
    <row r="1790" spans="1:4" x14ac:dyDescent="0.25">
      <c r="A1790" s="2" t="s">
        <v>1742</v>
      </c>
      <c r="B1790" s="2" t="s">
        <v>44</v>
      </c>
      <c r="C1790" s="31" t="str">
        <f>VLOOKUP(irregulares[[#This Row],[Similar a]],padroes[],2,0)</f>
        <v>CAR</v>
      </c>
      <c r="D1790" s="3"/>
    </row>
    <row r="1791" spans="1:4" x14ac:dyDescent="0.25">
      <c r="A1791" s="2" t="s">
        <v>1743</v>
      </c>
      <c r="B1791" s="2" t="s">
        <v>185</v>
      </c>
      <c r="C1791" s="31" t="str">
        <f>VLOOKUP(irregulares[[#This Row],[Similar a]],padroes[],2,0)</f>
        <v>Defectivo 2</v>
      </c>
      <c r="D1791" s="3"/>
    </row>
    <row r="1792" spans="1:4" x14ac:dyDescent="0.25">
      <c r="A1792" s="2" t="s">
        <v>1744</v>
      </c>
      <c r="B1792" s="2" t="s">
        <v>53</v>
      </c>
      <c r="C1792" s="31" t="str">
        <f>VLOOKUP(irregulares[[#This Row],[Similar a]],padroes[],2,0)</f>
        <v>EAR</v>
      </c>
      <c r="D1792" s="3"/>
    </row>
    <row r="1793" spans="1:4" x14ac:dyDescent="0.25">
      <c r="A1793" s="2" t="s">
        <v>1746</v>
      </c>
      <c r="B1793" s="2" t="s">
        <v>63</v>
      </c>
      <c r="C1793" s="31" t="str">
        <f>VLOOKUP(irregulares[[#This Row],[Similar a]],padroes[],2,0)</f>
        <v>CER</v>
      </c>
      <c r="D1793" s="3"/>
    </row>
    <row r="1794" spans="1:4" x14ac:dyDescent="0.25">
      <c r="A1794" s="2" t="s">
        <v>1747</v>
      </c>
      <c r="B1794" s="2" t="s">
        <v>44</v>
      </c>
      <c r="C1794" s="31" t="str">
        <f>VLOOKUP(irregulares[[#This Row],[Similar a]],padroes[],2,0)</f>
        <v>CAR</v>
      </c>
      <c r="D1794" s="3"/>
    </row>
    <row r="1795" spans="1:4" x14ac:dyDescent="0.25">
      <c r="A1795" s="2" t="s">
        <v>1748</v>
      </c>
      <c r="B1795" s="2" t="s">
        <v>44</v>
      </c>
      <c r="C1795" s="31" t="str">
        <f>VLOOKUP(irregulares[[#This Row],[Similar a]],padroes[],2,0)</f>
        <v>CAR</v>
      </c>
      <c r="D1795" s="3"/>
    </row>
    <row r="1796" spans="1:4" x14ac:dyDescent="0.25">
      <c r="A1796" s="2" t="s">
        <v>1749</v>
      </c>
      <c r="B1796" s="2" t="s">
        <v>55</v>
      </c>
      <c r="C1796" s="31" t="str">
        <f>VLOOKUP(irregulares[[#This Row],[Similar a]],padroes[],2,0)</f>
        <v>EJAR ô</v>
      </c>
      <c r="D1796" s="3"/>
    </row>
    <row r="1797" spans="1:4" x14ac:dyDescent="0.25">
      <c r="A1797" s="2" t="s">
        <v>1750</v>
      </c>
      <c r="B1797" s="2" t="s">
        <v>63</v>
      </c>
      <c r="C1797" s="31" t="str">
        <f>VLOOKUP(irregulares[[#This Row],[Similar a]],padroes[],2,0)</f>
        <v>CER</v>
      </c>
      <c r="D1797" s="3"/>
    </row>
    <row r="1798" spans="1:4" x14ac:dyDescent="0.25">
      <c r="A1798" s="2" t="s">
        <v>1751</v>
      </c>
      <c r="B1798" s="2" t="s">
        <v>53</v>
      </c>
      <c r="C1798" s="31" t="str">
        <f>VLOOKUP(irregulares[[#This Row],[Similar a]],padroes[],2,0)</f>
        <v>EAR</v>
      </c>
      <c r="D1798" s="3"/>
    </row>
    <row r="1799" spans="1:4" x14ac:dyDescent="0.25">
      <c r="A1799" s="2" t="s">
        <v>1752</v>
      </c>
      <c r="B1799" s="2" t="s">
        <v>42</v>
      </c>
      <c r="C1799" s="31" t="str">
        <f>VLOOKUP(irregulares[[#This Row],[Similar a]],padroes[],2,0)</f>
        <v>ÇAR</v>
      </c>
      <c r="D1799" s="3"/>
    </row>
    <row r="1800" spans="1:4" x14ac:dyDescent="0.25">
      <c r="A1800" s="2" t="s">
        <v>1753</v>
      </c>
      <c r="B1800" s="2" t="s">
        <v>53</v>
      </c>
      <c r="C1800" s="31" t="str">
        <f>VLOOKUP(irregulares[[#This Row],[Similar a]],padroes[],2,0)</f>
        <v>EAR</v>
      </c>
      <c r="D1800" s="3"/>
    </row>
    <row r="1801" spans="1:4" x14ac:dyDescent="0.25">
      <c r="A1801" s="2" t="s">
        <v>1754</v>
      </c>
      <c r="B1801" s="2" t="s">
        <v>55</v>
      </c>
      <c r="C1801" s="31" t="str">
        <f>VLOOKUP(irregulares[[#This Row],[Similar a]],padroes[],2,0)</f>
        <v>EJAR ô</v>
      </c>
      <c r="D1801" s="3"/>
    </row>
    <row r="1802" spans="1:4" x14ac:dyDescent="0.25">
      <c r="A1802" s="2" t="s">
        <v>1755</v>
      </c>
      <c r="B1802" s="2" t="s">
        <v>53</v>
      </c>
      <c r="C1802" s="31" t="str">
        <f>VLOOKUP(irregulares[[#This Row],[Similar a]],padroes[],2,0)</f>
        <v>EAR</v>
      </c>
      <c r="D1802" s="3"/>
    </row>
    <row r="1803" spans="1:4" x14ac:dyDescent="0.25">
      <c r="A1803" s="2" t="s">
        <v>1762</v>
      </c>
      <c r="B1803" s="2" t="s">
        <v>154</v>
      </c>
      <c r="C1803" s="31" t="str">
        <f>VLOOKUP(irregulares[[#This Row],[Similar a]],padroes[],2,0)</f>
        <v>GIR</v>
      </c>
      <c r="D1803" s="3"/>
    </row>
    <row r="1804" spans="1:4" x14ac:dyDescent="0.25">
      <c r="A1804" s="2" t="s">
        <v>1756</v>
      </c>
      <c r="B1804" s="2" t="s">
        <v>434</v>
      </c>
      <c r="C1804" s="31" t="str">
        <f>VLOOKUP(irregulares[[#This Row],[Similar a]],padroes[],2,0)</f>
        <v>GUAR</v>
      </c>
      <c r="D1804" s="3"/>
    </row>
    <row r="1805" spans="1:4" x14ac:dyDescent="0.25">
      <c r="A1805" s="2" t="s">
        <v>1757</v>
      </c>
      <c r="B1805" s="2" t="s">
        <v>53</v>
      </c>
      <c r="C1805" s="31" t="str">
        <f>VLOOKUP(irregulares[[#This Row],[Similar a]],padroes[],2,0)</f>
        <v>EAR</v>
      </c>
      <c r="D1805" s="3"/>
    </row>
    <row r="1806" spans="1:4" x14ac:dyDescent="0.25">
      <c r="A1806" s="2" t="s">
        <v>1758</v>
      </c>
      <c r="B1806" s="2" t="s">
        <v>53</v>
      </c>
      <c r="C1806" s="31" t="str">
        <f>VLOOKUP(irregulares[[#This Row],[Similar a]],padroes[],2,0)</f>
        <v>EAR</v>
      </c>
      <c r="D1806" s="3"/>
    </row>
    <row r="1807" spans="1:4" x14ac:dyDescent="0.25">
      <c r="A1807" s="2" t="s">
        <v>1759</v>
      </c>
      <c r="B1807" s="2" t="s">
        <v>53</v>
      </c>
      <c r="C1807" s="31" t="str">
        <f>VLOOKUP(irregulares[[#This Row],[Similar a]],padroes[],2,0)</f>
        <v>EAR</v>
      </c>
      <c r="D1807" s="3"/>
    </row>
    <row r="1808" spans="1:4" x14ac:dyDescent="0.25">
      <c r="A1808" s="2" t="s">
        <v>1760</v>
      </c>
      <c r="B1808" s="2" t="s">
        <v>53</v>
      </c>
      <c r="C1808" s="31" t="str">
        <f>VLOOKUP(irregulares[[#This Row],[Similar a]],padroes[],2,0)</f>
        <v>EAR</v>
      </c>
      <c r="D1808" s="3"/>
    </row>
    <row r="1809" spans="1:4" x14ac:dyDescent="0.25">
      <c r="A1809" s="2" t="s">
        <v>1761</v>
      </c>
      <c r="B1809" s="2" t="s">
        <v>110</v>
      </c>
      <c r="C1809" s="31" t="str">
        <f>VLOOKUP(irregulares[[#This Row],[Similar a]],padroes[],2,0)</f>
        <v>ANGER</v>
      </c>
      <c r="D1809" s="3"/>
    </row>
    <row r="1810" spans="1:4" x14ac:dyDescent="0.25">
      <c r="A1810" s="2" t="s">
        <v>1763</v>
      </c>
      <c r="B1810" s="2" t="s">
        <v>53</v>
      </c>
      <c r="C1810" s="31" t="str">
        <f>VLOOKUP(irregulares[[#This Row],[Similar a]],padroes[],2,0)</f>
        <v>EAR</v>
      </c>
      <c r="D1810" s="3"/>
    </row>
    <row r="1811" spans="1:4" x14ac:dyDescent="0.25">
      <c r="A1811" s="2" t="s">
        <v>1764</v>
      </c>
      <c r="B1811" s="2" t="s">
        <v>53</v>
      </c>
      <c r="C1811" s="31" t="str">
        <f>VLOOKUP(irregulares[[#This Row],[Similar a]],padroes[],2,0)</f>
        <v>EAR</v>
      </c>
      <c r="D1811" s="3"/>
    </row>
    <row r="1812" spans="1:4" x14ac:dyDescent="0.25">
      <c r="A1812" s="2" t="s">
        <v>1765</v>
      </c>
      <c r="B1812" s="2" t="s">
        <v>53</v>
      </c>
      <c r="C1812" s="31" t="str">
        <f>VLOOKUP(irregulares[[#This Row],[Similar a]],padroes[],2,0)</f>
        <v>EAR</v>
      </c>
      <c r="D1812" s="3"/>
    </row>
    <row r="1813" spans="1:4" x14ac:dyDescent="0.25">
      <c r="A1813" s="2" t="s">
        <v>1766</v>
      </c>
      <c r="B1813" s="2" t="s">
        <v>55</v>
      </c>
      <c r="C1813" s="31" t="str">
        <f>VLOOKUP(irregulares[[#This Row],[Similar a]],padroes[],2,0)</f>
        <v>EJAR ô</v>
      </c>
      <c r="D1813" s="3"/>
    </row>
    <row r="1814" spans="1:4" x14ac:dyDescent="0.25">
      <c r="A1814" s="2" t="s">
        <v>1767</v>
      </c>
      <c r="B1814" s="2" t="s">
        <v>53</v>
      </c>
      <c r="C1814" s="31" t="str">
        <f>VLOOKUP(irregulares[[#This Row],[Similar a]],padroes[],2,0)</f>
        <v>EAR</v>
      </c>
      <c r="D1814" s="3"/>
    </row>
    <row r="1815" spans="1:4" x14ac:dyDescent="0.25">
      <c r="A1815" s="2" t="s">
        <v>1768</v>
      </c>
      <c r="B1815" s="2" t="s">
        <v>53</v>
      </c>
      <c r="C1815" s="31" t="str">
        <f>VLOOKUP(irregulares[[#This Row],[Similar a]],padroes[],2,0)</f>
        <v>EAR</v>
      </c>
      <c r="D1815" s="3"/>
    </row>
    <row r="1816" spans="1:4" x14ac:dyDescent="0.25">
      <c r="A1816" s="2" t="s">
        <v>53</v>
      </c>
      <c r="B1816" s="2" t="s">
        <v>53</v>
      </c>
      <c r="C1816" s="2" t="str">
        <f>VLOOKUP(irregulares[[#This Row],[Similar a]],padroes[],2,0)</f>
        <v>EAR</v>
      </c>
      <c r="D1816" s="3"/>
    </row>
    <row r="1817" spans="1:4" x14ac:dyDescent="0.25">
      <c r="A1817" s="2" t="s">
        <v>1769</v>
      </c>
      <c r="B1817" s="2" t="s">
        <v>221</v>
      </c>
      <c r="C1817" s="31" t="str">
        <f>VLOOKUP(irregulares[[#This Row],[Similar a]],padroes[],2,0)</f>
        <v>ECHAR é</v>
      </c>
      <c r="D1817" s="3"/>
    </row>
    <row r="1818" spans="1:4" x14ac:dyDescent="0.25">
      <c r="A1818" s="2" t="s">
        <v>1770</v>
      </c>
      <c r="B1818" s="2" t="s">
        <v>1717</v>
      </c>
      <c r="C1818" s="31" t="str">
        <f>VLOOKUP(irregulares[[#This Row],[Similar a]],padroes[],2,0)</f>
        <v>Defectivo 1</v>
      </c>
      <c r="D1818" s="3"/>
    </row>
    <row r="1819" spans="1:4" x14ac:dyDescent="0.25">
      <c r="A1819" s="2" t="s">
        <v>1771</v>
      </c>
      <c r="B1819" s="2" t="s">
        <v>53</v>
      </c>
      <c r="C1819" s="31" t="str">
        <f>VLOOKUP(irregulares[[#This Row],[Similar a]],padroes[],2,0)</f>
        <v>EAR</v>
      </c>
      <c r="D1819" s="3"/>
    </row>
    <row r="1820" spans="1:4" x14ac:dyDescent="0.25">
      <c r="A1820" s="2" t="s">
        <v>1772</v>
      </c>
      <c r="B1820" s="2" t="s">
        <v>55</v>
      </c>
      <c r="C1820" s="31" t="str">
        <f>VLOOKUP(irregulares[[#This Row],[Similar a]],padroes[],2,0)</f>
        <v>EJAR ô</v>
      </c>
      <c r="D1820" s="3"/>
    </row>
    <row r="1821" spans="1:4" x14ac:dyDescent="0.25">
      <c r="A1821" s="2" t="s">
        <v>1773</v>
      </c>
      <c r="B1821" s="2" t="s">
        <v>1717</v>
      </c>
      <c r="C1821" s="31" t="str">
        <f>VLOOKUP(irregulares[[#This Row],[Similar a]],padroes[],2,0)</f>
        <v>Defectivo 1</v>
      </c>
      <c r="D1821" s="3"/>
    </row>
    <row r="1822" spans="1:4" x14ac:dyDescent="0.25">
      <c r="A1822" s="2" t="s">
        <v>1774</v>
      </c>
      <c r="B1822" s="2" t="s">
        <v>1774</v>
      </c>
      <c r="C1822" s="31" t="str">
        <f>VLOOKUP(irregulares[[#This Row],[Similar a]],padroes[],2,0)</f>
        <v>FRIGIR</v>
      </c>
      <c r="D1822" s="3"/>
    </row>
    <row r="1823" spans="1:4" x14ac:dyDescent="0.25">
      <c r="A1823" s="2" t="s">
        <v>1775</v>
      </c>
      <c r="B1823" s="2" t="s">
        <v>44</v>
      </c>
      <c r="C1823" s="31" t="str">
        <f>VLOOKUP(irregulares[[#This Row],[Similar a]],padroes[],2,0)</f>
        <v>CAR</v>
      </c>
      <c r="D1823" s="3"/>
    </row>
    <row r="1824" spans="1:4" x14ac:dyDescent="0.25">
      <c r="A1824" s="2" t="s">
        <v>4884</v>
      </c>
      <c r="B1824" s="2" t="s">
        <v>141</v>
      </c>
      <c r="C1824" s="31" t="str">
        <f>VLOOKUP(irregulares[[#This Row],[Similar a]],padroes[],2,0)</f>
        <v>Abundante</v>
      </c>
      <c r="D1824" s="3"/>
    </row>
    <row r="1825" spans="1:4" x14ac:dyDescent="0.25">
      <c r="A1825" s="2" t="s">
        <v>1776</v>
      </c>
      <c r="B1825" s="2" t="s">
        <v>53</v>
      </c>
      <c r="C1825" s="31" t="str">
        <f>VLOOKUP(irregulares[[#This Row],[Similar a]],padroes[],2,0)</f>
        <v>EAR</v>
      </c>
      <c r="D1825" s="3"/>
    </row>
    <row r="1826" spans="1:4" x14ac:dyDescent="0.25">
      <c r="A1826" s="2" t="s">
        <v>1777</v>
      </c>
      <c r="B1826" s="2" t="s">
        <v>55</v>
      </c>
      <c r="C1826" s="31" t="str">
        <f>VLOOKUP(irregulares[[#This Row],[Similar a]],padroes[],2,0)</f>
        <v>EJAR ô</v>
      </c>
      <c r="D1826" s="3"/>
    </row>
    <row r="1827" spans="1:4" x14ac:dyDescent="0.25">
      <c r="A1827" s="2" t="s">
        <v>1778</v>
      </c>
      <c r="B1827" s="2" t="s">
        <v>63</v>
      </c>
      <c r="C1827" s="31" t="str">
        <f>VLOOKUP(irregulares[[#This Row],[Similar a]],padroes[],2,0)</f>
        <v>CER</v>
      </c>
      <c r="D1827" s="3"/>
    </row>
    <row r="1828" spans="1:4" x14ac:dyDescent="0.25">
      <c r="A1828" s="2" t="s">
        <v>1354</v>
      </c>
      <c r="B1828" s="2" t="s">
        <v>82</v>
      </c>
      <c r="C1828" s="31" t="str">
        <f>VLOOKUP(irregulares[[#This Row],[Similar a]],padroes[],2,0)</f>
        <v>UIR</v>
      </c>
      <c r="D1828" s="3"/>
    </row>
    <row r="1829" spans="1:4" x14ac:dyDescent="0.25">
      <c r="A1829" s="2" t="s">
        <v>1779</v>
      </c>
      <c r="B1829" s="2" t="s">
        <v>53</v>
      </c>
      <c r="C1829" s="31" t="str">
        <f>VLOOKUP(irregulares[[#This Row],[Similar a]],padroes[],2,0)</f>
        <v>EAR</v>
      </c>
      <c r="D1829" s="3"/>
    </row>
    <row r="1830" spans="1:4" x14ac:dyDescent="0.25">
      <c r="A1830" s="2" t="s">
        <v>1780</v>
      </c>
      <c r="B1830" s="2" t="s">
        <v>63</v>
      </c>
      <c r="C1830" s="31" t="str">
        <f>VLOOKUP(irregulares[[#This Row],[Similar a]],padroes[],2,0)</f>
        <v>CER</v>
      </c>
      <c r="D1830" s="3"/>
    </row>
    <row r="1831" spans="1:4" x14ac:dyDescent="0.25">
      <c r="A1831" s="2" t="s">
        <v>1781</v>
      </c>
      <c r="B1831" s="2" t="s">
        <v>44</v>
      </c>
      <c r="C1831" s="31" t="str">
        <f>VLOOKUP(irregulares[[#This Row],[Similar a]],padroes[],2,0)</f>
        <v>CAR</v>
      </c>
      <c r="D1831" s="3"/>
    </row>
    <row r="1832" spans="1:4" x14ac:dyDescent="0.25">
      <c r="A1832" s="2" t="s">
        <v>1782</v>
      </c>
      <c r="B1832" s="2" t="s">
        <v>44</v>
      </c>
      <c r="C1832" s="31" t="str">
        <f>VLOOKUP(irregulares[[#This Row],[Similar a]],padroes[],2,0)</f>
        <v>CAR</v>
      </c>
      <c r="D1832" s="3"/>
    </row>
    <row r="1833" spans="1:4" x14ac:dyDescent="0.25">
      <c r="A1833" s="2" t="s">
        <v>1783</v>
      </c>
      <c r="B1833" s="2" t="s">
        <v>42</v>
      </c>
      <c r="C1833" s="31" t="str">
        <f>VLOOKUP(irregulares[[#This Row],[Similar a]],padroes[],2,0)</f>
        <v>ÇAR</v>
      </c>
      <c r="D1833" s="3"/>
    </row>
    <row r="1834" spans="1:4" x14ac:dyDescent="0.25">
      <c r="A1834" s="2" t="s">
        <v>1784</v>
      </c>
      <c r="B1834" s="2" t="s">
        <v>74</v>
      </c>
      <c r="C1834" s="31" t="str">
        <f>VLOOKUP(irregulares[[#This Row],[Similar a]],padroes[],2,0)</f>
        <v>GAR</v>
      </c>
      <c r="D1834" s="3"/>
    </row>
    <row r="1835" spans="1:4" x14ac:dyDescent="0.25">
      <c r="A1835" s="2" t="s">
        <v>1786</v>
      </c>
      <c r="B1835" s="2" t="s">
        <v>44</v>
      </c>
      <c r="C1835" s="31" t="str">
        <f>VLOOKUP(irregulares[[#This Row],[Similar a]],padroes[],2,0)</f>
        <v>CAR</v>
      </c>
      <c r="D1835" s="3"/>
    </row>
    <row r="1836" spans="1:4" x14ac:dyDescent="0.25">
      <c r="A1836" s="2" t="s">
        <v>1785</v>
      </c>
      <c r="B1836" s="2" t="s">
        <v>1785</v>
      </c>
      <c r="C1836" s="31" t="str">
        <f>VLOOKUP(irregulares[[#This Row],[Similar a]],padroes[],2,0)</f>
        <v>FUGIR</v>
      </c>
      <c r="D1836" s="3"/>
    </row>
    <row r="1837" spans="1:4" x14ac:dyDescent="0.25">
      <c r="A1837" s="2" t="s">
        <v>1787</v>
      </c>
      <c r="B1837" s="2" t="s">
        <v>53</v>
      </c>
      <c r="C1837" s="31" t="str">
        <f>VLOOKUP(irregulares[[#This Row],[Similar a]],padroes[],2,0)</f>
        <v>EAR</v>
      </c>
      <c r="D1837" s="3"/>
    </row>
    <row r="1838" spans="1:4" x14ac:dyDescent="0.25">
      <c r="A1838" s="2" t="s">
        <v>1788</v>
      </c>
      <c r="B1838" s="2" t="s">
        <v>1717</v>
      </c>
      <c r="C1838" s="31" t="str">
        <f>VLOOKUP(irregulares[[#This Row],[Similar a]],padroes[],2,0)</f>
        <v>Defectivo 1</v>
      </c>
      <c r="D1838" s="3"/>
    </row>
    <row r="1839" spans="1:4" x14ac:dyDescent="0.25">
      <c r="A1839" s="2" t="s">
        <v>1789</v>
      </c>
      <c r="B1839" s="2" t="s">
        <v>42</v>
      </c>
      <c r="C1839" s="31" t="str">
        <f>VLOOKUP(irregulares[[#This Row],[Similar a]],padroes[],2,0)</f>
        <v>ÇAR</v>
      </c>
      <c r="D1839" s="3"/>
    </row>
    <row r="1840" spans="1:4" x14ac:dyDescent="0.25">
      <c r="A1840" s="2" t="s">
        <v>1790</v>
      </c>
      <c r="B1840" s="2" t="s">
        <v>53</v>
      </c>
      <c r="C1840" s="31" t="str">
        <f>VLOOKUP(irregulares[[#This Row],[Similar a]],padroes[],2,0)</f>
        <v>EAR</v>
      </c>
      <c r="D1840" s="3"/>
    </row>
    <row r="1841" spans="1:4" x14ac:dyDescent="0.25">
      <c r="A1841" s="2" t="s">
        <v>1791</v>
      </c>
      <c r="B1841" s="2" t="s">
        <v>60</v>
      </c>
      <c r="C1841" s="31" t="str">
        <f>VLOOKUP(irregulares[[#This Row],[Similar a]],padroes[],2,0)</f>
        <v>GAR</v>
      </c>
      <c r="D1841" s="3"/>
    </row>
    <row r="1842" spans="1:4" x14ac:dyDescent="0.25">
      <c r="A1842" s="2" t="s">
        <v>1792</v>
      </c>
      <c r="B1842" s="2" t="s">
        <v>74</v>
      </c>
      <c r="C1842" s="31" t="str">
        <f>VLOOKUP(irregulares[[#This Row],[Similar a]],padroes[],2,0)</f>
        <v>GAR</v>
      </c>
      <c r="D1842" s="3"/>
    </row>
    <row r="1843" spans="1:4" x14ac:dyDescent="0.25">
      <c r="A1843" s="2" t="s">
        <v>1793</v>
      </c>
      <c r="B1843" s="2" t="s">
        <v>53</v>
      </c>
      <c r="C1843" s="31" t="str">
        <f>VLOOKUP(irregulares[[#This Row],[Similar a]],padroes[],2,0)</f>
        <v>EAR</v>
      </c>
      <c r="D1843" s="3"/>
    </row>
    <row r="1844" spans="1:4" x14ac:dyDescent="0.25">
      <c r="A1844" s="2" t="s">
        <v>1794</v>
      </c>
      <c r="B1844" s="2" t="s">
        <v>74</v>
      </c>
      <c r="C1844" s="31" t="str">
        <f>VLOOKUP(irregulares[[#This Row],[Similar a]],padroes[],2,0)</f>
        <v>GAR</v>
      </c>
      <c r="D1844" s="3"/>
    </row>
    <row r="1845" spans="1:4" x14ac:dyDescent="0.25">
      <c r="A1845" s="2" t="s">
        <v>1795</v>
      </c>
      <c r="B1845" s="2" t="s">
        <v>44</v>
      </c>
      <c r="C1845" s="31" t="str">
        <f>VLOOKUP(irregulares[[#This Row],[Similar a]],padroes[],2,0)</f>
        <v>CAR</v>
      </c>
      <c r="D1845" s="3"/>
    </row>
    <row r="1846" spans="1:4" x14ac:dyDescent="0.25">
      <c r="A1846" s="2" t="s">
        <v>1796</v>
      </c>
      <c r="B1846" s="2" t="s">
        <v>42</v>
      </c>
      <c r="C1846" s="31" t="str">
        <f>VLOOKUP(irregulares[[#This Row],[Similar a]],padroes[],2,0)</f>
        <v>ÇAR</v>
      </c>
      <c r="D1846" s="3"/>
    </row>
    <row r="1847" spans="1:4" x14ac:dyDescent="0.25">
      <c r="A1847" s="2" t="s">
        <v>1797</v>
      </c>
      <c r="B1847" s="2" t="s">
        <v>49</v>
      </c>
      <c r="C1847" s="31" t="str">
        <f>VLOOKUP(irregulares[[#This Row],[Similar a]],padroes[],2,0)</f>
        <v>OAR</v>
      </c>
      <c r="D1847" s="3"/>
    </row>
    <row r="1848" spans="1:4" x14ac:dyDescent="0.25">
      <c r="A1848" s="2" t="s">
        <v>1798</v>
      </c>
      <c r="B1848" s="2" t="s">
        <v>74</v>
      </c>
      <c r="C1848" s="31" t="str">
        <f>VLOOKUP(irregulares[[#This Row],[Similar a]],padroes[],2,0)</f>
        <v>GAR</v>
      </c>
      <c r="D1848" s="3"/>
    </row>
    <row r="1849" spans="1:4" x14ac:dyDescent="0.25">
      <c r="A1849" s="2" t="s">
        <v>1799</v>
      </c>
      <c r="B1849" s="2" t="s">
        <v>74</v>
      </c>
      <c r="C1849" s="31" t="str">
        <f>VLOOKUP(irregulares[[#This Row],[Similar a]],padroes[],2,0)</f>
        <v>GAR</v>
      </c>
      <c r="D1849" s="3"/>
    </row>
    <row r="1850" spans="1:4" x14ac:dyDescent="0.25">
      <c r="A1850" s="2" t="s">
        <v>1800</v>
      </c>
      <c r="B1850" s="2" t="s">
        <v>44</v>
      </c>
      <c r="C1850" s="31" t="str">
        <f>VLOOKUP(irregulares[[#This Row],[Similar a]],padroes[],2,0)</f>
        <v>CAR</v>
      </c>
      <c r="D1850" s="3"/>
    </row>
    <row r="1851" spans="1:4" x14ac:dyDescent="0.25">
      <c r="A1851" s="2" t="s">
        <v>1801</v>
      </c>
      <c r="B1851" s="2" t="s">
        <v>44</v>
      </c>
      <c r="C1851" s="31" t="str">
        <f>VLOOKUP(irregulares[[#This Row],[Similar a]],padroes[],2,0)</f>
        <v>CAR</v>
      </c>
      <c r="D1851" s="3"/>
    </row>
    <row r="1852" spans="1:4" x14ac:dyDescent="0.25">
      <c r="A1852" s="2" t="s">
        <v>1802</v>
      </c>
      <c r="B1852" s="2" t="s">
        <v>44</v>
      </c>
      <c r="C1852" s="31" t="str">
        <f>VLOOKUP(irregulares[[#This Row],[Similar a]],padroes[],2,0)</f>
        <v>CAR</v>
      </c>
      <c r="D1852" s="3"/>
    </row>
    <row r="1853" spans="1:4" x14ac:dyDescent="0.25">
      <c r="A1853" s="2" t="s">
        <v>1803</v>
      </c>
      <c r="B1853" s="2" t="s">
        <v>44</v>
      </c>
      <c r="C1853" s="31" t="str">
        <f>VLOOKUP(irregulares[[#This Row],[Similar a]],padroes[],2,0)</f>
        <v>CAR</v>
      </c>
      <c r="D1853" s="3"/>
    </row>
    <row r="1854" spans="1:4" x14ac:dyDescent="0.25">
      <c r="A1854" s="2" t="s">
        <v>1804</v>
      </c>
      <c r="B1854" s="2" t="s">
        <v>53</v>
      </c>
      <c r="C1854" s="31" t="str">
        <f>VLOOKUP(irregulares[[#This Row],[Similar a]],padroes[],2,0)</f>
        <v>EAR</v>
      </c>
      <c r="D1854" s="3"/>
    </row>
    <row r="1855" spans="1:4" x14ac:dyDescent="0.25">
      <c r="A1855" s="2" t="s">
        <v>1499</v>
      </c>
      <c r="B1855" s="2" t="s">
        <v>53</v>
      </c>
      <c r="C1855" s="31" t="str">
        <f>VLOOKUP(irregulares[[#This Row],[Similar a]],padroes[],2,0)</f>
        <v>EAR</v>
      </c>
      <c r="D1855" s="3"/>
    </row>
    <row r="1856" spans="1:4" x14ac:dyDescent="0.25">
      <c r="A1856" s="2" t="s">
        <v>1471</v>
      </c>
      <c r="B1856" s="2" t="s">
        <v>55</v>
      </c>
      <c r="C1856" s="31" t="str">
        <f>VLOOKUP(irregulares[[#This Row],[Similar a]],padroes[],2,0)</f>
        <v>EJAR ô</v>
      </c>
      <c r="D1856" s="3"/>
    </row>
    <row r="1857" spans="1:4" x14ac:dyDescent="0.25">
      <c r="A1857" s="2" t="s">
        <v>1472</v>
      </c>
      <c r="B1857" s="2" t="s">
        <v>53</v>
      </c>
      <c r="C1857" s="31" t="str">
        <f>VLOOKUP(irregulares[[#This Row],[Similar a]],padroes[],2,0)</f>
        <v>EAR</v>
      </c>
      <c r="D1857" s="3"/>
    </row>
    <row r="1858" spans="1:4" x14ac:dyDescent="0.25">
      <c r="A1858" s="2" t="s">
        <v>1473</v>
      </c>
      <c r="B1858" s="2" t="s">
        <v>53</v>
      </c>
      <c r="C1858" s="31" t="str">
        <f>VLOOKUP(irregulares[[#This Row],[Similar a]],padroes[],2,0)</f>
        <v>EAR</v>
      </c>
      <c r="D1858" s="3"/>
    </row>
    <row r="1859" spans="1:4" x14ac:dyDescent="0.25">
      <c r="A1859" s="2" t="s">
        <v>1474</v>
      </c>
      <c r="B1859" s="2" t="s">
        <v>53</v>
      </c>
      <c r="C1859" s="31" t="str">
        <f>VLOOKUP(irregulares[[#This Row],[Similar a]],padroes[],2,0)</f>
        <v>EAR</v>
      </c>
      <c r="D1859" s="3"/>
    </row>
    <row r="1860" spans="1:4" x14ac:dyDescent="0.25">
      <c r="A1860" s="2" t="s">
        <v>1475</v>
      </c>
      <c r="B1860" s="2" t="s">
        <v>49</v>
      </c>
      <c r="C1860" s="31" t="str">
        <f>VLOOKUP(irregulares[[#This Row],[Similar a]],padroes[],2,0)</f>
        <v>OAR</v>
      </c>
      <c r="D1860" s="3"/>
    </row>
    <row r="1861" spans="1:4" x14ac:dyDescent="0.25">
      <c r="A1861" s="2" t="s">
        <v>1476</v>
      </c>
      <c r="B1861" s="2" t="s">
        <v>53</v>
      </c>
      <c r="C1861" s="31" t="str">
        <f>VLOOKUP(irregulares[[#This Row],[Similar a]],padroes[],2,0)</f>
        <v>EAR</v>
      </c>
      <c r="D1861" s="3"/>
    </row>
    <row r="1862" spans="1:4" x14ac:dyDescent="0.25">
      <c r="A1862" s="2" t="s">
        <v>1477</v>
      </c>
      <c r="B1862" s="2" t="s">
        <v>74</v>
      </c>
      <c r="C1862" s="31" t="str">
        <f>VLOOKUP(irregulares[[#This Row],[Similar a]],padroes[],2,0)</f>
        <v>GAR</v>
      </c>
      <c r="D1862" s="3"/>
    </row>
    <row r="1863" spans="1:4" x14ac:dyDescent="0.25">
      <c r="A1863" s="2" t="s">
        <v>1478</v>
      </c>
      <c r="B1863" s="2" t="s">
        <v>53</v>
      </c>
      <c r="C1863" s="31" t="str">
        <f>VLOOKUP(irregulares[[#This Row],[Similar a]],padroes[],2,0)</f>
        <v>EAR</v>
      </c>
      <c r="D1863" s="3"/>
    </row>
    <row r="1864" spans="1:4" x14ac:dyDescent="0.25">
      <c r="A1864" s="2" t="s">
        <v>1479</v>
      </c>
      <c r="B1864" s="2" t="s">
        <v>53</v>
      </c>
      <c r="C1864" s="31" t="str">
        <f>VLOOKUP(irregulares[[#This Row],[Similar a]],padroes[],2,0)</f>
        <v>EAR</v>
      </c>
      <c r="D1864" s="3"/>
    </row>
    <row r="1865" spans="1:4" x14ac:dyDescent="0.25">
      <c r="A1865" s="2" t="s">
        <v>1480</v>
      </c>
      <c r="B1865" s="2" t="s">
        <v>53</v>
      </c>
      <c r="C1865" s="31" t="str">
        <f>VLOOKUP(irregulares[[#This Row],[Similar a]],padroes[],2,0)</f>
        <v>EAR</v>
      </c>
      <c r="D1865" s="3"/>
    </row>
    <row r="1866" spans="1:4" x14ac:dyDescent="0.25">
      <c r="A1866" s="2" t="s">
        <v>1481</v>
      </c>
      <c r="B1866" s="2" t="s">
        <v>53</v>
      </c>
      <c r="C1866" s="31" t="str">
        <f>VLOOKUP(irregulares[[#This Row],[Similar a]],padroes[],2,0)</f>
        <v>EAR</v>
      </c>
      <c r="D1866" s="3"/>
    </row>
    <row r="1867" spans="1:4" x14ac:dyDescent="0.25">
      <c r="A1867" s="2" t="s">
        <v>1482</v>
      </c>
      <c r="B1867" s="2" t="s">
        <v>55</v>
      </c>
      <c r="C1867" s="31" t="str">
        <f>VLOOKUP(irregulares[[#This Row],[Similar a]],padroes[],2,0)</f>
        <v>EJAR ô</v>
      </c>
      <c r="D1867" s="3"/>
    </row>
    <row r="1868" spans="1:4" x14ac:dyDescent="0.25">
      <c r="A1868" s="2" t="s">
        <v>1483</v>
      </c>
      <c r="B1868" s="2" t="s">
        <v>53</v>
      </c>
      <c r="C1868" s="31" t="str">
        <f>VLOOKUP(irregulares[[#This Row],[Similar a]],padroes[],2,0)</f>
        <v>EAR</v>
      </c>
      <c r="D1868" s="3"/>
    </row>
    <row r="1869" spans="1:4" x14ac:dyDescent="0.25">
      <c r="A1869" s="2" t="s">
        <v>1484</v>
      </c>
      <c r="B1869" s="2" t="s">
        <v>141</v>
      </c>
      <c r="C1869" s="31" t="str">
        <f>VLOOKUP(irregulares[[#This Row],[Similar a]],padroes[],2,0)</f>
        <v>Abundante</v>
      </c>
      <c r="D1869" s="3"/>
    </row>
    <row r="1870" spans="1:4" x14ac:dyDescent="0.25">
      <c r="A1870" s="2" t="s">
        <v>1485</v>
      </c>
      <c r="B1870" s="2" t="s">
        <v>1485</v>
      </c>
      <c r="C1870" s="31" t="str">
        <f>VLOOKUP(irregulares[[#This Row],[Similar a]],padroes[],2,0)</f>
        <v>Defectivo 3</v>
      </c>
      <c r="D1870" s="3"/>
    </row>
    <row r="1871" spans="1:4" x14ac:dyDescent="0.25">
      <c r="A1871" s="2" t="s">
        <v>1486</v>
      </c>
      <c r="B1871" s="2" t="s">
        <v>1717</v>
      </c>
      <c r="C1871" s="31" t="str">
        <f>VLOOKUP(irregulares[[#This Row],[Similar a]],padroes[],2,0)</f>
        <v>Defectivo 1</v>
      </c>
      <c r="D1871" s="3"/>
    </row>
    <row r="1872" spans="1:4" x14ac:dyDescent="0.25">
      <c r="A1872" s="2" t="s">
        <v>1487</v>
      </c>
      <c r="B1872" s="2" t="s">
        <v>42</v>
      </c>
      <c r="C1872" s="31" t="str">
        <f>VLOOKUP(irregulares[[#This Row],[Similar a]],padroes[],2,0)</f>
        <v>ÇAR</v>
      </c>
      <c r="D1872" s="3"/>
    </row>
    <row r="1873" spans="1:4" x14ac:dyDescent="0.25">
      <c r="A1873" s="2" t="s">
        <v>1488</v>
      </c>
      <c r="B1873" s="2" t="s">
        <v>42</v>
      </c>
      <c r="C1873" s="31" t="str">
        <f>VLOOKUP(irregulares[[#This Row],[Similar a]],padroes[],2,0)</f>
        <v>ÇAR</v>
      </c>
      <c r="D1873" s="3"/>
    </row>
    <row r="1874" spans="1:4" x14ac:dyDescent="0.25">
      <c r="A1874" s="2" t="s">
        <v>1489</v>
      </c>
      <c r="B1874" s="2" t="s">
        <v>53</v>
      </c>
      <c r="C1874" s="31" t="str">
        <f>VLOOKUP(irregulares[[#This Row],[Similar a]],padroes[],2,0)</f>
        <v>EAR</v>
      </c>
      <c r="D1874" s="3"/>
    </row>
    <row r="1875" spans="1:4" x14ac:dyDescent="0.25">
      <c r="A1875" s="2" t="s">
        <v>1490</v>
      </c>
      <c r="B1875" s="2" t="s">
        <v>53</v>
      </c>
      <c r="C1875" s="31" t="str">
        <f>VLOOKUP(irregulares[[#This Row],[Similar a]],padroes[],2,0)</f>
        <v>EAR</v>
      </c>
      <c r="D1875" s="3"/>
    </row>
    <row r="1876" spans="1:4" x14ac:dyDescent="0.25">
      <c r="A1876" s="2" t="s">
        <v>1491</v>
      </c>
      <c r="B1876" s="2" t="s">
        <v>55</v>
      </c>
      <c r="C1876" s="31" t="str">
        <f>VLOOKUP(irregulares[[#This Row],[Similar a]],padroes[],2,0)</f>
        <v>EJAR ô</v>
      </c>
      <c r="D1876" s="3"/>
    </row>
    <row r="1877" spans="1:4" x14ac:dyDescent="0.25">
      <c r="A1877" s="2" t="s">
        <v>1492</v>
      </c>
      <c r="B1877" s="2" t="s">
        <v>53</v>
      </c>
      <c r="C1877" s="31" t="str">
        <f>VLOOKUP(irregulares[[#This Row],[Similar a]],padroes[],2,0)</f>
        <v>EAR</v>
      </c>
      <c r="D1877" s="3"/>
    </row>
    <row r="1878" spans="1:4" x14ac:dyDescent="0.25">
      <c r="A1878" s="2" t="s">
        <v>1493</v>
      </c>
      <c r="B1878" s="2" t="s">
        <v>53</v>
      </c>
      <c r="C1878" s="31" t="str">
        <f>VLOOKUP(irregulares[[#This Row],[Similar a]],padroes[],2,0)</f>
        <v>EAR</v>
      </c>
      <c r="D1878" s="3"/>
    </row>
    <row r="1879" spans="1:4" x14ac:dyDescent="0.25">
      <c r="A1879" s="2" t="s">
        <v>1494</v>
      </c>
      <c r="B1879" s="2" t="s">
        <v>1494</v>
      </c>
      <c r="C1879" s="31" t="str">
        <f>VLOOKUP(irregulares[[#This Row],[Similar a]],padroes[],2,0)</f>
        <v>Defectivo 4</v>
      </c>
      <c r="D1879" s="3"/>
    </row>
    <row r="1880" spans="1:4" x14ac:dyDescent="0.25">
      <c r="A1880" s="2" t="s">
        <v>1495</v>
      </c>
      <c r="B1880" s="2" t="s">
        <v>53</v>
      </c>
      <c r="C1880" s="31" t="str">
        <f>VLOOKUP(irregulares[[#This Row],[Similar a]],padroes[],2,0)</f>
        <v>EAR</v>
      </c>
      <c r="D1880" s="3"/>
    </row>
    <row r="1881" spans="1:4" x14ac:dyDescent="0.25">
      <c r="A1881" s="2" t="s">
        <v>1496</v>
      </c>
      <c r="B1881" s="2" t="s">
        <v>185</v>
      </c>
      <c r="C1881" s="31" t="str">
        <f>VLOOKUP(irregulares[[#This Row],[Similar a]],padroes[],2,0)</f>
        <v>Defectivo 2</v>
      </c>
      <c r="D1881" s="3"/>
    </row>
    <row r="1882" spans="1:4" x14ac:dyDescent="0.25">
      <c r="A1882" s="2" t="s">
        <v>1497</v>
      </c>
      <c r="B1882" s="2" t="s">
        <v>53</v>
      </c>
      <c r="C1882" s="31" t="str">
        <f>VLOOKUP(irregulares[[#This Row],[Similar a]],padroes[],2,0)</f>
        <v>EAR</v>
      </c>
      <c r="D1882" s="3"/>
    </row>
    <row r="1883" spans="1:4" x14ac:dyDescent="0.25">
      <c r="A1883" s="2" t="s">
        <v>1498</v>
      </c>
      <c r="B1883" s="2" t="s">
        <v>1494</v>
      </c>
      <c r="C1883" s="31" t="str">
        <f>VLOOKUP(irregulares[[#This Row],[Similar a]],padroes[],2,0)</f>
        <v>Defectivo 4</v>
      </c>
      <c r="D1883" s="3"/>
    </row>
    <row r="1884" spans="1:4" x14ac:dyDescent="0.25">
      <c r="A1884" s="2" t="s">
        <v>1500</v>
      </c>
      <c r="B1884" s="2" t="s">
        <v>44</v>
      </c>
      <c r="C1884" s="31" t="str">
        <f>VLOOKUP(irregulares[[#This Row],[Similar a]],padroes[],2,0)</f>
        <v>CAR</v>
      </c>
      <c r="D1884" s="3"/>
    </row>
    <row r="1885" spans="1:4" x14ac:dyDescent="0.25">
      <c r="A1885" s="2" t="s">
        <v>1501</v>
      </c>
      <c r="B1885" s="2" t="s">
        <v>53</v>
      </c>
      <c r="C1885" s="31" t="str">
        <f>VLOOKUP(irregulares[[#This Row],[Similar a]],padroes[],2,0)</f>
        <v>EAR</v>
      </c>
      <c r="D1885" s="3"/>
    </row>
    <row r="1886" spans="1:4" x14ac:dyDescent="0.25">
      <c r="A1886" s="2" t="s">
        <v>1502</v>
      </c>
      <c r="B1886" s="2" t="s">
        <v>44</v>
      </c>
      <c r="C1886" s="31" t="str">
        <f>VLOOKUP(irregulares[[#This Row],[Similar a]],padroes[],2,0)</f>
        <v>CAR</v>
      </c>
      <c r="D1886" s="3"/>
    </row>
    <row r="1887" spans="1:4" x14ac:dyDescent="0.25">
      <c r="A1887" s="2" t="s">
        <v>1503</v>
      </c>
      <c r="B1887" s="2" t="s">
        <v>53</v>
      </c>
      <c r="C1887" s="31" t="str">
        <f>VLOOKUP(irregulares[[#This Row],[Similar a]],padroes[],2,0)</f>
        <v>EAR</v>
      </c>
      <c r="D1887" s="3"/>
    </row>
    <row r="1888" spans="1:4" x14ac:dyDescent="0.25">
      <c r="A1888" s="2" t="s">
        <v>1504</v>
      </c>
      <c r="B1888" s="2" t="s">
        <v>141</v>
      </c>
      <c r="C1888" s="31" t="str">
        <f>VLOOKUP(irregulares[[#This Row],[Similar a]],padroes[],2,0)</f>
        <v>Abundante</v>
      </c>
      <c r="D1888" s="3"/>
    </row>
    <row r="1889" spans="1:4" x14ac:dyDescent="0.25">
      <c r="A1889" s="2" t="s">
        <v>1505</v>
      </c>
      <c r="B1889" s="2" t="s">
        <v>53</v>
      </c>
      <c r="C1889" s="31" t="str">
        <f>VLOOKUP(irregulares[[#This Row],[Similar a]],padroes[],2,0)</f>
        <v>EAR</v>
      </c>
      <c r="D1889" s="3"/>
    </row>
    <row r="1890" spans="1:4" x14ac:dyDescent="0.25">
      <c r="A1890" s="2" t="s">
        <v>1506</v>
      </c>
      <c r="B1890" s="2" t="s">
        <v>53</v>
      </c>
      <c r="C1890" s="31" t="str">
        <f>VLOOKUP(irregulares[[#This Row],[Similar a]],padroes[],2,0)</f>
        <v>EAR</v>
      </c>
      <c r="D1890" s="3"/>
    </row>
    <row r="1891" spans="1:4" x14ac:dyDescent="0.25">
      <c r="A1891" s="2" t="s">
        <v>1507</v>
      </c>
      <c r="B1891" s="2" t="s">
        <v>53</v>
      </c>
      <c r="C1891" s="31" t="str">
        <f>VLOOKUP(irregulares[[#This Row],[Similar a]],padroes[],2,0)</f>
        <v>EAR</v>
      </c>
      <c r="D1891" s="3"/>
    </row>
    <row r="1892" spans="1:4" x14ac:dyDescent="0.25">
      <c r="A1892" s="2" t="s">
        <v>1508</v>
      </c>
      <c r="B1892" s="2" t="s">
        <v>53</v>
      </c>
      <c r="C1892" s="31" t="str">
        <f>VLOOKUP(irregulares[[#This Row],[Similar a]],padroes[],2,0)</f>
        <v>EAR</v>
      </c>
      <c r="D1892" s="3"/>
    </row>
    <row r="1893" spans="1:4" x14ac:dyDescent="0.25">
      <c r="A1893" s="2" t="s">
        <v>1509</v>
      </c>
      <c r="B1893" s="2" t="s">
        <v>53</v>
      </c>
      <c r="C1893" s="31" t="str">
        <f>VLOOKUP(irregulares[[#This Row],[Similar a]],padroes[],2,0)</f>
        <v>EAR</v>
      </c>
      <c r="D1893" s="3"/>
    </row>
    <row r="1894" spans="1:4" x14ac:dyDescent="0.25">
      <c r="A1894" s="2" t="s">
        <v>1510</v>
      </c>
      <c r="B1894" s="2" t="s">
        <v>859</v>
      </c>
      <c r="C1894" s="31" t="str">
        <f>VLOOKUP(irregulares[[#This Row],[Similar a]],padroes[],2,0)</f>
        <v>FAZER</v>
      </c>
      <c r="D1894" s="3"/>
    </row>
    <row r="1895" spans="1:4" x14ac:dyDescent="0.25">
      <c r="A1895" s="2" t="s">
        <v>1511</v>
      </c>
      <c r="B1895" s="2" t="s">
        <v>44</v>
      </c>
      <c r="C1895" s="31" t="str">
        <f>VLOOKUP(irregulares[[#This Row],[Similar a]],padroes[],2,0)</f>
        <v>CAR</v>
      </c>
      <c r="D1895" s="3"/>
    </row>
    <row r="1896" spans="1:4" x14ac:dyDescent="0.25">
      <c r="A1896" s="2" t="s">
        <v>1512</v>
      </c>
      <c r="B1896" s="2" t="s">
        <v>44</v>
      </c>
      <c r="C1896" s="31" t="str">
        <f>VLOOKUP(irregulares[[#This Row],[Similar a]],padroes[],2,0)</f>
        <v>CAR</v>
      </c>
      <c r="D1896" s="3"/>
    </row>
    <row r="1897" spans="1:4" x14ac:dyDescent="0.25">
      <c r="A1897" s="2" t="s">
        <v>1513</v>
      </c>
      <c r="B1897" s="2" t="s">
        <v>44</v>
      </c>
      <c r="C1897" s="31" t="str">
        <f>VLOOKUP(irregulares[[#This Row],[Similar a]],padroes[],2,0)</f>
        <v>CAR</v>
      </c>
      <c r="D1897" s="3"/>
    </row>
    <row r="1898" spans="1:4" x14ac:dyDescent="0.25">
      <c r="A1898" s="2" t="s">
        <v>1514</v>
      </c>
      <c r="B1898" s="2" t="s">
        <v>53</v>
      </c>
      <c r="C1898" s="31" t="str">
        <f>VLOOKUP(irregulares[[#This Row],[Similar a]],padroes[],2,0)</f>
        <v>EAR</v>
      </c>
      <c r="D1898" s="3"/>
    </row>
    <row r="1899" spans="1:4" x14ac:dyDescent="0.25">
      <c r="A1899" s="2" t="s">
        <v>1515</v>
      </c>
      <c r="B1899" s="2" t="s">
        <v>1717</v>
      </c>
      <c r="C1899" s="31" t="str">
        <f>VLOOKUP(irregulares[[#This Row],[Similar a]],padroes[],2,0)</f>
        <v>Defectivo 1</v>
      </c>
      <c r="D1899" s="3"/>
    </row>
    <row r="1900" spans="1:4" x14ac:dyDescent="0.25">
      <c r="A1900" s="2" t="s">
        <v>2113</v>
      </c>
      <c r="B1900" s="2" t="s">
        <v>1717</v>
      </c>
      <c r="C1900" s="31" t="str">
        <f>VLOOKUP(irregulares[[#This Row],[Similar a]],padroes[],2,0)</f>
        <v>Defectivo 1</v>
      </c>
      <c r="D1900" s="3"/>
    </row>
    <row r="1901" spans="1:4" x14ac:dyDescent="0.25">
      <c r="A1901" s="2" t="s">
        <v>1516</v>
      </c>
      <c r="B1901" s="2" t="s">
        <v>183</v>
      </c>
      <c r="C1901" s="31" t="str">
        <f>VLOOKUP(irregulares[[#This Row],[Similar a]],padroes[],2,0)</f>
        <v>E-X-IR</v>
      </c>
      <c r="D1901" s="3"/>
    </row>
    <row r="1902" spans="1:4" x14ac:dyDescent="0.25">
      <c r="A1902" s="2" t="s">
        <v>1517</v>
      </c>
      <c r="B1902" s="2" t="s">
        <v>53</v>
      </c>
      <c r="C1902" s="31" t="str">
        <f>VLOOKUP(irregulares[[#This Row],[Similar a]],padroes[],2,0)</f>
        <v>EAR</v>
      </c>
      <c r="D1902" s="3"/>
    </row>
    <row r="1903" spans="1:4" x14ac:dyDescent="0.25">
      <c r="A1903" s="2" t="s">
        <v>1518</v>
      </c>
      <c r="B1903" s="2" t="s">
        <v>53</v>
      </c>
      <c r="C1903" s="31" t="str">
        <f>VLOOKUP(irregulares[[#This Row],[Similar a]],padroes[],2,0)</f>
        <v>EAR</v>
      </c>
      <c r="D1903" s="3"/>
    </row>
    <row r="1904" spans="1:4" x14ac:dyDescent="0.25">
      <c r="A1904" s="2" t="s">
        <v>1519</v>
      </c>
      <c r="B1904" s="2" t="s">
        <v>74</v>
      </c>
      <c r="C1904" s="31" t="str">
        <f>VLOOKUP(irregulares[[#This Row],[Similar a]],padroes[],2,0)</f>
        <v>GAR</v>
      </c>
      <c r="D1904" s="3"/>
    </row>
    <row r="1905" spans="1:4" x14ac:dyDescent="0.25">
      <c r="A1905" s="2" t="s">
        <v>1520</v>
      </c>
      <c r="B1905" s="2" t="s">
        <v>74</v>
      </c>
      <c r="C1905" s="31" t="str">
        <f>VLOOKUP(irregulares[[#This Row],[Similar a]],padroes[],2,0)</f>
        <v>GAR</v>
      </c>
      <c r="D1905" s="3"/>
    </row>
    <row r="1906" spans="1:4" x14ac:dyDescent="0.25">
      <c r="A1906" s="2" t="s">
        <v>1521</v>
      </c>
      <c r="B1906" s="2" t="s">
        <v>42</v>
      </c>
      <c r="C1906" s="31" t="str">
        <f>VLOOKUP(irregulares[[#This Row],[Similar a]],padroes[],2,0)</f>
        <v>ÇAR</v>
      </c>
      <c r="D1906" s="3"/>
    </row>
    <row r="1907" spans="1:4" x14ac:dyDescent="0.25">
      <c r="A1907" s="2" t="s">
        <v>1522</v>
      </c>
      <c r="B1907" s="2" t="s">
        <v>44</v>
      </c>
      <c r="C1907" s="31" t="str">
        <f>VLOOKUP(irregulares[[#This Row],[Similar a]],padroes[],2,0)</f>
        <v>CAR</v>
      </c>
      <c r="D1907" s="3"/>
    </row>
    <row r="1908" spans="1:4" x14ac:dyDescent="0.25">
      <c r="A1908" s="2" t="s">
        <v>1523</v>
      </c>
      <c r="B1908" s="2" t="s">
        <v>53</v>
      </c>
      <c r="C1908" s="31" t="str">
        <f>VLOOKUP(irregulares[[#This Row],[Similar a]],padroes[],2,0)</f>
        <v>EAR</v>
      </c>
      <c r="D1908" s="3"/>
    </row>
    <row r="1909" spans="1:4" x14ac:dyDescent="0.25">
      <c r="A1909" s="2" t="s">
        <v>1524</v>
      </c>
      <c r="B1909" s="2" t="s">
        <v>55</v>
      </c>
      <c r="C1909" s="31" t="str">
        <f>VLOOKUP(irregulares[[#This Row],[Similar a]],padroes[],2,0)</f>
        <v>EJAR ô</v>
      </c>
      <c r="D1909" s="3"/>
    </row>
    <row r="1910" spans="1:4" x14ac:dyDescent="0.25">
      <c r="A1910" s="2" t="s">
        <v>1525</v>
      </c>
      <c r="B1910" s="2" t="s">
        <v>157</v>
      </c>
      <c r="C1910" s="31" t="str">
        <f>VLOOKUP(irregulares[[#This Row],[Similar a]],padroes[],2,0)</f>
        <v>ELHAR</v>
      </c>
      <c r="D1910" s="3"/>
    </row>
    <row r="1911" spans="1:4" x14ac:dyDescent="0.25">
      <c r="A1911" s="2" t="s">
        <v>1526</v>
      </c>
      <c r="B1911" s="2" t="s">
        <v>55</v>
      </c>
      <c r="C1911" s="31" t="str">
        <f>VLOOKUP(irregulares[[#This Row],[Similar a]],padroes[],2,0)</f>
        <v>EJAR ô</v>
      </c>
      <c r="D1911" s="3"/>
    </row>
    <row r="1912" spans="1:4" x14ac:dyDescent="0.25">
      <c r="A1912" s="2" t="s">
        <v>1527</v>
      </c>
      <c r="B1912" s="2" t="s">
        <v>53</v>
      </c>
      <c r="C1912" s="31" t="str">
        <f>VLOOKUP(irregulares[[#This Row],[Similar a]],padroes[],2,0)</f>
        <v>EAR</v>
      </c>
      <c r="D1912" s="3"/>
    </row>
    <row r="1913" spans="1:4" x14ac:dyDescent="0.25">
      <c r="A1913" s="2" t="s">
        <v>1528</v>
      </c>
      <c r="B1913" s="2" t="s">
        <v>74</v>
      </c>
      <c r="C1913" s="31" t="str">
        <f>VLOOKUP(irregulares[[#This Row],[Similar a]],padroes[],2,0)</f>
        <v>GAR</v>
      </c>
      <c r="D1913" s="3"/>
    </row>
    <row r="1914" spans="1:4" x14ac:dyDescent="0.25">
      <c r="A1914" s="2" t="s">
        <v>1529</v>
      </c>
      <c r="B1914" s="2" t="s">
        <v>55</v>
      </c>
      <c r="C1914" s="31" t="str">
        <f>VLOOKUP(irregulares[[#This Row],[Similar a]],padroes[],2,0)</f>
        <v>EJAR ô</v>
      </c>
      <c r="D1914" s="3"/>
    </row>
    <row r="1915" spans="1:4" x14ac:dyDescent="0.25">
      <c r="A1915" s="2" t="s">
        <v>1530</v>
      </c>
      <c r="B1915" s="2" t="s">
        <v>53</v>
      </c>
      <c r="C1915" s="31" t="str">
        <f>VLOOKUP(irregulares[[#This Row],[Similar a]],padroes[],2,0)</f>
        <v>EAR</v>
      </c>
      <c r="D1915" s="3"/>
    </row>
    <row r="1916" spans="1:4" x14ac:dyDescent="0.25">
      <c r="A1916" s="2" t="s">
        <v>1531</v>
      </c>
      <c r="B1916" s="2" t="s">
        <v>1717</v>
      </c>
      <c r="C1916" s="31" t="str">
        <f>VLOOKUP(irregulares[[#This Row],[Similar a]],padroes[],2,0)</f>
        <v>Defectivo 1</v>
      </c>
      <c r="D1916" s="3"/>
    </row>
    <row r="1917" spans="1:4" x14ac:dyDescent="0.25">
      <c r="A1917" s="2" t="s">
        <v>1532</v>
      </c>
      <c r="B1917" s="2" t="s">
        <v>53</v>
      </c>
      <c r="C1917" s="31" t="str">
        <f>VLOOKUP(irregulares[[#This Row],[Similar a]],padroes[],2,0)</f>
        <v>EAR</v>
      </c>
      <c r="D1917" s="3"/>
    </row>
    <row r="1918" spans="1:4" x14ac:dyDescent="0.25">
      <c r="A1918" s="2" t="s">
        <v>1533</v>
      </c>
      <c r="B1918" s="2" t="s">
        <v>55</v>
      </c>
      <c r="C1918" s="31" t="str">
        <f>VLOOKUP(irregulares[[#This Row],[Similar a]],padroes[],2,0)</f>
        <v>EJAR ô</v>
      </c>
      <c r="D1918" s="3"/>
    </row>
    <row r="1919" spans="1:4" x14ac:dyDescent="0.25">
      <c r="A1919" s="2" t="s">
        <v>1534</v>
      </c>
      <c r="B1919" s="2" t="s">
        <v>55</v>
      </c>
      <c r="C1919" s="31" t="str">
        <f>VLOOKUP(irregulares[[#This Row],[Similar a]],padroes[],2,0)</f>
        <v>EJAR ô</v>
      </c>
      <c r="D1919" s="3"/>
    </row>
    <row r="1920" spans="1:4" x14ac:dyDescent="0.25">
      <c r="A1920" s="2" t="s">
        <v>1535</v>
      </c>
      <c r="B1920" s="2" t="s">
        <v>53</v>
      </c>
      <c r="C1920" s="31" t="str">
        <f>VLOOKUP(irregulares[[#This Row],[Similar a]],padroes[],2,0)</f>
        <v>EAR</v>
      </c>
      <c r="D1920" s="3"/>
    </row>
    <row r="1921" spans="1:4" x14ac:dyDescent="0.25">
      <c r="A1921" s="2" t="s">
        <v>1536</v>
      </c>
      <c r="B1921" s="2" t="s">
        <v>63</v>
      </c>
      <c r="C1921" s="31" t="str">
        <f>VLOOKUP(irregulares[[#This Row],[Similar a]],padroes[],2,0)</f>
        <v>CER</v>
      </c>
      <c r="D1921" s="3"/>
    </row>
    <row r="1922" spans="1:4" x14ac:dyDescent="0.25">
      <c r="A1922" s="2" t="s">
        <v>1537</v>
      </c>
      <c r="B1922" s="2" t="s">
        <v>53</v>
      </c>
      <c r="C1922" s="31" t="str">
        <f>VLOOKUP(irregulares[[#This Row],[Similar a]],padroes[],2,0)</f>
        <v>EAR</v>
      </c>
      <c r="D1922" s="3"/>
    </row>
    <row r="1923" spans="1:4" x14ac:dyDescent="0.25">
      <c r="A1923" s="2" t="s">
        <v>1538</v>
      </c>
      <c r="B1923" s="2" t="s">
        <v>44</v>
      </c>
      <c r="C1923" s="31" t="str">
        <f>VLOOKUP(irregulares[[#This Row],[Similar a]],padroes[],2,0)</f>
        <v>CAR</v>
      </c>
      <c r="D1923" s="3"/>
    </row>
    <row r="1924" spans="1:4" x14ac:dyDescent="0.25">
      <c r="A1924" s="2" t="s">
        <v>1539</v>
      </c>
      <c r="B1924" s="2" t="s">
        <v>53</v>
      </c>
      <c r="C1924" s="31" t="str">
        <f>VLOOKUP(irregulares[[#This Row],[Similar a]],padroes[],2,0)</f>
        <v>EAR</v>
      </c>
      <c r="D1924" s="3"/>
    </row>
    <row r="1925" spans="1:4" x14ac:dyDescent="0.25">
      <c r="A1925" s="2" t="s">
        <v>1540</v>
      </c>
      <c r="B1925" s="2" t="s">
        <v>1540</v>
      </c>
      <c r="C1925" s="31" t="str">
        <f>VLOOKUP(irregulares[[#This Row],[Similar a]],padroes[],2,0)</f>
        <v>Defectivo 3</v>
      </c>
      <c r="D1925" s="3"/>
    </row>
    <row r="1926" spans="1:4" x14ac:dyDescent="0.25">
      <c r="A1926" s="2" t="s">
        <v>1541</v>
      </c>
      <c r="B1926" s="2" t="s">
        <v>53</v>
      </c>
      <c r="C1926" s="31" t="str">
        <f>VLOOKUP(irregulares[[#This Row],[Similar a]],padroes[],2,0)</f>
        <v>EAR</v>
      </c>
      <c r="D1926" s="3"/>
    </row>
    <row r="1927" spans="1:4" x14ac:dyDescent="0.25">
      <c r="A1927" s="2" t="s">
        <v>1542</v>
      </c>
      <c r="B1927" s="2" t="s">
        <v>1542</v>
      </c>
      <c r="C1927" s="31" t="str">
        <f>VLOOKUP(irregulares[[#This Row],[Similar a]],padroes[],2,0)</f>
        <v>Defectivo 3</v>
      </c>
      <c r="D1927" s="3"/>
    </row>
    <row r="1928" spans="1:4" x14ac:dyDescent="0.25">
      <c r="A1928" s="2" t="s">
        <v>1543</v>
      </c>
      <c r="B1928" s="2" t="s">
        <v>53</v>
      </c>
      <c r="C1928" s="31" t="str">
        <f>VLOOKUP(irregulares[[#This Row],[Similar a]],padroes[],2,0)</f>
        <v>EAR</v>
      </c>
      <c r="D1928" s="3"/>
    </row>
    <row r="1929" spans="1:4" x14ac:dyDescent="0.25">
      <c r="A1929" s="2" t="s">
        <v>1544</v>
      </c>
      <c r="B1929" s="2" t="s">
        <v>44</v>
      </c>
      <c r="C1929" s="31" t="str">
        <f>VLOOKUP(irregulares[[#This Row],[Similar a]],padroes[],2,0)</f>
        <v>CAR</v>
      </c>
      <c r="D1929" s="3"/>
    </row>
    <row r="1930" spans="1:4" x14ac:dyDescent="0.25">
      <c r="A1930" s="2" t="s">
        <v>1545</v>
      </c>
      <c r="B1930" s="2" t="s">
        <v>53</v>
      </c>
      <c r="C1930" s="31" t="str">
        <f>VLOOKUP(irregulares[[#This Row],[Similar a]],padroes[],2,0)</f>
        <v>EAR</v>
      </c>
      <c r="D1930" s="3"/>
    </row>
    <row r="1931" spans="1:4" x14ac:dyDescent="0.25">
      <c r="A1931" s="2" t="s">
        <v>1546</v>
      </c>
      <c r="B1931" s="2" t="s">
        <v>53</v>
      </c>
      <c r="C1931" s="31" t="str">
        <f>VLOOKUP(irregulares[[#This Row],[Similar a]],padroes[],2,0)</f>
        <v>EAR</v>
      </c>
      <c r="D1931" s="3"/>
    </row>
    <row r="1932" spans="1:4" x14ac:dyDescent="0.25">
      <c r="A1932" s="2" t="s">
        <v>1547</v>
      </c>
      <c r="B1932" s="2" t="s">
        <v>53</v>
      </c>
      <c r="C1932" s="31" t="str">
        <f>VLOOKUP(irregulares[[#This Row],[Similar a]],padroes[],2,0)</f>
        <v>EAR</v>
      </c>
      <c r="D1932" s="3"/>
    </row>
    <row r="1933" spans="1:4" x14ac:dyDescent="0.25">
      <c r="A1933" s="2" t="s">
        <v>1548</v>
      </c>
      <c r="B1933" s="2" t="s">
        <v>53</v>
      </c>
      <c r="C1933" s="31" t="str">
        <f>VLOOKUP(irregulares[[#This Row],[Similar a]],padroes[],2,0)</f>
        <v>EAR</v>
      </c>
      <c r="D1933" s="3"/>
    </row>
    <row r="1934" spans="1:4" x14ac:dyDescent="0.25">
      <c r="A1934" s="2" t="s">
        <v>1549</v>
      </c>
      <c r="B1934" s="2" t="s">
        <v>55</v>
      </c>
      <c r="C1934" s="31" t="str">
        <f>VLOOKUP(irregulares[[#This Row],[Similar a]],padroes[],2,0)</f>
        <v>EJAR ô</v>
      </c>
      <c r="D1934" s="3"/>
    </row>
    <row r="1935" spans="1:4" x14ac:dyDescent="0.25">
      <c r="A1935" s="2" t="s">
        <v>1550</v>
      </c>
      <c r="B1935" s="2" t="s">
        <v>1604</v>
      </c>
      <c r="C1935" s="31" t="str">
        <f>VLOOKUP(irregulares[[#This Row],[Similar a]],padroes[],2,0)</f>
        <v>Defectivo 3</v>
      </c>
      <c r="D1935" s="3"/>
    </row>
    <row r="1936" spans="1:4" x14ac:dyDescent="0.25">
      <c r="A1936" s="2" t="s">
        <v>1551</v>
      </c>
      <c r="B1936" s="2" t="s">
        <v>1717</v>
      </c>
      <c r="C1936" s="31" t="str">
        <f>VLOOKUP(irregulares[[#This Row],[Similar a]],padroes[],2,0)</f>
        <v>Defectivo 1</v>
      </c>
      <c r="D1936" s="3"/>
    </row>
    <row r="1937" spans="1:4" x14ac:dyDescent="0.25">
      <c r="A1937" s="2" t="s">
        <v>1552</v>
      </c>
      <c r="B1937" s="2" t="s">
        <v>53</v>
      </c>
      <c r="C1937" s="31" t="str">
        <f>VLOOKUP(irregulares[[#This Row],[Similar a]],padroes[],2,0)</f>
        <v>EAR</v>
      </c>
      <c r="D1937" s="3"/>
    </row>
    <row r="1938" spans="1:4" x14ac:dyDescent="0.25">
      <c r="A1938" s="2" t="s">
        <v>1553</v>
      </c>
      <c r="B1938" s="2" t="s">
        <v>53</v>
      </c>
      <c r="C1938" s="31" t="str">
        <f>VLOOKUP(irregulares[[#This Row],[Similar a]],padroes[],2,0)</f>
        <v>EAR</v>
      </c>
      <c r="D1938" s="3"/>
    </row>
    <row r="1939" spans="1:4" x14ac:dyDescent="0.25">
      <c r="A1939" s="2" t="s">
        <v>1554</v>
      </c>
      <c r="B1939" s="2" t="s">
        <v>53</v>
      </c>
      <c r="C1939" s="31" t="str">
        <f>VLOOKUP(irregulares[[#This Row],[Similar a]],padroes[],2,0)</f>
        <v>EAR</v>
      </c>
      <c r="D1939" s="3"/>
    </row>
    <row r="1940" spans="1:4" x14ac:dyDescent="0.25">
      <c r="A1940" s="2" t="s">
        <v>1555</v>
      </c>
      <c r="B1940" s="2" t="s">
        <v>53</v>
      </c>
      <c r="C1940" s="31" t="str">
        <f>VLOOKUP(irregulares[[#This Row],[Similar a]],padroes[],2,0)</f>
        <v>EAR</v>
      </c>
      <c r="D1940" s="3"/>
    </row>
    <row r="1941" spans="1:4" x14ac:dyDescent="0.25">
      <c r="A1941" s="2" t="s">
        <v>1556</v>
      </c>
      <c r="B1941" s="2" t="s">
        <v>63</v>
      </c>
      <c r="C1941" s="31" t="str">
        <f>VLOOKUP(irregulares[[#This Row],[Similar a]],padroes[],2,0)</f>
        <v>CER</v>
      </c>
      <c r="D1941" s="3"/>
    </row>
    <row r="1942" spans="1:4" x14ac:dyDescent="0.25">
      <c r="A1942" s="2" t="s">
        <v>1557</v>
      </c>
      <c r="B1942" s="2" t="s">
        <v>185</v>
      </c>
      <c r="C1942" s="31" t="str">
        <f>VLOOKUP(irregulares[[#This Row],[Similar a]],padroes[],2,0)</f>
        <v>Defectivo 2</v>
      </c>
      <c r="D1942" s="3"/>
    </row>
    <row r="1943" spans="1:4" x14ac:dyDescent="0.25">
      <c r="A1943" s="2" t="s">
        <v>1558</v>
      </c>
      <c r="B1943" s="2" t="s">
        <v>53</v>
      </c>
      <c r="C1943" s="31" t="str">
        <f>VLOOKUP(irregulares[[#This Row],[Similar a]],padroes[],2,0)</f>
        <v>EAR</v>
      </c>
      <c r="D1943" s="3"/>
    </row>
    <row r="1944" spans="1:4" x14ac:dyDescent="0.25">
      <c r="A1944" s="2" t="s">
        <v>1559</v>
      </c>
      <c r="B1944" s="2" t="s">
        <v>53</v>
      </c>
      <c r="C1944" s="31" t="str">
        <f>VLOOKUP(irregulares[[#This Row],[Similar a]],padroes[],2,0)</f>
        <v>EAR</v>
      </c>
      <c r="D1944" s="3"/>
    </row>
    <row r="1945" spans="1:4" x14ac:dyDescent="0.25">
      <c r="A1945" s="2" t="s">
        <v>1560</v>
      </c>
      <c r="B1945" s="2" t="s">
        <v>53</v>
      </c>
      <c r="C1945" s="31" t="str">
        <f>VLOOKUP(irregulares[[#This Row],[Similar a]],padroes[],2,0)</f>
        <v>EAR</v>
      </c>
      <c r="D1945" s="3"/>
    </row>
    <row r="1946" spans="1:4" x14ac:dyDescent="0.25">
      <c r="A1946" s="2" t="s">
        <v>1409</v>
      </c>
      <c r="B1946" s="2" t="s">
        <v>53</v>
      </c>
      <c r="C1946" s="31" t="str">
        <f>VLOOKUP(irregulares[[#This Row],[Similar a]],padroes[],2,0)</f>
        <v>EAR</v>
      </c>
      <c r="D1946" s="3"/>
    </row>
    <row r="1947" spans="1:4" x14ac:dyDescent="0.25">
      <c r="A1947" s="2" t="s">
        <v>1410</v>
      </c>
      <c r="B1947" s="2" t="s">
        <v>53</v>
      </c>
      <c r="C1947" s="31" t="str">
        <f>VLOOKUP(irregulares[[#This Row],[Similar a]],padroes[],2,0)</f>
        <v>EAR</v>
      </c>
      <c r="D1947" s="3"/>
    </row>
    <row r="1948" spans="1:4" x14ac:dyDescent="0.25">
      <c r="A1948" s="2" t="s">
        <v>1411</v>
      </c>
      <c r="B1948" s="2" t="s">
        <v>55</v>
      </c>
      <c r="C1948" s="31" t="str">
        <f>VLOOKUP(irregulares[[#This Row],[Similar a]],padroes[],2,0)</f>
        <v>EJAR ô</v>
      </c>
      <c r="D1948" s="3"/>
    </row>
    <row r="1949" spans="1:4" x14ac:dyDescent="0.25">
      <c r="A1949" s="2" t="s">
        <v>1412</v>
      </c>
      <c r="B1949" s="2" t="s">
        <v>53</v>
      </c>
      <c r="C1949" s="31" t="str">
        <f>VLOOKUP(irregulares[[#This Row],[Similar a]],padroes[],2,0)</f>
        <v>EAR</v>
      </c>
      <c r="D1949" s="3"/>
    </row>
    <row r="1950" spans="1:4" x14ac:dyDescent="0.25">
      <c r="A1950" s="2" t="s">
        <v>1413</v>
      </c>
      <c r="B1950" s="2" t="s">
        <v>1717</v>
      </c>
      <c r="C1950" s="31" t="str">
        <f>VLOOKUP(irregulares[[#This Row],[Similar a]],padroes[],2,0)</f>
        <v>Defectivo 1</v>
      </c>
      <c r="D1950" s="3"/>
    </row>
    <row r="1951" spans="1:4" x14ac:dyDescent="0.25">
      <c r="A1951" s="2" t="s">
        <v>305</v>
      </c>
      <c r="B1951" s="2" t="s">
        <v>305</v>
      </c>
      <c r="C1951" s="2" t="str">
        <f>VLOOKUP(irregulares[[#This Row],[Similar a]],padroes[],2,0)</f>
        <v>HAVER</v>
      </c>
      <c r="D1951" s="3"/>
    </row>
    <row r="1952" spans="1:4" x14ac:dyDescent="0.25">
      <c r="A1952" s="2" t="s">
        <v>1414</v>
      </c>
      <c r="B1952" s="2" t="s">
        <v>319</v>
      </c>
      <c r="C1952" s="31" t="str">
        <f>VLOOKUP(irregulares[[#This Row],[Similar a]],padroes[],2,0)</f>
        <v>Í-X-AR</v>
      </c>
      <c r="D1952" s="3"/>
    </row>
    <row r="1953" spans="1:4" x14ac:dyDescent="0.25">
      <c r="A1953" s="2" t="s">
        <v>1416</v>
      </c>
      <c r="B1953" s="2" t="s">
        <v>44</v>
      </c>
      <c r="C1953" s="31" t="str">
        <f>VLOOKUP(irregulares[[#This Row],[Similar a]],padroes[],2,0)</f>
        <v>CAR</v>
      </c>
      <c r="D1953" s="3"/>
    </row>
    <row r="1954" spans="1:4" x14ac:dyDescent="0.25">
      <c r="A1954" s="2" t="s">
        <v>1417</v>
      </c>
      <c r="B1954" s="2" t="s">
        <v>44</v>
      </c>
      <c r="C1954" s="31" t="str">
        <f>VLOOKUP(irregulares[[#This Row],[Similar a]],padroes[],2,0)</f>
        <v>CAR</v>
      </c>
      <c r="D1954" s="3"/>
    </row>
    <row r="1955" spans="1:4" x14ac:dyDescent="0.25">
      <c r="A1955" s="2" t="s">
        <v>1418</v>
      </c>
      <c r="B1955" s="2" t="s">
        <v>53</v>
      </c>
      <c r="C1955" s="31" t="str">
        <f>VLOOKUP(irregulares[[#This Row],[Similar a]],padroes[],2,0)</f>
        <v>EAR</v>
      </c>
      <c r="D1955" s="3"/>
    </row>
    <row r="1956" spans="1:4" x14ac:dyDescent="0.25">
      <c r="A1956" s="2" t="s">
        <v>1419</v>
      </c>
      <c r="B1956" s="2" t="s">
        <v>74</v>
      </c>
      <c r="C1956" s="31" t="str">
        <f>VLOOKUP(irregulares[[#This Row],[Similar a]],padroes[],2,0)</f>
        <v>GAR</v>
      </c>
      <c r="D1956" s="3"/>
    </row>
    <row r="1957" spans="1:4" x14ac:dyDescent="0.25">
      <c r="A1957" s="2" t="s">
        <v>1420</v>
      </c>
      <c r="B1957" s="2" t="s">
        <v>44</v>
      </c>
      <c r="C1957" s="31" t="str">
        <f>VLOOKUP(irregulares[[#This Row],[Similar a]],padroes[],2,0)</f>
        <v>CAR</v>
      </c>
      <c r="D1957" s="3"/>
    </row>
    <row r="1958" spans="1:4" x14ac:dyDescent="0.25">
      <c r="A1958" s="2" t="s">
        <v>1986</v>
      </c>
      <c r="B1958" s="2" t="s">
        <v>42</v>
      </c>
      <c r="C1958" s="31" t="str">
        <f>VLOOKUP(irregulares[[#This Row],[Similar a]],padroes[],2,0)</f>
        <v>ÇAR</v>
      </c>
      <c r="D1958" s="3"/>
    </row>
    <row r="1959" spans="1:4" x14ac:dyDescent="0.25">
      <c r="A1959" s="2" t="s">
        <v>337</v>
      </c>
      <c r="B1959" s="2" t="s">
        <v>337</v>
      </c>
      <c r="C1959" s="31" t="str">
        <f>VLOOKUP(irregulares[[#This Row],[Similar a]],padroes[],2,0)</f>
        <v>IDEAR</v>
      </c>
      <c r="D1959" s="3"/>
    </row>
    <row r="1960" spans="1:4" x14ac:dyDescent="0.25">
      <c r="A1960" s="2" t="s">
        <v>1987</v>
      </c>
      <c r="B1960" s="2" t="s">
        <v>44</v>
      </c>
      <c r="C1960" s="31" t="str">
        <f>VLOOKUP(irregulares[[#This Row],[Similar a]],padroes[],2,0)</f>
        <v>CAR</v>
      </c>
      <c r="D1960" s="3"/>
    </row>
    <row r="1961" spans="1:4" x14ac:dyDescent="0.25">
      <c r="A1961" s="2" t="s">
        <v>1988</v>
      </c>
      <c r="B1961" s="2" t="s">
        <v>74</v>
      </c>
      <c r="C1961" s="31" t="str">
        <f>VLOOKUP(irregulares[[#This Row],[Similar a]],padroes[],2,0)</f>
        <v>GAR</v>
      </c>
      <c r="D1961" s="3"/>
    </row>
    <row r="1962" spans="1:4" x14ac:dyDescent="0.25">
      <c r="A1962" s="2" t="s">
        <v>1989</v>
      </c>
      <c r="B1962" s="2" t="s">
        <v>53</v>
      </c>
      <c r="C1962" s="31" t="str">
        <f>VLOOKUP(irregulares[[#This Row],[Similar a]],padroes[],2,0)</f>
        <v>EAR</v>
      </c>
      <c r="D1962" s="3"/>
    </row>
    <row r="1963" spans="1:4" x14ac:dyDescent="0.25">
      <c r="A1963" s="2" t="s">
        <v>1990</v>
      </c>
      <c r="B1963" s="2" t="s">
        <v>42</v>
      </c>
      <c r="C1963" s="31" t="str">
        <f>VLOOKUP(irregulares[[#This Row],[Similar a]],padroes[],2,0)</f>
        <v>ÇAR</v>
      </c>
      <c r="D1963" s="3"/>
    </row>
    <row r="1964" spans="1:4" x14ac:dyDescent="0.25">
      <c r="A1964" s="2" t="s">
        <v>1991</v>
      </c>
      <c r="B1964" s="2" t="s">
        <v>74</v>
      </c>
      <c r="C1964" s="31" t="str">
        <f>VLOOKUP(irregulares[[#This Row],[Similar a]],padroes[],2,0)</f>
        <v>GAR</v>
      </c>
      <c r="D1964" s="3"/>
    </row>
    <row r="1965" spans="1:4" x14ac:dyDescent="0.25">
      <c r="A1965" s="2" t="s">
        <v>1992</v>
      </c>
      <c r="B1965" s="2" t="s">
        <v>44</v>
      </c>
      <c r="C1965" s="31" t="str">
        <f>VLOOKUP(irregulares[[#This Row],[Similar a]],padroes[],2,0)</f>
        <v>CAR</v>
      </c>
      <c r="D1965" s="3"/>
    </row>
    <row r="1966" spans="1:4" x14ac:dyDescent="0.25">
      <c r="A1966" s="2" t="s">
        <v>1993</v>
      </c>
      <c r="B1966" s="2" t="s">
        <v>44</v>
      </c>
      <c r="C1966" s="31" t="str">
        <f>VLOOKUP(irregulares[[#This Row],[Similar a]],padroes[],2,0)</f>
        <v>CAR</v>
      </c>
      <c r="D1966" s="3"/>
    </row>
    <row r="1967" spans="1:4" x14ac:dyDescent="0.25">
      <c r="A1967" s="2" t="s">
        <v>1994</v>
      </c>
      <c r="B1967" s="2" t="s">
        <v>82</v>
      </c>
      <c r="C1967" s="31" t="str">
        <f>VLOOKUP(irregulares[[#This Row],[Similar a]],padroes[],2,0)</f>
        <v>UIR</v>
      </c>
      <c r="D1967" s="3"/>
    </row>
    <row r="1968" spans="1:4" x14ac:dyDescent="0.25">
      <c r="A1968" s="2" t="s">
        <v>1995</v>
      </c>
      <c r="B1968" s="2" t="s">
        <v>1996</v>
      </c>
      <c r="C1968" s="31" t="str">
        <f>VLOOKUP(irregulares[[#This Row],[Similar a]],padroes[],2,0)</f>
        <v>Defectivo 1</v>
      </c>
      <c r="D1968" s="3"/>
    </row>
    <row r="1969" spans="1:4" x14ac:dyDescent="0.25">
      <c r="A1969" s="2" t="s">
        <v>1997</v>
      </c>
      <c r="B1969" s="2" t="s">
        <v>1998</v>
      </c>
      <c r="C1969" s="31" t="str">
        <f>VLOOKUP(irregulares[[#This Row],[Similar a]],padroes[],2,0)</f>
        <v>PEDIR</v>
      </c>
      <c r="D1969" s="3"/>
    </row>
    <row r="1970" spans="1:4" x14ac:dyDescent="0.25">
      <c r="A1970" s="2" t="s">
        <v>1999</v>
      </c>
      <c r="B1970" s="2" t="s">
        <v>1999</v>
      </c>
      <c r="C1970" s="31" t="str">
        <f>VLOOKUP(irregulares[[#This Row],[Similar a]],padroes[],2,0)</f>
        <v>E-X-IR</v>
      </c>
      <c r="D1970" s="3"/>
    </row>
    <row r="1971" spans="1:4" x14ac:dyDescent="0.25">
      <c r="A1971" s="2" t="s">
        <v>2000</v>
      </c>
      <c r="B1971" s="2" t="s">
        <v>49</v>
      </c>
      <c r="C1971" s="31" t="str">
        <f>VLOOKUP(irregulares[[#This Row],[Similar a]],padroes[],2,0)</f>
        <v>OAR</v>
      </c>
      <c r="D1971" s="3"/>
    </row>
    <row r="1972" spans="1:4" x14ac:dyDescent="0.25">
      <c r="A1972" s="2" t="s">
        <v>2001</v>
      </c>
      <c r="B1972" s="2" t="s">
        <v>53</v>
      </c>
      <c r="C1972" s="31" t="str">
        <f>VLOOKUP(irregulares[[#This Row],[Similar a]],padroes[],2,0)</f>
        <v>EAR</v>
      </c>
      <c r="D1972" s="3"/>
    </row>
    <row r="1973" spans="1:4" x14ac:dyDescent="0.25">
      <c r="A1973" s="2" t="s">
        <v>2002</v>
      </c>
      <c r="B1973" s="2" t="s">
        <v>44</v>
      </c>
      <c r="C1973" s="31" t="str">
        <f>VLOOKUP(irregulares[[#This Row],[Similar a]],padroes[],2,0)</f>
        <v>CAR</v>
      </c>
      <c r="D1973" s="3"/>
    </row>
    <row r="1974" spans="1:4" x14ac:dyDescent="0.25">
      <c r="A1974" s="2" t="s">
        <v>2003</v>
      </c>
      <c r="B1974" s="2" t="s">
        <v>154</v>
      </c>
      <c r="C1974" s="31" t="str">
        <f>VLOOKUP(irregulares[[#This Row],[Similar a]],padroes[],2,0)</f>
        <v>GIR</v>
      </c>
      <c r="D1974" s="3"/>
    </row>
    <row r="1975" spans="1:4" x14ac:dyDescent="0.25">
      <c r="A1975" s="2" t="s">
        <v>2004</v>
      </c>
      <c r="B1975" s="2" t="s">
        <v>44</v>
      </c>
      <c r="C1975" s="31" t="str">
        <f>VLOOKUP(irregulares[[#This Row],[Similar a]],padroes[],2,0)</f>
        <v>CAR</v>
      </c>
      <c r="D1975" s="3"/>
    </row>
    <row r="1976" spans="1:4" x14ac:dyDescent="0.25">
      <c r="A1976" s="2" t="s">
        <v>2005</v>
      </c>
      <c r="B1976" s="2" t="s">
        <v>1717</v>
      </c>
      <c r="C1976" s="31" t="str">
        <f>VLOOKUP(irregulares[[#This Row],[Similar a]],padroes[],2,0)</f>
        <v>Defectivo 1</v>
      </c>
      <c r="D1976" s="3"/>
    </row>
    <row r="1977" spans="1:4" x14ac:dyDescent="0.25">
      <c r="A1977" s="2" t="s">
        <v>2006</v>
      </c>
      <c r="B1977" s="2" t="s">
        <v>267</v>
      </c>
      <c r="C1977" s="31" t="str">
        <f>VLOOKUP(irregulares[[#This Row],[Similar a]],padroes[],2,0)</f>
        <v>POR</v>
      </c>
      <c r="D1977" s="3"/>
    </row>
    <row r="1978" spans="1:4" x14ac:dyDescent="0.25">
      <c r="A1978" s="2" t="s">
        <v>2007</v>
      </c>
      <c r="B1978" s="2" t="s">
        <v>44</v>
      </c>
      <c r="C1978" s="31" t="str">
        <f>VLOOKUP(irregulares[[#This Row],[Similar a]],padroes[],2,0)</f>
        <v>CAR</v>
      </c>
      <c r="D1978" s="3"/>
    </row>
    <row r="1979" spans="1:4" x14ac:dyDescent="0.25">
      <c r="A1979" s="2" t="s">
        <v>2008</v>
      </c>
      <c r="B1979" s="2" t="s">
        <v>2008</v>
      </c>
      <c r="C1979" s="31" t="str">
        <f>VLOOKUP(irregulares[[#This Row],[Similar a]],padroes[],2,0)</f>
        <v>Abundante</v>
      </c>
      <c r="D1979" s="3"/>
    </row>
    <row r="1980" spans="1:4" x14ac:dyDescent="0.25">
      <c r="A1980" s="2" t="s">
        <v>2009</v>
      </c>
      <c r="B1980" s="2" t="s">
        <v>44</v>
      </c>
      <c r="C1980" s="31" t="str">
        <f>VLOOKUP(irregulares[[#This Row],[Similar a]],padroes[],2,0)</f>
        <v>CAR</v>
      </c>
      <c r="D1980" s="3"/>
    </row>
    <row r="1981" spans="1:4" x14ac:dyDescent="0.25">
      <c r="A1981" s="2" t="s">
        <v>2010</v>
      </c>
      <c r="B1981" s="2" t="s">
        <v>1717</v>
      </c>
      <c r="C1981" s="31" t="str">
        <f>VLOOKUP(irregulares[[#This Row],[Similar a]],padroes[],2,0)</f>
        <v>Defectivo 1</v>
      </c>
      <c r="D1981" s="3"/>
    </row>
    <row r="1982" spans="1:4" x14ac:dyDescent="0.25">
      <c r="A1982" s="2" t="s">
        <v>2011</v>
      </c>
      <c r="B1982" s="2" t="s">
        <v>63</v>
      </c>
      <c r="C1982" s="31" t="str">
        <f>VLOOKUP(irregulares[[#This Row],[Similar a]],padroes[],2,0)</f>
        <v>CER</v>
      </c>
      <c r="D1982" s="3"/>
    </row>
    <row r="1983" spans="1:4" x14ac:dyDescent="0.25">
      <c r="A1983" s="2" t="s">
        <v>2012</v>
      </c>
      <c r="B1983" s="2" t="s">
        <v>42</v>
      </c>
      <c r="C1983" s="31" t="str">
        <f>VLOOKUP(irregulares[[#This Row],[Similar a]],padroes[],2,0)</f>
        <v>ÇAR</v>
      </c>
      <c r="D1983" s="3"/>
    </row>
    <row r="1984" spans="1:4" x14ac:dyDescent="0.25">
      <c r="A1984" s="2" t="s">
        <v>2013</v>
      </c>
      <c r="B1984" s="2" t="s">
        <v>417</v>
      </c>
      <c r="C1984" s="31" t="str">
        <f>VLOOKUP(irregulares[[#This Row],[Similar a]],padroes[],2,0)</f>
        <v>IAR</v>
      </c>
      <c r="D1984" s="3"/>
    </row>
    <row r="1985" spans="1:4" x14ac:dyDescent="0.25">
      <c r="A1985" s="2" t="s">
        <v>2014</v>
      </c>
      <c r="B1985" s="2" t="s">
        <v>2014</v>
      </c>
      <c r="C1985" s="31" t="str">
        <f>VLOOKUP(irregulares[[#This Row],[Similar a]],padroes[],2,0)</f>
        <v>INCLUIR</v>
      </c>
      <c r="D1985" s="3"/>
    </row>
    <row r="1986" spans="1:4" x14ac:dyDescent="0.25">
      <c r="A1986" s="2" t="s">
        <v>2015</v>
      </c>
      <c r="B1986" s="2" t="s">
        <v>49</v>
      </c>
      <c r="C1986" s="31" t="str">
        <f>VLOOKUP(irregulares[[#This Row],[Similar a]],padroes[],2,0)</f>
        <v>OAR</v>
      </c>
      <c r="D1986" s="3"/>
    </row>
    <row r="1987" spans="1:4" x14ac:dyDescent="0.25">
      <c r="A1987" s="2" t="s">
        <v>2016</v>
      </c>
      <c r="B1987" s="2" t="s">
        <v>44</v>
      </c>
      <c r="C1987" s="31" t="str">
        <f>VLOOKUP(irregulares[[#This Row],[Similar a]],padroes[],2,0)</f>
        <v>CAR</v>
      </c>
      <c r="D1987" s="3"/>
    </row>
    <row r="1988" spans="1:4" x14ac:dyDescent="0.25">
      <c r="A1988" s="2" t="s">
        <v>2017</v>
      </c>
      <c r="B1988" s="2" t="s">
        <v>74</v>
      </c>
      <c r="C1988" s="31" t="str">
        <f>VLOOKUP(irregulares[[#This Row],[Similar a]],padroes[],2,0)</f>
        <v>GAR</v>
      </c>
      <c r="D1988" s="3"/>
    </row>
    <row r="1989" spans="1:4" x14ac:dyDescent="0.25">
      <c r="A1989" s="2" t="s">
        <v>2018</v>
      </c>
      <c r="B1989" s="2" t="s">
        <v>183</v>
      </c>
      <c r="C1989" s="31" t="str">
        <f>VLOOKUP(irregulares[[#This Row],[Similar a]],padroes[],2,0)</f>
        <v>E-X-IR</v>
      </c>
      <c r="D1989" s="3"/>
    </row>
    <row r="1990" spans="1:4" x14ac:dyDescent="0.25">
      <c r="A1990" s="2" t="s">
        <v>2019</v>
      </c>
      <c r="B1990" s="2" t="s">
        <v>44</v>
      </c>
      <c r="C1990" s="31" t="str">
        <f>VLOOKUP(irregulares[[#This Row],[Similar a]],padroes[],2,0)</f>
        <v>CAR</v>
      </c>
      <c r="D1990" s="3"/>
    </row>
    <row r="1991" spans="1:4" x14ac:dyDescent="0.25">
      <c r="A1991" s="2" t="s">
        <v>2020</v>
      </c>
      <c r="B1991" s="2" t="s">
        <v>267</v>
      </c>
      <c r="C1991" s="31" t="str">
        <f>VLOOKUP(irregulares[[#This Row],[Similar a]],padroes[],2,0)</f>
        <v>POR</v>
      </c>
      <c r="D1991" s="3"/>
    </row>
    <row r="1992" spans="1:4" x14ac:dyDescent="0.25">
      <c r="A1992" s="2" t="s">
        <v>2021</v>
      </c>
      <c r="B1992" s="2" t="s">
        <v>1887</v>
      </c>
      <c r="C1992" s="31" t="str">
        <f>VLOOKUP(irregulares[[#This Row],[Similar a]],padroes[],2,0)</f>
        <v>UZIR</v>
      </c>
      <c r="D1992" s="3"/>
    </row>
    <row r="1993" spans="1:4" x14ac:dyDescent="0.25">
      <c r="A1993" s="2" t="s">
        <v>2022</v>
      </c>
      <c r="B1993" s="2" t="s">
        <v>183</v>
      </c>
      <c r="C1993" s="31" t="str">
        <f>VLOOKUP(irregulares[[#This Row],[Similar a]],padroes[],2,0)</f>
        <v>E-X-IR</v>
      </c>
      <c r="D1993" s="3"/>
    </row>
    <row r="1994" spans="1:4" x14ac:dyDescent="0.25">
      <c r="A1994" s="2" t="s">
        <v>2023</v>
      </c>
      <c r="B1994" s="2" t="s">
        <v>183</v>
      </c>
      <c r="C1994" s="31" t="str">
        <f>VLOOKUP(irregulares[[#This Row],[Similar a]],padroes[],2,0)</f>
        <v>E-X-IR</v>
      </c>
      <c r="D1994" s="3"/>
    </row>
    <row r="1995" spans="1:4" x14ac:dyDescent="0.25">
      <c r="A1995" s="2" t="s">
        <v>2025</v>
      </c>
      <c r="B1995" s="2" t="s">
        <v>1717</v>
      </c>
      <c r="C1995" s="31" t="str">
        <f>VLOOKUP(irregulares[[#This Row],[Similar a]],padroes[],2,0)</f>
        <v>Defectivo 1</v>
      </c>
      <c r="D1995" s="3"/>
    </row>
    <row r="1996" spans="1:4" x14ac:dyDescent="0.25">
      <c r="A1996" s="2" t="s">
        <v>2026</v>
      </c>
      <c r="B1996" s="2" t="s">
        <v>1717</v>
      </c>
      <c r="C1996" s="31" t="str">
        <f>VLOOKUP(irregulares[[#This Row],[Similar a]],padroes[],2,0)</f>
        <v>Defectivo 1</v>
      </c>
      <c r="D1996" s="3"/>
    </row>
    <row r="1997" spans="1:4" x14ac:dyDescent="0.25">
      <c r="A1997" s="2" t="s">
        <v>2027</v>
      </c>
      <c r="B1997" s="2" t="s">
        <v>154</v>
      </c>
      <c r="C1997" s="31" t="str">
        <f>VLOOKUP(irregulares[[#This Row],[Similar a]],padroes[],2,0)</f>
        <v>GIR</v>
      </c>
      <c r="D1997" s="3"/>
    </row>
    <row r="1998" spans="1:4" x14ac:dyDescent="0.25">
      <c r="A1998" s="2" t="s">
        <v>2024</v>
      </c>
      <c r="B1998" s="2" t="s">
        <v>154</v>
      </c>
      <c r="C1998" s="31" t="str">
        <f>VLOOKUP(irregulares[[#This Row],[Similar a]],padroes[],2,0)</f>
        <v>GIR</v>
      </c>
      <c r="D1998" s="3"/>
    </row>
    <row r="1999" spans="1:4" x14ac:dyDescent="0.25">
      <c r="A1999" s="2" t="s">
        <v>2028</v>
      </c>
      <c r="B1999" s="2" t="s">
        <v>82</v>
      </c>
      <c r="C1999" s="31" t="str">
        <f>VLOOKUP(irregulares[[#This Row],[Similar a]],padroes[],2,0)</f>
        <v>UIR</v>
      </c>
      <c r="D1999" s="3"/>
    </row>
    <row r="2000" spans="1:4" x14ac:dyDescent="0.25">
      <c r="A2000" s="2" t="s">
        <v>2029</v>
      </c>
      <c r="B2000" s="2" t="s">
        <v>154</v>
      </c>
      <c r="C2000" s="31" t="str">
        <f>VLOOKUP(irregulares[[#This Row],[Similar a]],padroes[],2,0)</f>
        <v>GIR</v>
      </c>
      <c r="D2000" s="3"/>
    </row>
    <row r="2001" spans="1:4" x14ac:dyDescent="0.25">
      <c r="A2001" s="2" t="s">
        <v>2030</v>
      </c>
      <c r="B2001" s="2" t="s">
        <v>44</v>
      </c>
      <c r="C2001" s="31" t="str">
        <f>VLOOKUP(irregulares[[#This Row],[Similar a]],padroes[],2,0)</f>
        <v>CAR</v>
      </c>
      <c r="D2001" s="3"/>
    </row>
    <row r="2002" spans="1:4" x14ac:dyDescent="0.25">
      <c r="A2002" s="2" t="s">
        <v>2031</v>
      </c>
      <c r="B2002" s="2" t="s">
        <v>183</v>
      </c>
      <c r="C2002" s="31" t="str">
        <f>VLOOKUP(irregulares[[#This Row],[Similar a]],padroes[],2,0)</f>
        <v>E-X-IR</v>
      </c>
      <c r="D2002" s="3"/>
    </row>
    <row r="2003" spans="1:4" x14ac:dyDescent="0.25">
      <c r="A2003" s="2" t="s">
        <v>2032</v>
      </c>
      <c r="B2003" s="2" t="s">
        <v>1717</v>
      </c>
      <c r="C2003" s="31" t="str">
        <f>VLOOKUP(irregulares[[#This Row],[Similar a]],padroes[],2,0)</f>
        <v>Defectivo 1</v>
      </c>
      <c r="D2003" s="3"/>
    </row>
    <row r="2004" spans="1:4" x14ac:dyDescent="0.25">
      <c r="A2004" s="2" t="s">
        <v>2033</v>
      </c>
      <c r="B2004" s="2" t="s">
        <v>2363</v>
      </c>
      <c r="C2004" s="31" t="str">
        <f>VLOOKUP(irregulares[[#This Row],[Similar a]],padroes[],2,0)</f>
        <v>Abundante</v>
      </c>
      <c r="D2004" s="3"/>
    </row>
    <row r="2005" spans="1:4" x14ac:dyDescent="0.25">
      <c r="A2005" s="2" t="s">
        <v>2034</v>
      </c>
      <c r="B2005" s="2" t="s">
        <v>1717</v>
      </c>
      <c r="C2005" s="31" t="str">
        <f>VLOOKUP(irregulares[[#This Row],[Similar a]],padroes[],2,0)</f>
        <v>Defectivo 1</v>
      </c>
      <c r="D2005" s="3"/>
    </row>
    <row r="2006" spans="1:4" x14ac:dyDescent="0.25">
      <c r="A2006" s="2" t="s">
        <v>2035</v>
      </c>
      <c r="B2006" s="2" t="s">
        <v>2035</v>
      </c>
      <c r="C2006" s="31" t="str">
        <f>VLOOKUP(irregulares[[#This Row],[Similar a]],padroes[],2,0)</f>
        <v>E-X-IR</v>
      </c>
      <c r="D2006" s="3"/>
    </row>
    <row r="2007" spans="1:4" x14ac:dyDescent="0.25">
      <c r="A2007" s="2" t="s">
        <v>2036</v>
      </c>
      <c r="B2007" s="2" t="s">
        <v>74</v>
      </c>
      <c r="C2007" s="31" t="str">
        <f>VLOOKUP(irregulares[[#This Row],[Similar a]],padroes[],2,0)</f>
        <v>GAR</v>
      </c>
      <c r="D2007" s="3"/>
    </row>
    <row r="2008" spans="1:4" x14ac:dyDescent="0.25">
      <c r="A2008" s="2" t="s">
        <v>2037</v>
      </c>
      <c r="B2008" s="2" t="s">
        <v>82</v>
      </c>
      <c r="C2008" s="31" t="str">
        <f>VLOOKUP(irregulares[[#This Row],[Similar a]],padroes[],2,0)</f>
        <v>UIR</v>
      </c>
      <c r="D2008" s="3"/>
    </row>
    <row r="2009" spans="1:4" x14ac:dyDescent="0.25">
      <c r="A2009" s="2" t="s">
        <v>2038</v>
      </c>
      <c r="B2009" s="2" t="s">
        <v>82</v>
      </c>
      <c r="C2009" s="31" t="str">
        <f>VLOOKUP(irregulares[[#This Row],[Similar a]],padroes[],2,0)</f>
        <v>UIR</v>
      </c>
      <c r="D2009" s="3"/>
    </row>
    <row r="2010" spans="1:4" x14ac:dyDescent="0.25">
      <c r="A2010" s="2" t="s">
        <v>2039</v>
      </c>
      <c r="B2010" s="2" t="s">
        <v>154</v>
      </c>
      <c r="C2010" s="31" t="str">
        <f>VLOOKUP(irregulares[[#This Row],[Similar a]],padroes[],2,0)</f>
        <v>GIR</v>
      </c>
      <c r="D2010" s="3"/>
    </row>
    <row r="2011" spans="1:4" x14ac:dyDescent="0.25">
      <c r="A2011" s="2" t="s">
        <v>2040</v>
      </c>
      <c r="B2011" s="2" t="s">
        <v>42</v>
      </c>
      <c r="C2011" s="31" t="str">
        <f>VLOOKUP(irregulares[[#This Row],[Similar a]],padroes[],2,0)</f>
        <v>ÇAR</v>
      </c>
      <c r="D2011" s="3"/>
    </row>
    <row r="2012" spans="1:4" x14ac:dyDescent="0.25">
      <c r="A2012" s="2" t="s">
        <v>2041</v>
      </c>
      <c r="B2012" s="2" t="s">
        <v>44</v>
      </c>
      <c r="C2012" s="31" t="str">
        <f>VLOOKUP(irregulares[[#This Row],[Similar a]],padroes[],2,0)</f>
        <v>CAR</v>
      </c>
      <c r="D2012" s="3"/>
    </row>
    <row r="2013" spans="1:4" x14ac:dyDescent="0.25">
      <c r="A2013" s="2" t="s">
        <v>2042</v>
      </c>
      <c r="B2013" s="2" t="s">
        <v>154</v>
      </c>
      <c r="C2013" s="31" t="str">
        <f>VLOOKUP(irregulares[[#This Row],[Similar a]],padroes[],2,0)</f>
        <v>GIR</v>
      </c>
      <c r="D2013" s="3"/>
    </row>
    <row r="2014" spans="1:4" x14ac:dyDescent="0.25">
      <c r="A2014" s="2" t="s">
        <v>2043</v>
      </c>
      <c r="B2014" s="2" t="s">
        <v>44</v>
      </c>
      <c r="C2014" s="31" t="str">
        <f>VLOOKUP(irregulares[[#This Row],[Similar a]],padroes[],2,0)</f>
        <v>CAR</v>
      </c>
      <c r="D2014" s="3"/>
    </row>
    <row r="2015" spans="1:4" x14ac:dyDescent="0.25">
      <c r="A2015" s="2" t="s">
        <v>2044</v>
      </c>
      <c r="B2015" s="2" t="s">
        <v>419</v>
      </c>
      <c r="C2015" s="31" t="str">
        <f>VLOOKUP(irregulares[[#This Row],[Similar a]],padroes[],2,0)</f>
        <v>DIZER</v>
      </c>
      <c r="D2015" s="3"/>
    </row>
    <row r="2016" spans="1:4" x14ac:dyDescent="0.25">
      <c r="A2016" s="2" t="s">
        <v>2045</v>
      </c>
      <c r="B2016" s="2" t="s">
        <v>55</v>
      </c>
      <c r="C2016" s="31" t="str">
        <f>VLOOKUP(irregulares[[#This Row],[Similar a]],padroes[],2,0)</f>
        <v>EJAR ô</v>
      </c>
      <c r="D2016" s="3"/>
    </row>
    <row r="2017" spans="1:4" x14ac:dyDescent="0.25">
      <c r="A2017" s="2" t="s">
        <v>2046</v>
      </c>
      <c r="B2017" s="2" t="s">
        <v>183</v>
      </c>
      <c r="C2017" s="31" t="str">
        <f>VLOOKUP(irregulares[[#This Row],[Similar a]],padroes[],2,0)</f>
        <v>E-X-IR</v>
      </c>
      <c r="D2017" s="3"/>
    </row>
    <row r="2018" spans="1:4" x14ac:dyDescent="0.25">
      <c r="A2018" s="2" t="s">
        <v>2047</v>
      </c>
      <c r="B2018" s="2" t="s">
        <v>42</v>
      </c>
      <c r="C2018" s="31" t="str">
        <f>VLOOKUP(irregulares[[#This Row],[Similar a]],padroes[],2,0)</f>
        <v>ÇAR</v>
      </c>
      <c r="D2018" s="3"/>
    </row>
    <row r="2019" spans="1:4" x14ac:dyDescent="0.25">
      <c r="A2019" s="2" t="s">
        <v>2048</v>
      </c>
      <c r="B2019" s="2" t="s">
        <v>74</v>
      </c>
      <c r="C2019" s="31" t="str">
        <f>VLOOKUP(irregulares[[#This Row],[Similar a]],padroes[],2,0)</f>
        <v>GAR</v>
      </c>
      <c r="D2019" s="3"/>
    </row>
    <row r="2020" spans="1:4" x14ac:dyDescent="0.25">
      <c r="A2020" s="2" t="s">
        <v>2049</v>
      </c>
      <c r="B2020" s="2" t="s">
        <v>53</v>
      </c>
      <c r="C2020" s="31" t="str">
        <f>VLOOKUP(irregulares[[#This Row],[Similar a]],padroes[],2,0)</f>
        <v>EAR</v>
      </c>
      <c r="D2020" s="3"/>
    </row>
    <row r="2021" spans="1:4" x14ac:dyDescent="0.25">
      <c r="A2021" s="2" t="s">
        <v>2050</v>
      </c>
      <c r="B2021" s="2" t="s">
        <v>417</v>
      </c>
      <c r="C2021" s="31" t="str">
        <f>VLOOKUP(irregulares[[#This Row],[Similar a]],padroes[],2,0)</f>
        <v>IAR</v>
      </c>
      <c r="D2021" s="3"/>
    </row>
    <row r="2022" spans="1:4" x14ac:dyDescent="0.25">
      <c r="A2022" s="2" t="s">
        <v>2052</v>
      </c>
      <c r="B2022" s="2" t="s">
        <v>267</v>
      </c>
      <c r="C2022" s="31" t="str">
        <f>VLOOKUP(irregulares[[#This Row],[Similar a]],padroes[],2,0)</f>
        <v>POR</v>
      </c>
      <c r="D2022" s="3"/>
    </row>
    <row r="2023" spans="1:4" x14ac:dyDescent="0.25">
      <c r="A2023" s="2" t="s">
        <v>2053</v>
      </c>
      <c r="B2023" s="2" t="s">
        <v>74</v>
      </c>
      <c r="C2023" s="31" t="str">
        <f>VLOOKUP(irregulares[[#This Row],[Similar a]],padroes[],2,0)</f>
        <v>GAR</v>
      </c>
      <c r="D2023" s="3"/>
    </row>
    <row r="2024" spans="1:4" x14ac:dyDescent="0.25">
      <c r="A2024" s="2" t="s">
        <v>2054</v>
      </c>
      <c r="B2024" s="2" t="s">
        <v>183</v>
      </c>
      <c r="C2024" s="31" t="str">
        <f>VLOOKUP(irregulares[[#This Row],[Similar a]],padroes[],2,0)</f>
        <v>E-X-IR</v>
      </c>
      <c r="D2024" s="3"/>
    </row>
    <row r="2025" spans="1:4" x14ac:dyDescent="0.25">
      <c r="A2025" s="2" t="s">
        <v>2055</v>
      </c>
      <c r="B2025" s="2" t="s">
        <v>63</v>
      </c>
      <c r="C2025" s="31" t="str">
        <f>VLOOKUP(irregulares[[#This Row],[Similar a]],padroes[],2,0)</f>
        <v>CER</v>
      </c>
      <c r="D2025" s="3"/>
    </row>
    <row r="2026" spans="1:4" x14ac:dyDescent="0.25">
      <c r="A2026" s="2" t="s">
        <v>2056</v>
      </c>
      <c r="B2026" s="2" t="s">
        <v>250</v>
      </c>
      <c r="C2026" s="31" t="str">
        <f>VLOOKUP(irregulares[[#This Row],[Similar a]],padroes[],2,0)</f>
        <v>VER</v>
      </c>
      <c r="D2026" s="3"/>
    </row>
    <row r="2027" spans="1:4" x14ac:dyDescent="0.25">
      <c r="A2027" s="2" t="s">
        <v>2057</v>
      </c>
      <c r="B2027" s="2" t="s">
        <v>247</v>
      </c>
      <c r="C2027" s="31" t="str">
        <f>VLOOKUP(irregulares[[#This Row],[Similar a]],padroes[],2,0)</f>
        <v>VIR</v>
      </c>
      <c r="D2027" s="3"/>
    </row>
    <row r="2028" spans="1:4" x14ac:dyDescent="0.25">
      <c r="A2028" s="2" t="s">
        <v>2058</v>
      </c>
      <c r="B2028" s="2" t="s">
        <v>44</v>
      </c>
      <c r="C2028" s="31" t="str">
        <f>VLOOKUP(irregulares[[#This Row],[Similar a]],padroes[],2,0)</f>
        <v>CAR</v>
      </c>
      <c r="D2028" s="3"/>
    </row>
    <row r="2029" spans="1:4" x14ac:dyDescent="0.25">
      <c r="A2029" s="2" t="s">
        <v>2059</v>
      </c>
      <c r="B2029" s="2" t="s">
        <v>44</v>
      </c>
      <c r="C2029" s="31" t="str">
        <f>VLOOKUP(irregulares[[#This Row],[Similar a]],padroes[],2,0)</f>
        <v>CAR</v>
      </c>
      <c r="D2029" s="3"/>
    </row>
    <row r="2030" spans="1:4" x14ac:dyDescent="0.25">
      <c r="A2030" s="2" t="s">
        <v>2060</v>
      </c>
      <c r="B2030" s="2" t="s">
        <v>74</v>
      </c>
      <c r="C2030" s="31" t="str">
        <f>VLOOKUP(irregulares[[#This Row],[Similar a]],padroes[],2,0)</f>
        <v>GAR</v>
      </c>
      <c r="D2030" s="3"/>
    </row>
    <row r="2031" spans="1:4" x14ac:dyDescent="0.25">
      <c r="A2031" s="2" t="s">
        <v>2061</v>
      </c>
      <c r="B2031" s="2" t="s">
        <v>44</v>
      </c>
      <c r="C2031" s="31" t="str">
        <f>VLOOKUP(irregulares[[#This Row],[Similar a]],padroes[],2,0)</f>
        <v>CAR</v>
      </c>
      <c r="D2031" s="3"/>
    </row>
    <row r="2032" spans="1:4" x14ac:dyDescent="0.25">
      <c r="A2032" s="2" t="s">
        <v>2062</v>
      </c>
      <c r="B2032" s="2" t="s">
        <v>1887</v>
      </c>
      <c r="C2032" s="31" t="str">
        <f>VLOOKUP(irregulares[[#This Row],[Similar a]],padroes[],2,0)</f>
        <v>UZIR</v>
      </c>
      <c r="D2032" s="3"/>
    </row>
    <row r="2033" spans="1:4" x14ac:dyDescent="0.25">
      <c r="A2033" s="2" t="s">
        <v>2063</v>
      </c>
      <c r="B2033" s="2" t="s">
        <v>82</v>
      </c>
      <c r="C2033" s="31" t="str">
        <f>VLOOKUP(irregulares[[#This Row],[Similar a]],padroes[],2,0)</f>
        <v>UIR</v>
      </c>
      <c r="D2033" s="3"/>
    </row>
    <row r="2034" spans="1:4" x14ac:dyDescent="0.25">
      <c r="A2034" s="2" t="s">
        <v>2064</v>
      </c>
      <c r="B2034" s="2" t="s">
        <v>63</v>
      </c>
      <c r="C2034" s="31" t="str">
        <f>VLOOKUP(irregulares[[#This Row],[Similar a]],padroes[],2,0)</f>
        <v>CER</v>
      </c>
      <c r="D2034" s="3"/>
    </row>
    <row r="2035" spans="1:4" x14ac:dyDescent="0.25">
      <c r="A2035" s="2" t="s">
        <v>2065</v>
      </c>
      <c r="B2035" s="2" t="s">
        <v>63</v>
      </c>
      <c r="C2035" s="31" t="str">
        <f>VLOOKUP(irregulares[[#This Row],[Similar a]],padroes[],2,0)</f>
        <v>CER</v>
      </c>
      <c r="D2035" s="3"/>
    </row>
    <row r="2036" spans="1:4" x14ac:dyDescent="0.25">
      <c r="A2036" s="2" t="s">
        <v>2066</v>
      </c>
      <c r="B2036" s="2" t="s">
        <v>63</v>
      </c>
      <c r="C2036" s="31" t="str">
        <f>VLOOKUP(irregulares[[#This Row],[Similar a]],padroes[],2,0)</f>
        <v>CER</v>
      </c>
      <c r="D2036" s="3"/>
    </row>
    <row r="2037" spans="1:4" x14ac:dyDescent="0.25">
      <c r="A2037" s="2" t="s">
        <v>113</v>
      </c>
      <c r="B2037" s="2" t="s">
        <v>113</v>
      </c>
      <c r="C2037" s="31" t="str">
        <f>VLOOKUP(irregulares[[#This Row],[Similar a]],padroes[],2,0)</f>
        <v>EJAR ó</v>
      </c>
      <c r="D2037" s="3"/>
    </row>
    <row r="2038" spans="1:4" x14ac:dyDescent="0.25">
      <c r="A2038" s="2" t="s">
        <v>2067</v>
      </c>
      <c r="B2038" s="2" t="s">
        <v>74</v>
      </c>
      <c r="C2038" s="31" t="str">
        <f>VLOOKUP(irregulares[[#This Row],[Similar a]],padroes[],2,0)</f>
        <v>GAR</v>
      </c>
      <c r="D2038" s="3"/>
    </row>
    <row r="2039" spans="1:4" x14ac:dyDescent="0.25">
      <c r="A2039" s="2" t="s">
        <v>2068</v>
      </c>
      <c r="B2039" s="2" t="s">
        <v>2069</v>
      </c>
      <c r="C2039" s="31" t="str">
        <f>VLOOKUP(irregulares[[#This Row],[Similar a]],padroes[],2,0)</f>
        <v>E-X-IR</v>
      </c>
      <c r="D2039" s="3"/>
    </row>
    <row r="2040" spans="1:4" x14ac:dyDescent="0.25">
      <c r="A2040" s="2" t="s">
        <v>2070</v>
      </c>
      <c r="B2040" s="2" t="s">
        <v>44</v>
      </c>
      <c r="C2040" s="31" t="str">
        <f>VLOOKUP(irregulares[[#This Row],[Similar a]],padroes[],2,0)</f>
        <v>CAR</v>
      </c>
      <c r="D2040" s="3"/>
    </row>
    <row r="2041" spans="1:4" x14ac:dyDescent="0.25">
      <c r="A2041" s="2" t="s">
        <v>257</v>
      </c>
      <c r="B2041" s="2" t="s">
        <v>257</v>
      </c>
      <c r="C2041" s="31" t="str">
        <f>VLOOKUP(irregulares[[#This Row],[Similar a]],padroes[],2,0)</f>
        <v>IR</v>
      </c>
      <c r="D2041" s="3"/>
    </row>
    <row r="2042" spans="1:4" x14ac:dyDescent="0.25">
      <c r="A2042" s="2" t="s">
        <v>2071</v>
      </c>
      <c r="B2042" s="2" t="s">
        <v>74</v>
      </c>
      <c r="C2042" s="31" t="str">
        <f>VLOOKUP(irregulares[[#This Row],[Similar a]],padroes[],2,0)</f>
        <v>GAR</v>
      </c>
      <c r="D2042" s="3"/>
    </row>
    <row r="2043" spans="1:4" x14ac:dyDescent="0.25">
      <c r="A2043" s="2" t="s">
        <v>2072</v>
      </c>
      <c r="B2043" s="2" t="s">
        <v>74</v>
      </c>
      <c r="C2043" s="31" t="str">
        <f>VLOOKUP(irregulares[[#This Row],[Similar a]],padroes[],2,0)</f>
        <v>GAR</v>
      </c>
      <c r="D2043" s="3"/>
    </row>
    <row r="2044" spans="1:4" x14ac:dyDescent="0.25">
      <c r="A2044" s="2" t="s">
        <v>2073</v>
      </c>
      <c r="B2044" s="2" t="s">
        <v>44</v>
      </c>
      <c r="C2044" s="31" t="str">
        <f>VLOOKUP(irregulares[[#This Row],[Similar a]],padroes[],2,0)</f>
        <v>CAR</v>
      </c>
      <c r="D2044" s="3"/>
    </row>
    <row r="2045" spans="1:4" x14ac:dyDescent="0.25">
      <c r="A2045" s="2" t="s">
        <v>1396</v>
      </c>
      <c r="B2045" s="2" t="s">
        <v>53</v>
      </c>
      <c r="C2045" s="31" t="str">
        <f>VLOOKUP(irregulares[[#This Row],[Similar a]],padroes[],2,0)</f>
        <v>EAR</v>
      </c>
      <c r="D2045" s="3"/>
    </row>
    <row r="2046" spans="1:4" x14ac:dyDescent="0.25">
      <c r="A2046" s="2" t="s">
        <v>1397</v>
      </c>
      <c r="B2046" s="2" t="s">
        <v>53</v>
      </c>
      <c r="C2046" s="31" t="str">
        <f>VLOOKUP(irregulares[[#This Row],[Similar a]],padroes[],2,0)</f>
        <v>EAR</v>
      </c>
      <c r="D2046" s="3"/>
    </row>
    <row r="2047" spans="1:4" x14ac:dyDescent="0.25">
      <c r="A2047" s="2" t="s">
        <v>1398</v>
      </c>
      <c r="B2047" s="2" t="s">
        <v>74</v>
      </c>
      <c r="C2047" s="31" t="str">
        <f>VLOOKUP(irregulares[[#This Row],[Similar a]],padroes[],2,0)</f>
        <v>GAR</v>
      </c>
      <c r="D2047" s="3"/>
    </row>
    <row r="2048" spans="1:4" x14ac:dyDescent="0.25">
      <c r="A2048" s="2" t="s">
        <v>1399</v>
      </c>
      <c r="B2048" s="2" t="s">
        <v>53</v>
      </c>
      <c r="C2048" s="31" t="str">
        <f>VLOOKUP(irregulares[[#This Row],[Similar a]],padroes[],2,0)</f>
        <v>EAR</v>
      </c>
      <c r="D2048" s="3"/>
    </row>
    <row r="2049" spans="1:4" x14ac:dyDescent="0.25">
      <c r="A2049" s="2" t="s">
        <v>1400</v>
      </c>
      <c r="B2049" s="2" t="s">
        <v>74</v>
      </c>
      <c r="C2049" s="31" t="str">
        <f>VLOOKUP(irregulares[[#This Row],[Similar a]],padroes[],2,0)</f>
        <v>GAR</v>
      </c>
      <c r="D2049" s="3"/>
    </row>
    <row r="2050" spans="1:4" x14ac:dyDescent="0.25">
      <c r="A2050" s="2" t="s">
        <v>1401</v>
      </c>
      <c r="B2050" s="2" t="s">
        <v>53</v>
      </c>
      <c r="C2050" s="31" t="str">
        <f>VLOOKUP(irregulares[[#This Row],[Similar a]],padroes[],2,0)</f>
        <v>EAR</v>
      </c>
      <c r="D2050" s="3"/>
    </row>
    <row r="2051" spans="1:4" x14ac:dyDescent="0.25">
      <c r="A2051" s="2" t="s">
        <v>1402</v>
      </c>
      <c r="B2051" s="2" t="s">
        <v>74</v>
      </c>
      <c r="C2051" s="31" t="str">
        <f>VLOOKUP(irregulares[[#This Row],[Similar a]],padroes[],2,0)</f>
        <v>GAR</v>
      </c>
      <c r="D2051" s="3"/>
    </row>
    <row r="2052" spans="1:4" x14ac:dyDescent="0.25">
      <c r="A2052" s="2" t="s">
        <v>1403</v>
      </c>
      <c r="B2052" s="2" t="s">
        <v>74</v>
      </c>
      <c r="C2052" s="31" t="str">
        <f>VLOOKUP(irregulares[[#This Row],[Similar a]],padroes[],2,0)</f>
        <v>GAR</v>
      </c>
      <c r="D2052" s="3"/>
    </row>
    <row r="2053" spans="1:4" x14ac:dyDescent="0.25">
      <c r="A2053" s="2" t="s">
        <v>1404</v>
      </c>
      <c r="B2053" s="2" t="s">
        <v>44</v>
      </c>
      <c r="C2053" s="31" t="str">
        <f>VLOOKUP(irregulares[[#This Row],[Similar a]],padroes[],2,0)</f>
        <v>CAR</v>
      </c>
      <c r="D2053" s="3"/>
    </row>
    <row r="2054" spans="1:4" x14ac:dyDescent="0.25">
      <c r="A2054" s="2" t="s">
        <v>76</v>
      </c>
      <c r="B2054" s="2" t="s">
        <v>1717</v>
      </c>
      <c r="C2054" s="31" t="str">
        <f>VLOOKUP(irregulares[[#This Row],[Similar a]],padroes[],2,0)</f>
        <v>Defectivo 1</v>
      </c>
      <c r="D2054" s="3"/>
    </row>
    <row r="2055" spans="1:4" x14ac:dyDescent="0.25">
      <c r="A2055" s="2" t="s">
        <v>1405</v>
      </c>
      <c r="B2055" s="2" t="s">
        <v>267</v>
      </c>
      <c r="C2055" s="31" t="str">
        <f>VLOOKUP(irregulares[[#This Row],[Similar a]],padroes[],2,0)</f>
        <v>POR</v>
      </c>
      <c r="D2055" s="3"/>
    </row>
    <row r="2056" spans="1:4" x14ac:dyDescent="0.25">
      <c r="A2056" s="2" t="s">
        <v>1406</v>
      </c>
      <c r="B2056" s="2" t="s">
        <v>42</v>
      </c>
      <c r="C2056" s="31" t="str">
        <f>VLOOKUP(irregulares[[#This Row],[Similar a]],padroes[],2,0)</f>
        <v>ÇAR</v>
      </c>
      <c r="D2056" s="3"/>
    </row>
    <row r="2057" spans="1:4" x14ac:dyDescent="0.25">
      <c r="A2057" s="2" t="s">
        <v>1407</v>
      </c>
      <c r="B2057" s="2" t="s">
        <v>44</v>
      </c>
      <c r="C2057" s="31" t="str">
        <f>VLOOKUP(irregulares[[#This Row],[Similar a]],padroes[],2,0)</f>
        <v>CAR</v>
      </c>
      <c r="D2057" s="3"/>
    </row>
    <row r="2058" spans="1:4" x14ac:dyDescent="0.25">
      <c r="A2058" s="2" t="s">
        <v>1408</v>
      </c>
      <c r="B2058" s="2" t="s">
        <v>63</v>
      </c>
      <c r="C2058" s="31" t="str">
        <f>VLOOKUP(irregulares[[#This Row],[Similar a]],padroes[],2,0)</f>
        <v>CER</v>
      </c>
      <c r="D2058" s="3"/>
    </row>
    <row r="2059" spans="1:4" x14ac:dyDescent="0.25">
      <c r="A2059" s="2" t="s">
        <v>1561</v>
      </c>
      <c r="B2059" s="2" t="s">
        <v>53</v>
      </c>
      <c r="C2059" s="31" t="str">
        <f>VLOOKUP(irregulares[[#This Row],[Similar a]],padroes[],2,0)</f>
        <v>EAR</v>
      </c>
      <c r="D2059" s="3"/>
    </row>
    <row r="2060" spans="1:4" x14ac:dyDescent="0.25">
      <c r="A2060" s="2" t="s">
        <v>42</v>
      </c>
      <c r="B2060" s="2" t="s">
        <v>42</v>
      </c>
      <c r="C2060" s="2" t="str">
        <f>VLOOKUP(irregulares[[#This Row],[Similar a]],padroes[],2,0)</f>
        <v>ÇAR</v>
      </c>
      <c r="D2060" s="3"/>
    </row>
    <row r="2061" spans="1:4" x14ac:dyDescent="0.25">
      <c r="A2061" s="2" t="s">
        <v>1562</v>
      </c>
      <c r="B2061" s="2" t="s">
        <v>53</v>
      </c>
      <c r="C2061" s="31" t="str">
        <f>VLOOKUP(irregulares[[#This Row],[Similar a]],padroes[],2,0)</f>
        <v>EAR</v>
      </c>
      <c r="D2061" s="3"/>
    </row>
    <row r="2062" spans="1:4" x14ac:dyDescent="0.25">
      <c r="A2062" s="2" t="s">
        <v>1563</v>
      </c>
      <c r="B2062" s="2" t="s">
        <v>55</v>
      </c>
      <c r="C2062" s="31" t="str">
        <f>VLOOKUP(irregulares[[#This Row],[Similar a]],padroes[],2,0)</f>
        <v>EJAR ô</v>
      </c>
      <c r="D2062" s="3"/>
    </row>
    <row r="2063" spans="1:4" x14ac:dyDescent="0.25">
      <c r="A2063" s="2" t="s">
        <v>1564</v>
      </c>
      <c r="B2063" s="2" t="s">
        <v>53</v>
      </c>
      <c r="C2063" s="31" t="str">
        <f>VLOOKUP(irregulares[[#This Row],[Similar a]],padroes[],2,0)</f>
        <v>EAR</v>
      </c>
      <c r="D2063" s="3"/>
    </row>
    <row r="2064" spans="1:4" x14ac:dyDescent="0.25">
      <c r="A2064" s="2" t="s">
        <v>1565</v>
      </c>
      <c r="B2064" s="2" t="s">
        <v>55</v>
      </c>
      <c r="C2064" s="31" t="str">
        <f>VLOOKUP(irregulares[[#This Row],[Similar a]],padroes[],2,0)</f>
        <v>EJAR ô</v>
      </c>
      <c r="D2064" s="3"/>
    </row>
    <row r="2065" spans="1:4" x14ac:dyDescent="0.25">
      <c r="A2065" s="2" t="s">
        <v>1566</v>
      </c>
      <c r="B2065" s="2" t="s">
        <v>49</v>
      </c>
      <c r="C2065" s="31" t="str">
        <f>VLOOKUP(irregulares[[#This Row],[Similar a]],padroes[],2,0)</f>
        <v>OAR</v>
      </c>
      <c r="D2065" s="3"/>
    </row>
    <row r="2066" spans="1:4" x14ac:dyDescent="0.25">
      <c r="A2066" s="2" t="s">
        <v>1567</v>
      </c>
      <c r="B2066" s="2" t="s">
        <v>53</v>
      </c>
      <c r="C2066" s="31" t="str">
        <f>VLOOKUP(irregulares[[#This Row],[Similar a]],padroes[],2,0)</f>
        <v>EAR</v>
      </c>
      <c r="D2066" s="3"/>
    </row>
    <row r="2067" spans="1:4" x14ac:dyDescent="0.25">
      <c r="A2067" s="2" t="s">
        <v>1568</v>
      </c>
      <c r="B2067" s="2" t="s">
        <v>55</v>
      </c>
      <c r="C2067" s="31" t="str">
        <f>VLOOKUP(irregulares[[#This Row],[Similar a]],padroes[],2,0)</f>
        <v>EJAR ô</v>
      </c>
      <c r="D2067" s="3"/>
    </row>
    <row r="2068" spans="1:4" x14ac:dyDescent="0.25">
      <c r="A2068" s="2" t="s">
        <v>1569</v>
      </c>
      <c r="B2068" s="2" t="s">
        <v>44</v>
      </c>
      <c r="C2068" s="31" t="str">
        <f>VLOOKUP(irregulares[[#This Row],[Similar a]],padroes[],2,0)</f>
        <v>CAR</v>
      </c>
      <c r="D2068" s="3"/>
    </row>
    <row r="2069" spans="1:4" x14ac:dyDescent="0.25">
      <c r="A2069" s="2" t="s">
        <v>1570</v>
      </c>
      <c r="B2069" s="2" t="s">
        <v>53</v>
      </c>
      <c r="C2069" s="31" t="str">
        <f>VLOOKUP(irregulares[[#This Row],[Similar a]],padroes[],2,0)</f>
        <v>EAR</v>
      </c>
      <c r="D2069" s="3"/>
    </row>
    <row r="2070" spans="1:4" x14ac:dyDescent="0.25">
      <c r="A2070" s="2" t="s">
        <v>1571</v>
      </c>
      <c r="B2070" s="2" t="s">
        <v>53</v>
      </c>
      <c r="C2070" s="31" t="str">
        <f>VLOOKUP(irregulares[[#This Row],[Similar a]],padroes[],2,0)</f>
        <v>EAR</v>
      </c>
      <c r="D2070" s="3"/>
    </row>
    <row r="2071" spans="1:4" x14ac:dyDescent="0.25">
      <c r="A2071" s="2" t="s">
        <v>1572</v>
      </c>
      <c r="B2071" s="2" t="s">
        <v>53</v>
      </c>
      <c r="C2071" s="31" t="str">
        <f>VLOOKUP(irregulares[[#This Row],[Similar a]],padroes[],2,0)</f>
        <v>EAR</v>
      </c>
      <c r="D2071" s="3"/>
    </row>
    <row r="2072" spans="1:4" x14ac:dyDescent="0.25">
      <c r="A2072" s="2" t="s">
        <v>1573</v>
      </c>
      <c r="B2072" s="2" t="s">
        <v>44</v>
      </c>
      <c r="C2072" s="31" t="str">
        <f>VLOOKUP(irregulares[[#This Row],[Similar a]],padroes[],2,0)</f>
        <v>CAR</v>
      </c>
      <c r="D2072" s="3"/>
    </row>
    <row r="2073" spans="1:4" x14ac:dyDescent="0.25">
      <c r="A2073" s="2" t="s">
        <v>1574</v>
      </c>
      <c r="B2073" s="2" t="s">
        <v>44</v>
      </c>
      <c r="C2073" s="31" t="str">
        <f>VLOOKUP(irregulares[[#This Row],[Similar a]],padroes[],2,0)</f>
        <v>CAR</v>
      </c>
      <c r="D2073" s="3"/>
    </row>
    <row r="2074" spans="1:4" x14ac:dyDescent="0.25">
      <c r="A2074" s="2" t="s">
        <v>1575</v>
      </c>
      <c r="B2074" s="2" t="s">
        <v>60</v>
      </c>
      <c r="C2074" s="31" t="str">
        <f>VLOOKUP(irregulares[[#This Row],[Similar a]],padroes[],2,0)</f>
        <v>GAR</v>
      </c>
      <c r="D2074" s="3"/>
    </row>
    <row r="2075" spans="1:4" x14ac:dyDescent="0.25">
      <c r="A2075" s="2" t="s">
        <v>1576</v>
      </c>
      <c r="B2075" s="2" t="s">
        <v>42</v>
      </c>
      <c r="C2075" s="31" t="str">
        <f>VLOOKUP(irregulares[[#This Row],[Similar a]],padroes[],2,0)</f>
        <v>ÇAR</v>
      </c>
      <c r="D2075" s="3"/>
    </row>
    <row r="2076" spans="1:4" x14ac:dyDescent="0.25">
      <c r="A2076" s="2" t="s">
        <v>1577</v>
      </c>
      <c r="B2076" s="2" t="s">
        <v>1604</v>
      </c>
      <c r="C2076" s="31" t="str">
        <f>VLOOKUP(irregulares[[#This Row],[Similar a]],padroes[],2,0)</f>
        <v>Defectivo 3</v>
      </c>
      <c r="D2076" s="3"/>
    </row>
    <row r="2077" spans="1:4" x14ac:dyDescent="0.25">
      <c r="A2077" s="2" t="s">
        <v>1578</v>
      </c>
      <c r="B2077" s="2" t="s">
        <v>55</v>
      </c>
      <c r="C2077" s="31" t="str">
        <f>VLOOKUP(irregulares[[#This Row],[Similar a]],padroes[],2,0)</f>
        <v>EJAR ô</v>
      </c>
      <c r="D2077" s="3"/>
    </row>
    <row r="2078" spans="1:4" x14ac:dyDescent="0.25">
      <c r="A2078" s="2" t="s">
        <v>1579</v>
      </c>
      <c r="B2078" s="2" t="s">
        <v>42</v>
      </c>
      <c r="C2078" s="31" t="str">
        <f>VLOOKUP(irregulares[[#This Row],[Similar a]],padroes[],2,0)</f>
        <v>ÇAR</v>
      </c>
      <c r="D2078" s="3"/>
    </row>
    <row r="2079" spans="1:4" x14ac:dyDescent="0.25">
      <c r="A2079" s="2" t="s">
        <v>1580</v>
      </c>
      <c r="B2079" s="2" t="s">
        <v>53</v>
      </c>
      <c r="C2079" s="31" t="str">
        <f>VLOOKUP(irregulares[[#This Row],[Similar a]],padroes[],2,0)</f>
        <v>EAR</v>
      </c>
      <c r="D2079" s="3"/>
    </row>
    <row r="2080" spans="1:4" x14ac:dyDescent="0.25">
      <c r="A2080" s="2" t="s">
        <v>1581</v>
      </c>
      <c r="B2080" s="2" t="s">
        <v>63</v>
      </c>
      <c r="C2080" s="31" t="str">
        <f>VLOOKUP(irregulares[[#This Row],[Similar a]],padroes[],2,0)</f>
        <v>CER</v>
      </c>
      <c r="D2080" s="3"/>
    </row>
    <row r="2081" spans="1:4" x14ac:dyDescent="0.25">
      <c r="A2081" s="2" t="s">
        <v>1582</v>
      </c>
      <c r="B2081" s="2" t="s">
        <v>1717</v>
      </c>
      <c r="C2081" s="31" t="str">
        <f>VLOOKUP(irregulares[[#This Row],[Similar a]],padroes[],2,0)</f>
        <v>Defectivo 1</v>
      </c>
      <c r="D2081" s="3"/>
    </row>
    <row r="2082" spans="1:4" x14ac:dyDescent="0.25">
      <c r="A2082" s="2" t="s">
        <v>1583</v>
      </c>
      <c r="B2082" s="2" t="s">
        <v>53</v>
      </c>
      <c r="C2082" s="31" t="str">
        <f>VLOOKUP(irregulares[[#This Row],[Similar a]],padroes[],2,0)</f>
        <v>EAR</v>
      </c>
      <c r="D2082" s="3"/>
    </row>
    <row r="2083" spans="1:4" x14ac:dyDescent="0.25">
      <c r="A2083" s="2" t="s">
        <v>1584</v>
      </c>
      <c r="B2083" s="2" t="s">
        <v>44</v>
      </c>
      <c r="C2083" s="31" t="str">
        <f>VLOOKUP(irregulares[[#This Row],[Similar a]],padroes[],2,0)</f>
        <v>CAR</v>
      </c>
      <c r="D2083" s="3"/>
    </row>
    <row r="2084" spans="1:4" x14ac:dyDescent="0.25">
      <c r="A2084" s="2" t="s">
        <v>1585</v>
      </c>
      <c r="B2084" s="2" t="s">
        <v>53</v>
      </c>
      <c r="C2084" s="31" t="str">
        <f>VLOOKUP(irregulares[[#This Row],[Similar a]],padroes[],2,0)</f>
        <v>EAR</v>
      </c>
      <c r="D2084" s="3"/>
    </row>
    <row r="2085" spans="1:4" x14ac:dyDescent="0.25">
      <c r="A2085" s="2" t="s">
        <v>1586</v>
      </c>
      <c r="B2085" s="2" t="s">
        <v>53</v>
      </c>
      <c r="C2085" s="31" t="str">
        <f>VLOOKUP(irregulares[[#This Row],[Similar a]],padroes[],2,0)</f>
        <v>EAR</v>
      </c>
      <c r="D2085" s="3"/>
    </row>
    <row r="2086" spans="1:4" x14ac:dyDescent="0.25">
      <c r="A2086" s="2" t="s">
        <v>1587</v>
      </c>
      <c r="B2086" s="2" t="s">
        <v>53</v>
      </c>
      <c r="C2086" s="31" t="str">
        <f>VLOOKUP(irregulares[[#This Row],[Similar a]],padroes[],2,0)</f>
        <v>EAR</v>
      </c>
      <c r="D2086" s="3"/>
    </row>
    <row r="2087" spans="1:4" x14ac:dyDescent="0.25">
      <c r="A2087" s="2" t="s">
        <v>74</v>
      </c>
      <c r="B2087" s="2" t="s">
        <v>74</v>
      </c>
      <c r="C2087" s="2" t="str">
        <f>VLOOKUP(irregulares[[#This Row],[Similar a]],padroes[],2,0)</f>
        <v>GAR</v>
      </c>
      <c r="D2087" s="3"/>
    </row>
    <row r="2088" spans="1:4" x14ac:dyDescent="0.25">
      <c r="A2088" s="2" t="s">
        <v>1588</v>
      </c>
      <c r="B2088" s="2" t="s">
        <v>53</v>
      </c>
      <c r="C2088" s="31" t="str">
        <f>VLOOKUP(irregulares[[#This Row],[Similar a]],padroes[],2,0)</f>
        <v>EAR</v>
      </c>
      <c r="D2088" s="3"/>
    </row>
    <row r="2089" spans="1:4" x14ac:dyDescent="0.25">
      <c r="A2089" s="2" t="s">
        <v>1589</v>
      </c>
      <c r="B2089" s="2" t="s">
        <v>53</v>
      </c>
      <c r="C2089" s="31" t="str">
        <f>VLOOKUP(irregulares[[#This Row],[Similar a]],padroes[],2,0)</f>
        <v>EAR</v>
      </c>
      <c r="D2089" s="3"/>
    </row>
    <row r="2090" spans="1:4" x14ac:dyDescent="0.25">
      <c r="A2090" s="2" t="s">
        <v>1590</v>
      </c>
      <c r="B2090" s="2" t="s">
        <v>53</v>
      </c>
      <c r="C2090" s="31" t="str">
        <f>VLOOKUP(irregulares[[#This Row],[Similar a]],padroes[],2,0)</f>
        <v>EAR</v>
      </c>
      <c r="D2090" s="3"/>
    </row>
    <row r="2091" spans="1:4" x14ac:dyDescent="0.25">
      <c r="A2091" s="2" t="s">
        <v>1591</v>
      </c>
      <c r="B2091" s="2" t="s">
        <v>53</v>
      </c>
      <c r="C2091" s="31" t="str">
        <f>VLOOKUP(irregulares[[#This Row],[Similar a]],padroes[],2,0)</f>
        <v>EAR</v>
      </c>
      <c r="D2091" s="3"/>
    </row>
    <row r="2092" spans="1:4" x14ac:dyDescent="0.25">
      <c r="A2092" s="2" t="s">
        <v>1592</v>
      </c>
      <c r="B2092" s="2" t="s">
        <v>55</v>
      </c>
      <c r="C2092" s="31" t="str">
        <f>VLOOKUP(irregulares[[#This Row],[Similar a]],padroes[],2,0)</f>
        <v>EJAR ô</v>
      </c>
      <c r="D2092" s="3"/>
    </row>
    <row r="2093" spans="1:4" x14ac:dyDescent="0.25">
      <c r="A2093" s="2" t="s">
        <v>1593</v>
      </c>
      <c r="B2093" s="2" t="s">
        <v>1542</v>
      </c>
      <c r="C2093" s="31" t="str">
        <f>VLOOKUP(irregulares[[#This Row],[Similar a]],padroes[],2,0)</f>
        <v>Defectivo 3</v>
      </c>
      <c r="D2093" s="3"/>
    </row>
    <row r="2094" spans="1:4" x14ac:dyDescent="0.25">
      <c r="A2094" s="2" t="s">
        <v>1594</v>
      </c>
      <c r="B2094" s="2" t="s">
        <v>1717</v>
      </c>
      <c r="C2094" s="31" t="str">
        <f>VLOOKUP(irregulares[[#This Row],[Similar a]],padroes[],2,0)</f>
        <v>Defectivo 1</v>
      </c>
      <c r="D2094" s="3"/>
    </row>
    <row r="2095" spans="1:4" x14ac:dyDescent="0.25">
      <c r="A2095" s="2" t="s">
        <v>1595</v>
      </c>
      <c r="B2095" s="2" t="s">
        <v>53</v>
      </c>
      <c r="C2095" s="31" t="str">
        <f>VLOOKUP(irregulares[[#This Row],[Similar a]],padroes[],2,0)</f>
        <v>EAR</v>
      </c>
      <c r="D2095" s="3"/>
    </row>
    <row r="2096" spans="1:4" x14ac:dyDescent="0.25">
      <c r="A2096" s="2" t="s">
        <v>1608</v>
      </c>
      <c r="B2096" s="2" t="s">
        <v>53</v>
      </c>
      <c r="C2096" s="31" t="str">
        <f>VLOOKUP(irregulares[[#This Row],[Similar a]],padroes[],2,0)</f>
        <v>EAR</v>
      </c>
      <c r="D2096" s="3"/>
    </row>
    <row r="2097" spans="1:4" x14ac:dyDescent="0.25">
      <c r="A2097" s="2" t="s">
        <v>1596</v>
      </c>
      <c r="B2097" s="2" t="s">
        <v>60</v>
      </c>
      <c r="C2097" s="31" t="str">
        <f>VLOOKUP(irregulares[[#This Row],[Similar a]],padroes[],2,0)</f>
        <v>GAR</v>
      </c>
      <c r="D2097" s="3"/>
    </row>
    <row r="2098" spans="1:4" x14ac:dyDescent="0.25">
      <c r="A2098" s="2" t="s">
        <v>1597</v>
      </c>
      <c r="B2098" s="2" t="s">
        <v>74</v>
      </c>
      <c r="C2098" s="31" t="str">
        <f>VLOOKUP(irregulares[[#This Row],[Similar a]],padroes[],2,0)</f>
        <v>GAR</v>
      </c>
      <c r="D2098" s="3"/>
    </row>
    <row r="2099" spans="1:4" x14ac:dyDescent="0.25">
      <c r="A2099" s="2" t="s">
        <v>1598</v>
      </c>
      <c r="B2099" s="2" t="s">
        <v>49</v>
      </c>
      <c r="C2099" s="31" t="str">
        <f>VLOOKUP(irregulares[[#This Row],[Similar a]],padroes[],2,0)</f>
        <v>OAR</v>
      </c>
      <c r="D2099" s="3"/>
    </row>
    <row r="2100" spans="1:4" x14ac:dyDescent="0.25">
      <c r="A2100" s="2" t="s">
        <v>1599</v>
      </c>
      <c r="B2100" s="2" t="s">
        <v>74</v>
      </c>
      <c r="C2100" s="31" t="str">
        <f>VLOOKUP(irregulares[[#This Row],[Similar a]],padroes[],2,0)</f>
        <v>GAR</v>
      </c>
      <c r="D2100" s="3"/>
    </row>
    <row r="2101" spans="1:4" x14ac:dyDescent="0.25">
      <c r="A2101" s="2" t="s">
        <v>1600</v>
      </c>
      <c r="B2101" s="2" t="s">
        <v>44</v>
      </c>
      <c r="C2101" s="31" t="str">
        <f>VLOOKUP(irregulares[[#This Row],[Similar a]],padroes[],2,0)</f>
        <v>CAR</v>
      </c>
      <c r="D2101" s="3"/>
    </row>
    <row r="2102" spans="1:4" x14ac:dyDescent="0.25">
      <c r="A2102" s="2" t="s">
        <v>1601</v>
      </c>
      <c r="B2102" s="2" t="s">
        <v>44</v>
      </c>
      <c r="C2102" s="31" t="str">
        <f>VLOOKUP(irregulares[[#This Row],[Similar a]],padroes[],2,0)</f>
        <v>CAR</v>
      </c>
      <c r="D2102" s="3"/>
    </row>
    <row r="2103" spans="1:4" x14ac:dyDescent="0.25">
      <c r="A2103" s="2" t="s">
        <v>1602</v>
      </c>
      <c r="B2103" s="2" t="s">
        <v>185</v>
      </c>
      <c r="C2103" s="31" t="str">
        <f>VLOOKUP(irregulares[[#This Row],[Similar a]],padroes[],2,0)</f>
        <v>Defectivo 2</v>
      </c>
      <c r="D2103" s="3"/>
    </row>
    <row r="2104" spans="1:4" x14ac:dyDescent="0.25">
      <c r="A2104" s="2" t="s">
        <v>1603</v>
      </c>
      <c r="B2104" s="2" t="s">
        <v>53</v>
      </c>
      <c r="C2104" s="31" t="str">
        <f>VLOOKUP(irregulares[[#This Row],[Similar a]],padroes[],2,0)</f>
        <v>EAR</v>
      </c>
      <c r="D2104" s="3"/>
    </row>
    <row r="2105" spans="1:4" x14ac:dyDescent="0.25">
      <c r="A2105" s="2" t="s">
        <v>1604</v>
      </c>
      <c r="B2105" s="2" t="s">
        <v>1604</v>
      </c>
      <c r="C2105" s="31" t="str">
        <f>VLOOKUP(irregulares[[#This Row],[Similar a]],padroes[],2,0)</f>
        <v>Defectivo 3</v>
      </c>
      <c r="D2105" s="3"/>
    </row>
    <row r="2106" spans="1:4" x14ac:dyDescent="0.25">
      <c r="A2106" s="2" t="s">
        <v>1605</v>
      </c>
      <c r="B2106" s="2" t="s">
        <v>63</v>
      </c>
      <c r="C2106" s="31" t="str">
        <f>VLOOKUP(irregulares[[#This Row],[Similar a]],padroes[],2,0)</f>
        <v>CER</v>
      </c>
      <c r="D2106" s="3"/>
    </row>
    <row r="2107" spans="1:4" x14ac:dyDescent="0.25">
      <c r="A2107" s="2" t="s">
        <v>1606</v>
      </c>
      <c r="B2107" s="2" t="s">
        <v>1607</v>
      </c>
      <c r="C2107" s="31" t="str">
        <f>VLOOKUP(irregulares[[#This Row],[Similar a]],padroes[],2,0)</f>
        <v>CRER</v>
      </c>
      <c r="D2107" s="3"/>
    </row>
    <row r="2108" spans="1:4" x14ac:dyDescent="0.25">
      <c r="A2108" s="2" t="s">
        <v>1609</v>
      </c>
      <c r="B2108" s="2" t="s">
        <v>44</v>
      </c>
      <c r="C2108" s="31" t="str">
        <f>VLOOKUP(irregulares[[#This Row],[Similar a]],padroes[],2,0)</f>
        <v>CAR</v>
      </c>
      <c r="D2108" s="3"/>
    </row>
    <row r="2109" spans="1:4" x14ac:dyDescent="0.25">
      <c r="A2109" s="2" t="s">
        <v>1610</v>
      </c>
      <c r="B2109" s="2" t="s">
        <v>53</v>
      </c>
      <c r="C2109" s="31" t="str">
        <f>VLOOKUP(irregulares[[#This Row],[Similar a]],padroes[],2,0)</f>
        <v>EAR</v>
      </c>
      <c r="D2109" s="3"/>
    </row>
    <row r="2110" spans="1:4" x14ac:dyDescent="0.25">
      <c r="A2110" s="2" t="s">
        <v>1611</v>
      </c>
      <c r="B2110" s="2" t="s">
        <v>74</v>
      </c>
      <c r="C2110" s="31" t="str">
        <f>VLOOKUP(irregulares[[#This Row],[Similar a]],padroes[],2,0)</f>
        <v>GAR</v>
      </c>
      <c r="D2110" s="3"/>
    </row>
    <row r="2111" spans="1:4" x14ac:dyDescent="0.25">
      <c r="A2111" s="2" t="s">
        <v>1612</v>
      </c>
      <c r="B2111" s="2" t="s">
        <v>74</v>
      </c>
      <c r="C2111" s="31" t="str">
        <f>VLOOKUP(irregulares[[#This Row],[Similar a]],padroes[],2,0)</f>
        <v>GAR</v>
      </c>
      <c r="D2111" s="3"/>
    </row>
    <row r="2112" spans="1:4" x14ac:dyDescent="0.25">
      <c r="A2112" s="2" t="s">
        <v>1613</v>
      </c>
      <c r="B2112" s="2" t="s">
        <v>1613</v>
      </c>
      <c r="C2112" s="31" t="str">
        <f>VLOOKUP(irregulares[[#This Row],[Similar a]],padroes[],2,0)</f>
        <v>Defectivo 3</v>
      </c>
      <c r="D2112" s="3"/>
    </row>
    <row r="2113" spans="1:4" x14ac:dyDescent="0.25">
      <c r="A2113" s="2" t="s">
        <v>4863</v>
      </c>
      <c r="B2113" s="2" t="s">
        <v>141</v>
      </c>
      <c r="C2113" s="31" t="str">
        <f>VLOOKUP(irregulares[[#This Row],[Similar a]],padroes[],2,0)</f>
        <v>Abundante</v>
      </c>
      <c r="D2113" s="3"/>
    </row>
    <row r="2114" spans="1:4" x14ac:dyDescent="0.25">
      <c r="A2114" s="2" t="s">
        <v>1614</v>
      </c>
      <c r="B2114" s="2" t="s">
        <v>74</v>
      </c>
      <c r="C2114" s="31" t="str">
        <f>VLOOKUP(irregulares[[#This Row],[Similar a]],padroes[],2,0)</f>
        <v>GAR</v>
      </c>
      <c r="D2114" s="3"/>
    </row>
    <row r="2115" spans="1:4" x14ac:dyDescent="0.25">
      <c r="A2115" s="2" t="s">
        <v>1615</v>
      </c>
      <c r="B2115" s="2" t="s">
        <v>859</v>
      </c>
      <c r="C2115" s="31" t="str">
        <f>VLOOKUP(irregulares[[#This Row],[Similar a]],padroes[],2,0)</f>
        <v>FAZER</v>
      </c>
      <c r="D2115" s="3"/>
    </row>
    <row r="2116" spans="1:4" x14ac:dyDescent="0.25">
      <c r="A2116" s="2" t="s">
        <v>1616</v>
      </c>
      <c r="B2116" s="2" t="s">
        <v>163</v>
      </c>
      <c r="C2116" s="31" t="str">
        <f>VLOOKUP(irregulares[[#This Row],[Similar a]],padroes[],2,0)</f>
        <v>Defectivo 3</v>
      </c>
      <c r="D2116" s="3"/>
    </row>
    <row r="2117" spans="1:4" x14ac:dyDescent="0.25">
      <c r="A2117" s="2" t="s">
        <v>1617</v>
      </c>
      <c r="B2117" s="2" t="s">
        <v>44</v>
      </c>
      <c r="C2117" s="31" t="str">
        <f>VLOOKUP(irregulares[[#This Row],[Similar a]],padroes[],2,0)</f>
        <v>CAR</v>
      </c>
      <c r="D2117" s="3"/>
    </row>
    <row r="2118" spans="1:4" x14ac:dyDescent="0.25">
      <c r="A2118" s="2" t="s">
        <v>1618</v>
      </c>
      <c r="B2118" s="2" t="s">
        <v>44</v>
      </c>
      <c r="C2118" s="31" t="str">
        <f>VLOOKUP(irregulares[[#This Row],[Similar a]],padroes[],2,0)</f>
        <v>CAR</v>
      </c>
      <c r="D2118" s="3"/>
    </row>
    <row r="2119" spans="1:4" x14ac:dyDescent="0.25">
      <c r="A2119" s="2" t="s">
        <v>1619</v>
      </c>
      <c r="B2119" s="2" t="s">
        <v>53</v>
      </c>
      <c r="C2119" s="31" t="str">
        <f>VLOOKUP(irregulares[[#This Row],[Similar a]],padroes[],2,0)</f>
        <v>EAR</v>
      </c>
      <c r="D2119" s="3"/>
    </row>
    <row r="2120" spans="1:4" x14ac:dyDescent="0.25">
      <c r="A2120" s="2" t="s">
        <v>1620</v>
      </c>
      <c r="B2120" s="2" t="s">
        <v>55</v>
      </c>
      <c r="C2120" s="31" t="str">
        <f>VLOOKUP(irregulares[[#This Row],[Similar a]],padroes[],2,0)</f>
        <v>EJAR ô</v>
      </c>
      <c r="D2120" s="3"/>
    </row>
    <row r="2121" spans="1:4" x14ac:dyDescent="0.25">
      <c r="A2121" s="2" t="s">
        <v>1621</v>
      </c>
      <c r="B2121" s="2" t="s">
        <v>74</v>
      </c>
      <c r="C2121" s="31" t="str">
        <f>VLOOKUP(irregulares[[#This Row],[Similar a]],padroes[],2,0)</f>
        <v>GAR</v>
      </c>
      <c r="D2121" s="3"/>
    </row>
    <row r="2122" spans="1:4" x14ac:dyDescent="0.25">
      <c r="A2122" s="2" t="s">
        <v>1622</v>
      </c>
      <c r="B2122" s="2" t="s">
        <v>49</v>
      </c>
      <c r="C2122" s="31" t="str">
        <f>VLOOKUP(irregulares[[#This Row],[Similar a]],padroes[],2,0)</f>
        <v>OAR</v>
      </c>
      <c r="D2122" s="3"/>
    </row>
    <row r="2123" spans="1:4" x14ac:dyDescent="0.25">
      <c r="A2123" s="2" t="s">
        <v>1623</v>
      </c>
      <c r="B2123" s="2" t="s">
        <v>161</v>
      </c>
      <c r="C2123" s="31" t="str">
        <f>VLOOKUP(irregulares[[#This Row],[Similar a]],padroes[],2,0)</f>
        <v>GAR</v>
      </c>
      <c r="D2123" s="3"/>
    </row>
    <row r="2124" spans="1:4" x14ac:dyDescent="0.25">
      <c r="A2124" s="2" t="s">
        <v>1624</v>
      </c>
      <c r="B2124" s="2" t="s">
        <v>74</v>
      </c>
      <c r="C2124" s="31" t="str">
        <f>VLOOKUP(irregulares[[#This Row],[Similar a]],padroes[],2,0)</f>
        <v>GAR</v>
      </c>
      <c r="D2124" s="3"/>
    </row>
    <row r="2125" spans="1:4" x14ac:dyDescent="0.25">
      <c r="A2125" s="2" t="s">
        <v>1625</v>
      </c>
      <c r="B2125" s="2" t="s">
        <v>44</v>
      </c>
      <c r="C2125" s="31" t="str">
        <f>VLOOKUP(irregulares[[#This Row],[Similar a]],padroes[],2,0)</f>
        <v>CAR</v>
      </c>
      <c r="D2125" s="3"/>
    </row>
    <row r="2126" spans="1:4" x14ac:dyDescent="0.25">
      <c r="A2126" s="2" t="s">
        <v>1626</v>
      </c>
      <c r="B2126" s="2" t="s">
        <v>44</v>
      </c>
      <c r="C2126" s="31" t="str">
        <f>VLOOKUP(irregulares[[#This Row],[Similar a]],padroes[],2,0)</f>
        <v>CAR</v>
      </c>
      <c r="D2126" s="3"/>
    </row>
    <row r="2127" spans="1:4" x14ac:dyDescent="0.25">
      <c r="A2127" s="2" t="s">
        <v>1627</v>
      </c>
      <c r="B2127" s="2" t="s">
        <v>63</v>
      </c>
      <c r="C2127" s="31" t="str">
        <f>VLOOKUP(irregulares[[#This Row],[Similar a]],padroes[],2,0)</f>
        <v>CER</v>
      </c>
      <c r="D2127" s="3"/>
    </row>
    <row r="2128" spans="1:4" x14ac:dyDescent="0.25">
      <c r="A2128" s="2" t="s">
        <v>1628</v>
      </c>
      <c r="B2128" s="2" t="s">
        <v>55</v>
      </c>
      <c r="C2128" s="31" t="str">
        <f>VLOOKUP(irregulares[[#This Row],[Similar a]],padroes[],2,0)</f>
        <v>EJAR ô</v>
      </c>
      <c r="D2128" s="3"/>
    </row>
    <row r="2129" spans="1:4" x14ac:dyDescent="0.25">
      <c r="A2129" s="2" t="s">
        <v>1629</v>
      </c>
      <c r="B2129" s="2" t="s">
        <v>53</v>
      </c>
      <c r="C2129" s="31" t="str">
        <f>VLOOKUP(irregulares[[#This Row],[Similar a]],padroes[],2,0)</f>
        <v>EAR</v>
      </c>
      <c r="D2129" s="3"/>
    </row>
    <row r="2130" spans="1:4" x14ac:dyDescent="0.25">
      <c r="A2130" s="2" t="s">
        <v>1630</v>
      </c>
      <c r="B2130" s="2" t="s">
        <v>53</v>
      </c>
      <c r="C2130" s="31" t="str">
        <f>VLOOKUP(irregulares[[#This Row],[Similar a]],padroes[],2,0)</f>
        <v>EAR</v>
      </c>
      <c r="D2130" s="3"/>
    </row>
    <row r="2131" spans="1:4" x14ac:dyDescent="0.25">
      <c r="A2131" s="2" t="s">
        <v>1631</v>
      </c>
      <c r="B2131" s="2" t="s">
        <v>53</v>
      </c>
      <c r="C2131" s="31" t="str">
        <f>VLOOKUP(irregulares[[#This Row],[Similar a]],padroes[],2,0)</f>
        <v>EAR</v>
      </c>
      <c r="D2131" s="3"/>
    </row>
    <row r="2132" spans="1:4" x14ac:dyDescent="0.25">
      <c r="A2132" s="2" t="s">
        <v>1632</v>
      </c>
      <c r="B2132" s="2" t="s">
        <v>53</v>
      </c>
      <c r="C2132" s="31" t="str">
        <f>VLOOKUP(irregulares[[#This Row],[Similar a]],padroes[],2,0)</f>
        <v>EAR</v>
      </c>
      <c r="D2132" s="3"/>
    </row>
    <row r="2133" spans="1:4" x14ac:dyDescent="0.25">
      <c r="A2133" s="2" t="s">
        <v>1633</v>
      </c>
      <c r="B2133" s="2" t="s">
        <v>55</v>
      </c>
      <c r="C2133" s="31" t="str">
        <f>VLOOKUP(irregulares[[#This Row],[Similar a]],padroes[],2,0)</f>
        <v>EJAR ô</v>
      </c>
      <c r="D2133" s="3"/>
    </row>
    <row r="2134" spans="1:4" x14ac:dyDescent="0.25">
      <c r="A2134" s="2" t="s">
        <v>1634</v>
      </c>
      <c r="B2134" s="2" t="s">
        <v>63</v>
      </c>
      <c r="C2134" s="31" t="str">
        <f>VLOOKUP(irregulares[[#This Row],[Similar a]],padroes[],2,0)</f>
        <v>CER</v>
      </c>
      <c r="D2134" s="3"/>
    </row>
    <row r="2135" spans="1:4" x14ac:dyDescent="0.25">
      <c r="A2135" s="2" t="s">
        <v>1635</v>
      </c>
      <c r="B2135" s="2" t="s">
        <v>55</v>
      </c>
      <c r="C2135" s="31" t="str">
        <f>VLOOKUP(irregulares[[#This Row],[Similar a]],padroes[],2,0)</f>
        <v>EJAR ô</v>
      </c>
      <c r="D2135" s="3"/>
    </row>
    <row r="2136" spans="1:4" x14ac:dyDescent="0.25">
      <c r="A2136" s="2" t="s">
        <v>1636</v>
      </c>
      <c r="B2136" s="2" t="s">
        <v>44</v>
      </c>
      <c r="C2136" s="31" t="str">
        <f>VLOOKUP(irregulares[[#This Row],[Similar a]],padroes[],2,0)</f>
        <v>CAR</v>
      </c>
      <c r="D2136" s="3"/>
    </row>
    <row r="2137" spans="1:4" x14ac:dyDescent="0.25">
      <c r="A2137" s="2" t="s">
        <v>1637</v>
      </c>
      <c r="B2137" s="2" t="s">
        <v>44</v>
      </c>
      <c r="C2137" s="31" t="str">
        <f>VLOOKUP(irregulares[[#This Row],[Similar a]],padroes[],2,0)</f>
        <v>CAR</v>
      </c>
      <c r="D2137" s="3"/>
    </row>
    <row r="2138" spans="1:4" x14ac:dyDescent="0.25">
      <c r="A2138" s="2" t="s">
        <v>1638</v>
      </c>
      <c r="B2138" s="2" t="s">
        <v>53</v>
      </c>
      <c r="C2138" s="31" t="str">
        <f>VLOOKUP(irregulares[[#This Row],[Similar a]],padroes[],2,0)</f>
        <v>EAR</v>
      </c>
      <c r="D2138" s="3"/>
    </row>
    <row r="2139" spans="1:4" x14ac:dyDescent="0.25">
      <c r="A2139" s="2" t="s">
        <v>3342</v>
      </c>
      <c r="B2139" s="2" t="s">
        <v>53</v>
      </c>
      <c r="C2139" s="31" t="str">
        <f>VLOOKUP(irregulares[[#This Row],[Similar a]],padroes[],2,0)</f>
        <v>EAR</v>
      </c>
      <c r="D2139" s="3"/>
    </row>
    <row r="2140" spans="1:4" x14ac:dyDescent="0.25">
      <c r="A2140" s="2" t="s">
        <v>3398</v>
      </c>
      <c r="B2140" s="2" t="s">
        <v>44</v>
      </c>
      <c r="C2140" s="31" t="str">
        <f>VLOOKUP(irregulares[[#This Row],[Similar a]],padroes[],2,0)</f>
        <v>CAR</v>
      </c>
      <c r="D2140" s="3"/>
    </row>
    <row r="2141" spans="1:4" x14ac:dyDescent="0.25">
      <c r="A2141" s="2" t="s">
        <v>3343</v>
      </c>
      <c r="B2141" s="2" t="s">
        <v>53</v>
      </c>
      <c r="C2141" s="31" t="str">
        <f>VLOOKUP(irregulares[[#This Row],[Similar a]],padroes[],2,0)</f>
        <v>EAR</v>
      </c>
      <c r="D2141" s="3"/>
    </row>
    <row r="2142" spans="1:4" x14ac:dyDescent="0.25">
      <c r="A2142" s="2" t="s">
        <v>3399</v>
      </c>
      <c r="B2142" s="2" t="s">
        <v>42</v>
      </c>
      <c r="C2142" s="31" t="str">
        <f>VLOOKUP(irregulares[[#This Row],[Similar a]],padroes[],2,0)</f>
        <v>ÇAR</v>
      </c>
      <c r="D2142" s="3"/>
    </row>
    <row r="2143" spans="1:4" x14ac:dyDescent="0.25">
      <c r="A2143" s="2" t="s">
        <v>3400</v>
      </c>
      <c r="B2143" s="2" t="s">
        <v>44</v>
      </c>
      <c r="C2143" s="31" t="str">
        <f>VLOOKUP(irregulares[[#This Row],[Similar a]],padroes[],2,0)</f>
        <v>CAR</v>
      </c>
      <c r="D2143" s="3"/>
    </row>
    <row r="2144" spans="1:4" x14ac:dyDescent="0.25">
      <c r="A2144" s="2" t="s">
        <v>3344</v>
      </c>
      <c r="B2144" s="2" t="s">
        <v>53</v>
      </c>
      <c r="C2144" s="31" t="str">
        <f>VLOOKUP(irregulares[[#This Row],[Similar a]],padroes[],2,0)</f>
        <v>EAR</v>
      </c>
      <c r="D2144" s="3"/>
    </row>
    <row r="2145" spans="1:4" x14ac:dyDescent="0.25">
      <c r="A2145" s="2" t="s">
        <v>3345</v>
      </c>
      <c r="B2145" s="2" t="s">
        <v>53</v>
      </c>
      <c r="C2145" s="31" t="str">
        <f>VLOOKUP(irregulares[[#This Row],[Similar a]],padroes[],2,0)</f>
        <v>EAR</v>
      </c>
      <c r="D2145" s="3"/>
    </row>
    <row r="2146" spans="1:4" x14ac:dyDescent="0.25">
      <c r="A2146" s="2" t="s">
        <v>3401</v>
      </c>
      <c r="B2146" s="2" t="s">
        <v>44</v>
      </c>
      <c r="C2146" s="31" t="str">
        <f>VLOOKUP(irregulares[[#This Row],[Similar a]],padroes[],2,0)</f>
        <v>CAR</v>
      </c>
      <c r="D2146" s="3"/>
    </row>
    <row r="2147" spans="1:4" x14ac:dyDescent="0.25">
      <c r="A2147" s="2" t="s">
        <v>3346</v>
      </c>
      <c r="B2147" s="2" t="s">
        <v>53</v>
      </c>
      <c r="C2147" s="31" t="str">
        <f>VLOOKUP(irregulares[[#This Row],[Similar a]],padroes[],2,0)</f>
        <v>EAR</v>
      </c>
      <c r="D2147" s="3"/>
    </row>
    <row r="2148" spans="1:4" x14ac:dyDescent="0.25">
      <c r="A2148" s="2" t="s">
        <v>3402</v>
      </c>
      <c r="B2148" s="2" t="s">
        <v>44</v>
      </c>
      <c r="C2148" s="31" t="str">
        <f>VLOOKUP(irregulares[[#This Row],[Similar a]],padroes[],2,0)</f>
        <v>CAR</v>
      </c>
      <c r="D2148" s="3"/>
    </row>
    <row r="2149" spans="1:4" x14ac:dyDescent="0.25">
      <c r="A2149" s="2" t="s">
        <v>3403</v>
      </c>
      <c r="B2149" s="2" t="s">
        <v>42</v>
      </c>
      <c r="C2149" s="31" t="str">
        <f>VLOOKUP(irregulares[[#This Row],[Similar a]],padroes[],2,0)</f>
        <v>ÇAR</v>
      </c>
      <c r="D2149" s="3"/>
    </row>
    <row r="2150" spans="1:4" x14ac:dyDescent="0.25">
      <c r="A2150" s="2" t="s">
        <v>3347</v>
      </c>
      <c r="B2150" s="2" t="s">
        <v>53</v>
      </c>
      <c r="C2150" s="31" t="str">
        <f>VLOOKUP(irregulares[[#This Row],[Similar a]],padroes[],2,0)</f>
        <v>EAR</v>
      </c>
      <c r="D2150" s="3"/>
    </row>
    <row r="2151" spans="1:4" x14ac:dyDescent="0.25">
      <c r="A2151" s="2" t="s">
        <v>3450</v>
      </c>
      <c r="B2151" s="2" t="s">
        <v>74</v>
      </c>
      <c r="C2151" s="31" t="str">
        <f>VLOOKUP(irregulares[[#This Row],[Similar a]],padroes[],2,0)</f>
        <v>GAR</v>
      </c>
      <c r="D2151" s="3"/>
    </row>
    <row r="2152" spans="1:4" x14ac:dyDescent="0.25">
      <c r="A2152" s="2" t="s">
        <v>3482</v>
      </c>
      <c r="B2152" s="2" t="s">
        <v>63</v>
      </c>
      <c r="C2152" s="31" t="str">
        <f>VLOOKUP(irregulares[[#This Row],[Similar a]],padroes[],2,0)</f>
        <v>CER</v>
      </c>
      <c r="D2152" s="3"/>
    </row>
    <row r="2153" spans="1:4" x14ac:dyDescent="0.25">
      <c r="A2153" s="2" t="s">
        <v>3404</v>
      </c>
      <c r="B2153" s="2" t="s">
        <v>44</v>
      </c>
      <c r="C2153" s="31" t="str">
        <f>VLOOKUP(irregulares[[#This Row],[Similar a]],padroes[],2,0)</f>
        <v>CAR</v>
      </c>
      <c r="D2153" s="3"/>
    </row>
    <row r="2154" spans="1:4" x14ac:dyDescent="0.25">
      <c r="A2154" s="2" t="s">
        <v>3405</v>
      </c>
      <c r="B2154" s="2" t="s">
        <v>44</v>
      </c>
      <c r="C2154" s="31" t="str">
        <f>VLOOKUP(irregulares[[#This Row],[Similar a]],padroes[],2,0)</f>
        <v>CAR</v>
      </c>
      <c r="D2154" s="3"/>
    </row>
    <row r="2155" spans="1:4" x14ac:dyDescent="0.25">
      <c r="A2155" s="2" t="s">
        <v>3480</v>
      </c>
      <c r="B2155" s="2" t="s">
        <v>49</v>
      </c>
      <c r="C2155" s="31" t="str">
        <f>VLOOKUP(irregulares[[#This Row],[Similar a]],padroes[],2,0)</f>
        <v>OAR</v>
      </c>
      <c r="D2155" s="3"/>
    </row>
    <row r="2156" spans="1:4" x14ac:dyDescent="0.25">
      <c r="A2156" s="2" t="s">
        <v>3486</v>
      </c>
      <c r="B2156" s="2" t="s">
        <v>1359</v>
      </c>
      <c r="C2156" s="31" t="str">
        <f>VLOOKUP(irregulares[[#This Row],[Similar a]],padroes[],2,0)</f>
        <v>QUERER</v>
      </c>
      <c r="D2156" s="3"/>
    </row>
    <row r="2157" spans="1:4" x14ac:dyDescent="0.25">
      <c r="A2157" s="2" t="s">
        <v>3348</v>
      </c>
      <c r="B2157" s="2" t="s">
        <v>53</v>
      </c>
      <c r="C2157" s="31" t="str">
        <f>VLOOKUP(irregulares[[#This Row],[Similar a]],padroes[],2,0)</f>
        <v>EAR</v>
      </c>
      <c r="D2157" s="3"/>
    </row>
    <row r="2158" spans="1:4" x14ac:dyDescent="0.25">
      <c r="A2158" s="2" t="s">
        <v>3349</v>
      </c>
      <c r="B2158" s="2" t="s">
        <v>53</v>
      </c>
      <c r="C2158" s="31" t="str">
        <f>VLOOKUP(irregulares[[#This Row],[Similar a]],padroes[],2,0)</f>
        <v>EAR</v>
      </c>
      <c r="D2158" s="3"/>
    </row>
    <row r="2159" spans="1:4" x14ac:dyDescent="0.25">
      <c r="A2159" s="2" t="s">
        <v>3481</v>
      </c>
      <c r="B2159" s="2" t="s">
        <v>49</v>
      </c>
      <c r="C2159" s="31" t="str">
        <f>VLOOKUP(irregulares[[#This Row],[Similar a]],padroes[],2,0)</f>
        <v>OAR</v>
      </c>
      <c r="D2159" s="3"/>
    </row>
    <row r="2160" spans="1:4" x14ac:dyDescent="0.25">
      <c r="A2160" s="2" t="s">
        <v>3487</v>
      </c>
      <c r="B2160" s="2" t="s">
        <v>419</v>
      </c>
      <c r="C2160" s="31" t="str">
        <f>VLOOKUP(irregulares[[#This Row],[Similar a]],padroes[],2,0)</f>
        <v>DIZER</v>
      </c>
      <c r="D2160" s="3"/>
    </row>
    <row r="2161" spans="1:4" x14ac:dyDescent="0.25">
      <c r="A2161" s="2" t="s">
        <v>3350</v>
      </c>
      <c r="B2161" s="2" t="s">
        <v>53</v>
      </c>
      <c r="C2161" s="31" t="str">
        <f>VLOOKUP(irregulares[[#This Row],[Similar a]],padroes[],2,0)</f>
        <v>EAR</v>
      </c>
      <c r="D2161" s="3"/>
    </row>
    <row r="2162" spans="1:4" x14ac:dyDescent="0.25">
      <c r="A2162" s="2" t="s">
        <v>3488</v>
      </c>
      <c r="B2162" s="2" t="s">
        <v>859</v>
      </c>
      <c r="C2162" s="31" t="str">
        <f>VLOOKUP(irregulares[[#This Row],[Similar a]],padroes[],2,0)</f>
        <v>FAZER</v>
      </c>
      <c r="D2162" s="3"/>
    </row>
    <row r="2163" spans="1:4" x14ac:dyDescent="0.25">
      <c r="A2163" s="2" t="s">
        <v>3489</v>
      </c>
      <c r="B2163" s="2" t="s">
        <v>183</v>
      </c>
      <c r="C2163" s="31" t="str">
        <f>VLOOKUP(irregulares[[#This Row],[Similar a]],padroes[],2,0)</f>
        <v>E-X-IR</v>
      </c>
      <c r="D2163" s="3"/>
    </row>
    <row r="2164" spans="1:4" x14ac:dyDescent="0.25">
      <c r="A2164" s="2" t="s">
        <v>3490</v>
      </c>
      <c r="B2164" s="2" t="s">
        <v>141</v>
      </c>
      <c r="C2164" s="31" t="str">
        <f>VLOOKUP(irregulares[[#This Row],[Similar a]],padroes[],2,0)</f>
        <v>Abundante</v>
      </c>
      <c r="D2164" s="3"/>
    </row>
    <row r="2165" spans="1:4" x14ac:dyDescent="0.25">
      <c r="A2165" s="2" t="s">
        <v>3406</v>
      </c>
      <c r="B2165" s="2" t="s">
        <v>44</v>
      </c>
      <c r="C2165" s="31" t="str">
        <f>VLOOKUP(irregulares[[#This Row],[Similar a]],padroes[],2,0)</f>
        <v>CAR</v>
      </c>
      <c r="D2165" s="3"/>
    </row>
    <row r="2166" spans="1:4" x14ac:dyDescent="0.25">
      <c r="A2166" s="2" t="s">
        <v>3491</v>
      </c>
      <c r="B2166" s="2" t="s">
        <v>4926</v>
      </c>
      <c r="C2166" s="31" t="e">
        <f>VLOOKUP(irregulares[[#This Row],[Similar a]],padroes[],2,0)</f>
        <v>#N/A</v>
      </c>
      <c r="D2166" s="3"/>
    </row>
    <row r="2167" spans="1:4" x14ac:dyDescent="0.25">
      <c r="A2167" s="2" t="s">
        <v>3407</v>
      </c>
      <c r="B2167" s="2" t="s">
        <v>44</v>
      </c>
      <c r="C2167" s="31" t="str">
        <f>VLOOKUP(irregulares[[#This Row],[Similar a]],padroes[],2,0)</f>
        <v>CAR</v>
      </c>
      <c r="D2167" s="3"/>
    </row>
    <row r="2168" spans="1:4" x14ac:dyDescent="0.25">
      <c r="A2168" s="2" t="s">
        <v>3351</v>
      </c>
      <c r="B2168" s="2" t="s">
        <v>53</v>
      </c>
      <c r="C2168" s="31" t="str">
        <f>VLOOKUP(irregulares[[#This Row],[Similar a]],padroes[],2,0)</f>
        <v>EAR</v>
      </c>
      <c r="D2168" s="3"/>
    </row>
    <row r="2169" spans="1:4" x14ac:dyDescent="0.25">
      <c r="A2169" s="2" t="s">
        <v>3352</v>
      </c>
      <c r="B2169" s="2" t="s">
        <v>53</v>
      </c>
      <c r="C2169" s="31" t="str">
        <f>VLOOKUP(irregulares[[#This Row],[Similar a]],padroes[],2,0)</f>
        <v>EAR</v>
      </c>
      <c r="D2169" s="3"/>
    </row>
    <row r="2170" spans="1:4" x14ac:dyDescent="0.25">
      <c r="A2170" s="2" t="s">
        <v>3353</v>
      </c>
      <c r="B2170" s="2" t="s">
        <v>53</v>
      </c>
      <c r="C2170" s="31" t="str">
        <f>VLOOKUP(irregulares[[#This Row],[Similar a]],padroes[],2,0)</f>
        <v>EAR</v>
      </c>
      <c r="D2170" s="3"/>
    </row>
    <row r="2171" spans="1:4" x14ac:dyDescent="0.25">
      <c r="A2171" s="2" t="s">
        <v>3408</v>
      </c>
      <c r="B2171" s="2" t="s">
        <v>44</v>
      </c>
      <c r="C2171" s="31" t="str">
        <f>VLOOKUP(irregulares[[#This Row],[Similar a]],padroes[],2,0)</f>
        <v>CAR</v>
      </c>
      <c r="D2171" s="3"/>
    </row>
    <row r="2172" spans="1:4" x14ac:dyDescent="0.25">
      <c r="A2172" s="2" t="s">
        <v>3354</v>
      </c>
      <c r="B2172" s="2" t="s">
        <v>53</v>
      </c>
      <c r="C2172" s="31" t="str">
        <f>VLOOKUP(irregulares[[#This Row],[Similar a]],padroes[],2,0)</f>
        <v>EAR</v>
      </c>
      <c r="D2172" s="3"/>
    </row>
    <row r="2173" spans="1:4" x14ac:dyDescent="0.25">
      <c r="A2173" s="2" t="s">
        <v>3451</v>
      </c>
      <c r="B2173" s="2" t="s">
        <v>74</v>
      </c>
      <c r="C2173" s="31" t="str">
        <f>VLOOKUP(irregulares[[#This Row],[Similar a]],padroes[],2,0)</f>
        <v>GAR</v>
      </c>
      <c r="D2173" s="3"/>
    </row>
    <row r="2174" spans="1:4" x14ac:dyDescent="0.25">
      <c r="A2174" s="2" t="s">
        <v>3409</v>
      </c>
      <c r="B2174" s="2" t="s">
        <v>44</v>
      </c>
      <c r="C2174" s="31" t="str">
        <f>VLOOKUP(irregulares[[#This Row],[Similar a]],padroes[],2,0)</f>
        <v>CAR</v>
      </c>
      <c r="D2174" s="3"/>
    </row>
    <row r="2175" spans="1:4" x14ac:dyDescent="0.25">
      <c r="A2175" s="2" t="s">
        <v>3355</v>
      </c>
      <c r="B2175" s="2" t="s">
        <v>53</v>
      </c>
      <c r="C2175" s="31" t="str">
        <f>VLOOKUP(irregulares[[#This Row],[Similar a]],padroes[],2,0)</f>
        <v>EAR</v>
      </c>
      <c r="D2175" s="3"/>
    </row>
    <row r="2176" spans="1:4" x14ac:dyDescent="0.25">
      <c r="A2176" s="2" t="s">
        <v>3468</v>
      </c>
      <c r="B2176" s="2" t="s">
        <v>55</v>
      </c>
      <c r="C2176" s="31" t="str">
        <f>VLOOKUP(irregulares[[#This Row],[Similar a]],padroes[],2,0)</f>
        <v>EJAR ô</v>
      </c>
      <c r="D2176" s="3"/>
    </row>
    <row r="2177" spans="1:4" x14ac:dyDescent="0.25">
      <c r="A2177" s="2" t="s">
        <v>3356</v>
      </c>
      <c r="B2177" s="2" t="s">
        <v>53</v>
      </c>
      <c r="C2177" s="31" t="str">
        <f>VLOOKUP(irregulares[[#This Row],[Similar a]],padroes[],2,0)</f>
        <v>EAR</v>
      </c>
      <c r="D2177" s="3"/>
    </row>
    <row r="2178" spans="1:4" x14ac:dyDescent="0.25">
      <c r="A2178" s="2" t="s">
        <v>3452</v>
      </c>
      <c r="B2178" s="2" t="s">
        <v>74</v>
      </c>
      <c r="C2178" s="31" t="str">
        <f>VLOOKUP(irregulares[[#This Row],[Similar a]],padroes[],2,0)</f>
        <v>GAR</v>
      </c>
      <c r="D2178" s="3"/>
    </row>
    <row r="2179" spans="1:4" x14ac:dyDescent="0.25">
      <c r="A2179" s="2" t="s">
        <v>3357</v>
      </c>
      <c r="B2179" s="2" t="s">
        <v>53</v>
      </c>
      <c r="C2179" s="31" t="str">
        <f>VLOOKUP(irregulares[[#This Row],[Similar a]],padroes[],2,0)</f>
        <v>EAR</v>
      </c>
      <c r="D2179" s="3"/>
    </row>
    <row r="2180" spans="1:4" x14ac:dyDescent="0.25">
      <c r="A2180" s="2" t="s">
        <v>3358</v>
      </c>
      <c r="B2180" s="2" t="s">
        <v>53</v>
      </c>
      <c r="C2180" s="31" t="str">
        <f>VLOOKUP(irregulares[[#This Row],[Similar a]],padroes[],2,0)</f>
        <v>EAR</v>
      </c>
      <c r="D2180" s="3"/>
    </row>
    <row r="2181" spans="1:4" x14ac:dyDescent="0.25">
      <c r="A2181" s="2" t="s">
        <v>3359</v>
      </c>
      <c r="B2181" s="2" t="s">
        <v>53</v>
      </c>
      <c r="C2181" s="31" t="str">
        <f>VLOOKUP(irregulares[[#This Row],[Similar a]],padroes[],2,0)</f>
        <v>EAR</v>
      </c>
      <c r="D2181" s="3"/>
    </row>
    <row r="2182" spans="1:4" x14ac:dyDescent="0.25">
      <c r="A2182" s="2" t="s">
        <v>3410</v>
      </c>
      <c r="B2182" s="2" t="s">
        <v>44</v>
      </c>
      <c r="C2182" s="31" t="str">
        <f>VLOOKUP(irregulares[[#This Row],[Similar a]],padroes[],2,0)</f>
        <v>CAR</v>
      </c>
      <c r="D2182" s="3"/>
    </row>
    <row r="2183" spans="1:4" x14ac:dyDescent="0.25">
      <c r="A2183" s="2" t="s">
        <v>3360</v>
      </c>
      <c r="B2183" s="2" t="s">
        <v>53</v>
      </c>
      <c r="C2183" s="31" t="str">
        <f>VLOOKUP(irregulares[[#This Row],[Similar a]],padroes[],2,0)</f>
        <v>EAR</v>
      </c>
      <c r="D2183" s="3"/>
    </row>
    <row r="2184" spans="1:4" x14ac:dyDescent="0.25">
      <c r="A2184" s="2" t="s">
        <v>3483</v>
      </c>
      <c r="B2184" s="2" t="s">
        <v>63</v>
      </c>
      <c r="C2184" s="31" t="str">
        <f>VLOOKUP(irregulares[[#This Row],[Similar a]],padroes[],2,0)</f>
        <v>CER</v>
      </c>
      <c r="D2184" s="3"/>
    </row>
    <row r="2185" spans="1:4" x14ac:dyDescent="0.25">
      <c r="A2185" s="2" t="s">
        <v>3469</v>
      </c>
      <c r="B2185" s="2" t="s">
        <v>55</v>
      </c>
      <c r="C2185" s="31" t="str">
        <f>VLOOKUP(irregulares[[#This Row],[Similar a]],padroes[],2,0)</f>
        <v>EJAR ô</v>
      </c>
      <c r="D2185" s="3"/>
    </row>
    <row r="2186" spans="1:4" x14ac:dyDescent="0.25">
      <c r="A2186" s="2" t="s">
        <v>3361</v>
      </c>
      <c r="B2186" s="2" t="s">
        <v>53</v>
      </c>
      <c r="C2186" s="31" t="str">
        <f>VLOOKUP(irregulares[[#This Row],[Similar a]],padroes[],2,0)</f>
        <v>EAR</v>
      </c>
      <c r="D2186" s="3"/>
    </row>
    <row r="2187" spans="1:4" x14ac:dyDescent="0.25">
      <c r="A2187" s="2" t="s">
        <v>3362</v>
      </c>
      <c r="B2187" s="2" t="s">
        <v>53</v>
      </c>
      <c r="C2187" s="31" t="str">
        <f>VLOOKUP(irregulares[[#This Row],[Similar a]],padroes[],2,0)</f>
        <v>EAR</v>
      </c>
      <c r="D2187" s="3"/>
    </row>
    <row r="2188" spans="1:4" x14ac:dyDescent="0.25">
      <c r="A2188" s="2" t="s">
        <v>3492</v>
      </c>
      <c r="B2188" s="2" t="s">
        <v>1</v>
      </c>
      <c r="C2188" s="31" t="str">
        <f>VLOOKUP(irregulares[[#This Row],[Similar a]],padroes[],2,0)</f>
        <v>TER</v>
      </c>
      <c r="D2188" s="3"/>
    </row>
    <row r="2189" spans="1:4" x14ac:dyDescent="0.25">
      <c r="A2189" s="2" t="s">
        <v>3493</v>
      </c>
      <c r="B2189" s="2" t="s">
        <v>2363</v>
      </c>
      <c r="C2189" s="31" t="str">
        <f>VLOOKUP(irregulares[[#This Row],[Similar a]],padroes[],2,0)</f>
        <v>Abundante</v>
      </c>
      <c r="D2189" s="3"/>
    </row>
    <row r="2190" spans="1:4" x14ac:dyDescent="0.25">
      <c r="A2190" s="2" t="s">
        <v>3363</v>
      </c>
      <c r="B2190" s="2" t="s">
        <v>53</v>
      </c>
      <c r="C2190" s="31" t="str">
        <f>VLOOKUP(irregulares[[#This Row],[Similar a]],padroes[],2,0)</f>
        <v>EAR</v>
      </c>
      <c r="D2190" s="3"/>
    </row>
    <row r="2191" spans="1:4" x14ac:dyDescent="0.25">
      <c r="A2191" s="2" t="s">
        <v>3494</v>
      </c>
      <c r="B2191" s="2" t="s">
        <v>185</v>
      </c>
      <c r="C2191" s="31" t="str">
        <f>VLOOKUP(irregulares[[#This Row],[Similar a]],padroes[],2,0)</f>
        <v>Defectivo 2</v>
      </c>
      <c r="D2191" s="3"/>
    </row>
    <row r="2192" spans="1:4" x14ac:dyDescent="0.25">
      <c r="A2192" s="2" t="s">
        <v>3364</v>
      </c>
      <c r="B2192" s="2" t="s">
        <v>53</v>
      </c>
      <c r="C2192" s="31" t="str">
        <f>VLOOKUP(irregulares[[#This Row],[Similar a]],padroes[],2,0)</f>
        <v>EAR</v>
      </c>
      <c r="D2192" s="3"/>
    </row>
    <row r="2193" spans="1:4" x14ac:dyDescent="0.25">
      <c r="A2193" s="2" t="s">
        <v>3365</v>
      </c>
      <c r="B2193" s="2" t="s">
        <v>53</v>
      </c>
      <c r="C2193" s="31" t="str">
        <f>VLOOKUP(irregulares[[#This Row],[Similar a]],padroes[],2,0)</f>
        <v>EAR</v>
      </c>
      <c r="D2193" s="3"/>
    </row>
    <row r="2194" spans="1:4" x14ac:dyDescent="0.25">
      <c r="A2194" s="2" t="s">
        <v>3366</v>
      </c>
      <c r="B2194" s="2" t="s">
        <v>53</v>
      </c>
      <c r="C2194" s="31" t="str">
        <f>VLOOKUP(irregulares[[#This Row],[Similar a]],padroes[],2,0)</f>
        <v>EAR</v>
      </c>
      <c r="D2194" s="3"/>
    </row>
    <row r="2195" spans="1:4" x14ac:dyDescent="0.25">
      <c r="A2195" s="2" t="s">
        <v>3411</v>
      </c>
      <c r="B2195" s="2" t="s">
        <v>44</v>
      </c>
      <c r="C2195" s="31" t="str">
        <f>VLOOKUP(irregulares[[#This Row],[Similar a]],padroes[],2,0)</f>
        <v>CAR</v>
      </c>
      <c r="D2195" s="3"/>
    </row>
    <row r="2196" spans="1:4" x14ac:dyDescent="0.25">
      <c r="A2196" s="2" t="s">
        <v>3367</v>
      </c>
      <c r="B2196" s="2" t="s">
        <v>53</v>
      </c>
      <c r="C2196" s="31" t="str">
        <f>VLOOKUP(irregulares[[#This Row],[Similar a]],padroes[],2,0)</f>
        <v>EAR</v>
      </c>
      <c r="D2196" s="3"/>
    </row>
    <row r="2197" spans="1:4" x14ac:dyDescent="0.25">
      <c r="A2197" s="2" t="s">
        <v>3470</v>
      </c>
      <c r="B2197" s="2" t="s">
        <v>55</v>
      </c>
      <c r="C2197" s="31" t="str">
        <f>VLOOKUP(irregulares[[#This Row],[Similar a]],padroes[],2,0)</f>
        <v>EJAR ô</v>
      </c>
      <c r="D2197" s="3"/>
    </row>
    <row r="2198" spans="1:4" x14ac:dyDescent="0.25">
      <c r="A2198" s="2" t="s">
        <v>3453</v>
      </c>
      <c r="B2198" s="2" t="s">
        <v>74</v>
      </c>
      <c r="C2198" s="31" t="str">
        <f>VLOOKUP(irregulares[[#This Row],[Similar a]],padroes[],2,0)</f>
        <v>GAR</v>
      </c>
      <c r="D2198" s="3"/>
    </row>
    <row r="2199" spans="1:4" x14ac:dyDescent="0.25">
      <c r="A2199" s="2" t="s">
        <v>3368</v>
      </c>
      <c r="B2199" s="2" t="s">
        <v>53</v>
      </c>
      <c r="C2199" s="31" t="str">
        <f>VLOOKUP(irregulares[[#This Row],[Similar a]],padroes[],2,0)</f>
        <v>EAR</v>
      </c>
      <c r="D2199" s="3"/>
    </row>
    <row r="2200" spans="1:4" x14ac:dyDescent="0.25">
      <c r="A2200" s="2" t="s">
        <v>3369</v>
      </c>
      <c r="B2200" s="2" t="s">
        <v>53</v>
      </c>
      <c r="C2200" s="31" t="str">
        <f>VLOOKUP(irregulares[[#This Row],[Similar a]],padroes[],2,0)</f>
        <v>EAR</v>
      </c>
      <c r="D2200" s="3"/>
    </row>
    <row r="2201" spans="1:4" x14ac:dyDescent="0.25">
      <c r="A2201" s="2" t="s">
        <v>3412</v>
      </c>
      <c r="B2201" s="2" t="s">
        <v>44</v>
      </c>
      <c r="C2201" s="31" t="str">
        <f>VLOOKUP(irregulares[[#This Row],[Similar a]],padroes[],2,0)</f>
        <v>CAR</v>
      </c>
      <c r="D2201" s="3"/>
    </row>
    <row r="2202" spans="1:4" x14ac:dyDescent="0.25">
      <c r="A2202" s="2" t="s">
        <v>3370</v>
      </c>
      <c r="B2202" s="2" t="s">
        <v>53</v>
      </c>
      <c r="C2202" s="31" t="str">
        <f>VLOOKUP(irregulares[[#This Row],[Similar a]],padroes[],2,0)</f>
        <v>EAR</v>
      </c>
      <c r="D2202" s="3"/>
    </row>
    <row r="2203" spans="1:4" x14ac:dyDescent="0.25">
      <c r="A2203" s="2" t="s">
        <v>3371</v>
      </c>
      <c r="B2203" s="2" t="s">
        <v>53</v>
      </c>
      <c r="C2203" s="31" t="str">
        <f>VLOOKUP(irregulares[[#This Row],[Similar a]],padroes[],2,0)</f>
        <v>EAR</v>
      </c>
      <c r="D2203" s="3"/>
    </row>
    <row r="2204" spans="1:4" x14ac:dyDescent="0.25">
      <c r="A2204" s="2" t="s">
        <v>3372</v>
      </c>
      <c r="B2204" s="2" t="s">
        <v>53</v>
      </c>
      <c r="C2204" s="31" t="str">
        <f>VLOOKUP(irregulares[[#This Row],[Similar a]],padroes[],2,0)</f>
        <v>EAR</v>
      </c>
      <c r="D2204" s="3"/>
    </row>
    <row r="2205" spans="1:4" x14ac:dyDescent="0.25">
      <c r="A2205" s="2" t="s">
        <v>3471</v>
      </c>
      <c r="B2205" s="2" t="s">
        <v>55</v>
      </c>
      <c r="C2205" s="31" t="str">
        <f>VLOOKUP(irregulares[[#This Row],[Similar a]],padroes[],2,0)</f>
        <v>EJAR ô</v>
      </c>
      <c r="D2205" s="3"/>
    </row>
    <row r="2206" spans="1:4" x14ac:dyDescent="0.25">
      <c r="A2206" s="2" t="s">
        <v>3413</v>
      </c>
      <c r="B2206" s="2" t="s">
        <v>44</v>
      </c>
      <c r="C2206" s="31" t="str">
        <f>VLOOKUP(irregulares[[#This Row],[Similar a]],padroes[],2,0)</f>
        <v>CAR</v>
      </c>
      <c r="D2206" s="3"/>
    </row>
    <row r="2207" spans="1:4" x14ac:dyDescent="0.25">
      <c r="A2207" s="2" t="s">
        <v>3373</v>
      </c>
      <c r="B2207" s="2" t="s">
        <v>53</v>
      </c>
      <c r="C2207" s="31" t="str">
        <f>VLOOKUP(irregulares[[#This Row],[Similar a]],padroes[],2,0)</f>
        <v>EAR</v>
      </c>
      <c r="D2207" s="3"/>
    </row>
    <row r="2208" spans="1:4" x14ac:dyDescent="0.25">
      <c r="A2208" s="2" t="s">
        <v>3374</v>
      </c>
      <c r="B2208" s="2" t="s">
        <v>53</v>
      </c>
      <c r="C2208" s="31" t="str">
        <f>VLOOKUP(irregulares[[#This Row],[Similar a]],padroes[],2,0)</f>
        <v>EAR</v>
      </c>
      <c r="D2208" s="3"/>
    </row>
    <row r="2209" spans="1:4" x14ac:dyDescent="0.25">
      <c r="A2209" s="2" t="s">
        <v>3414</v>
      </c>
      <c r="B2209" s="2" t="s">
        <v>44</v>
      </c>
      <c r="C2209" s="31" t="str">
        <f>VLOOKUP(irregulares[[#This Row],[Similar a]],padroes[],2,0)</f>
        <v>CAR</v>
      </c>
      <c r="D2209" s="3"/>
    </row>
    <row r="2210" spans="1:4" x14ac:dyDescent="0.25">
      <c r="A2210" s="2" t="s">
        <v>3454</v>
      </c>
      <c r="B2210" s="2" t="s">
        <v>74</v>
      </c>
      <c r="C2210" s="31" t="str">
        <f>VLOOKUP(irregulares[[#This Row],[Similar a]],padroes[],2,0)</f>
        <v>GAR</v>
      </c>
      <c r="D2210" s="3"/>
    </row>
    <row r="2211" spans="1:4" x14ac:dyDescent="0.25">
      <c r="A2211" s="2" t="s">
        <v>3375</v>
      </c>
      <c r="B2211" s="2" t="s">
        <v>53</v>
      </c>
      <c r="C2211" s="31" t="str">
        <f>VLOOKUP(irregulares[[#This Row],[Similar a]],padroes[],2,0)</f>
        <v>EAR</v>
      </c>
      <c r="D2211" s="3"/>
    </row>
    <row r="2212" spans="1:4" x14ac:dyDescent="0.25">
      <c r="A2212" s="2" t="s">
        <v>3421</v>
      </c>
      <c r="B2212" s="2" t="s">
        <v>44</v>
      </c>
      <c r="C2212" s="31" t="str">
        <f>VLOOKUP(irregulares[[#This Row],[Similar a]],padroes[],2,0)</f>
        <v>CAR</v>
      </c>
      <c r="D2212" s="3"/>
    </row>
    <row r="2213" spans="1:4" x14ac:dyDescent="0.25">
      <c r="A2213" s="2" t="s">
        <v>4886</v>
      </c>
      <c r="B2213" s="2" t="s">
        <v>4886</v>
      </c>
      <c r="C2213" s="31" t="str">
        <f>VLOOKUP(irregulares[[#This Row],[Similar a]],padroes[],2,0)</f>
        <v>Abundante</v>
      </c>
      <c r="D2213" s="3"/>
    </row>
    <row r="2214" spans="1:4" x14ac:dyDescent="0.25">
      <c r="A2214" s="2" t="s">
        <v>3376</v>
      </c>
      <c r="B2214" s="2" t="s">
        <v>53</v>
      </c>
      <c r="C2214" s="31" t="str">
        <f>VLOOKUP(irregulares[[#This Row],[Similar a]],padroes[],2,0)</f>
        <v>EAR</v>
      </c>
      <c r="D2214" s="3"/>
    </row>
    <row r="2215" spans="1:4" x14ac:dyDescent="0.25">
      <c r="A2215" s="2" t="s">
        <v>3472</v>
      </c>
      <c r="B2215" s="2" t="s">
        <v>55</v>
      </c>
      <c r="C2215" s="31" t="str">
        <f>VLOOKUP(irregulares[[#This Row],[Similar a]],padroes[],2,0)</f>
        <v>EJAR ô</v>
      </c>
      <c r="D2215" s="3"/>
    </row>
    <row r="2216" spans="1:4" x14ac:dyDescent="0.25">
      <c r="A2216" s="2" t="s">
        <v>3397</v>
      </c>
      <c r="B2216" s="2" t="s">
        <v>1613</v>
      </c>
      <c r="C2216" s="31" t="str">
        <f>VLOOKUP(irregulares[[#This Row],[Similar a]],padroes[],2,0)</f>
        <v>Defectivo 3</v>
      </c>
      <c r="D2216" s="3"/>
    </row>
    <row r="2217" spans="1:4" x14ac:dyDescent="0.25">
      <c r="A2217" s="2" t="s">
        <v>3415</v>
      </c>
      <c r="B2217" s="2" t="s">
        <v>44</v>
      </c>
      <c r="C2217" s="31" t="str">
        <f>VLOOKUP(irregulares[[#This Row],[Similar a]],padroes[],2,0)</f>
        <v>CAR</v>
      </c>
      <c r="D2217" s="3"/>
    </row>
    <row r="2218" spans="1:4" x14ac:dyDescent="0.25">
      <c r="A2218" s="2" t="s">
        <v>3473</v>
      </c>
      <c r="B2218" s="2" t="s">
        <v>55</v>
      </c>
      <c r="C2218" s="31" t="str">
        <f>VLOOKUP(irregulares[[#This Row],[Similar a]],padroes[],2,0)</f>
        <v>EJAR ô</v>
      </c>
      <c r="D2218" s="3"/>
    </row>
    <row r="2219" spans="1:4" x14ac:dyDescent="0.25">
      <c r="A2219" s="2" t="s">
        <v>3377</v>
      </c>
      <c r="B2219" s="2" t="s">
        <v>53</v>
      </c>
      <c r="C2219" s="31" t="str">
        <f>VLOOKUP(irregulares[[#This Row],[Similar a]],padroes[],2,0)</f>
        <v>EAR</v>
      </c>
      <c r="D2219" s="3"/>
    </row>
    <row r="2220" spans="1:4" x14ac:dyDescent="0.25">
      <c r="A2220" s="2" t="s">
        <v>3378</v>
      </c>
      <c r="B2220" s="2" t="s">
        <v>53</v>
      </c>
      <c r="C2220" s="31" t="str">
        <f>VLOOKUP(irregulares[[#This Row],[Similar a]],padroes[],2,0)</f>
        <v>EAR</v>
      </c>
      <c r="D2220" s="3"/>
    </row>
    <row r="2221" spans="1:4" x14ac:dyDescent="0.25">
      <c r="A2221" s="2" t="s">
        <v>3416</v>
      </c>
      <c r="B2221" s="2" t="s">
        <v>44</v>
      </c>
      <c r="C2221" s="31" t="str">
        <f>VLOOKUP(irregulares[[#This Row],[Similar a]],padroes[],2,0)</f>
        <v>CAR</v>
      </c>
      <c r="D2221" s="3"/>
    </row>
    <row r="2222" spans="1:4" x14ac:dyDescent="0.25">
      <c r="A2222" s="2" t="s">
        <v>3455</v>
      </c>
      <c r="B2222" s="2" t="s">
        <v>74</v>
      </c>
      <c r="C2222" s="31" t="str">
        <f>VLOOKUP(irregulares[[#This Row],[Similar a]],padroes[],2,0)</f>
        <v>GAR</v>
      </c>
      <c r="D2222" s="3"/>
    </row>
    <row r="2223" spans="1:4" x14ac:dyDescent="0.25">
      <c r="A2223" s="2" t="s">
        <v>3380</v>
      </c>
      <c r="B2223" s="2" t="s">
        <v>53</v>
      </c>
      <c r="C2223" s="31" t="str">
        <f>VLOOKUP(irregulares[[#This Row],[Similar a]],padroes[],2,0)</f>
        <v>EAR</v>
      </c>
      <c r="D2223" s="3"/>
    </row>
    <row r="2224" spans="1:4" x14ac:dyDescent="0.25">
      <c r="A2224" s="2" t="s">
        <v>3379</v>
      </c>
      <c r="B2224" s="2" t="s">
        <v>53</v>
      </c>
      <c r="C2224" s="31" t="str">
        <f>VLOOKUP(irregulares[[#This Row],[Similar a]],padroes[],2,0)</f>
        <v>EAR</v>
      </c>
      <c r="D2224" s="3"/>
    </row>
    <row r="2225" spans="1:4" x14ac:dyDescent="0.25">
      <c r="A2225" s="2" t="s">
        <v>3381</v>
      </c>
      <c r="B2225" s="2" t="s">
        <v>53</v>
      </c>
      <c r="C2225" s="31" t="str">
        <f>VLOOKUP(irregulares[[#This Row],[Similar a]],padroes[],2,0)</f>
        <v>EAR</v>
      </c>
      <c r="D2225" s="3"/>
    </row>
    <row r="2226" spans="1:4" x14ac:dyDescent="0.25">
      <c r="A2226" s="2" t="s">
        <v>2051</v>
      </c>
      <c r="B2226" s="2" t="s">
        <v>417</v>
      </c>
      <c r="C2226" s="31" t="str">
        <f>VLOOKUP(irregulares[[#This Row],[Similar a]],padroes[],2,0)</f>
        <v>IAR</v>
      </c>
      <c r="D2226" s="3"/>
    </row>
    <row r="2227" spans="1:4" x14ac:dyDescent="0.25">
      <c r="A2227" s="2" t="s">
        <v>3417</v>
      </c>
      <c r="B2227" s="2" t="s">
        <v>44</v>
      </c>
      <c r="C2227" s="31" t="str">
        <f>VLOOKUP(irregulares[[#This Row],[Similar a]],padroes[],2,0)</f>
        <v>CAR</v>
      </c>
      <c r="D2227" s="3"/>
    </row>
    <row r="2228" spans="1:4" x14ac:dyDescent="0.25">
      <c r="A2228" s="2" t="s">
        <v>3495</v>
      </c>
      <c r="B2228" s="2" t="s">
        <v>1998</v>
      </c>
      <c r="C2228" s="31" t="str">
        <f>VLOOKUP(irregulares[[#This Row],[Similar a]],padroes[],2,0)</f>
        <v>PEDIR</v>
      </c>
      <c r="D2228" s="3"/>
    </row>
    <row r="2229" spans="1:4" x14ac:dyDescent="0.25">
      <c r="A2229" s="2" t="s">
        <v>3418</v>
      </c>
      <c r="B2229" s="2" t="s">
        <v>44</v>
      </c>
      <c r="C2229" s="31" t="str">
        <f>VLOOKUP(irregulares[[#This Row],[Similar a]],padroes[],2,0)</f>
        <v>CAR</v>
      </c>
      <c r="D2229" s="3"/>
    </row>
    <row r="2230" spans="1:4" x14ac:dyDescent="0.25">
      <c r="A2230" s="2" t="s">
        <v>3456</v>
      </c>
      <c r="B2230" s="2" t="s">
        <v>74</v>
      </c>
      <c r="C2230" s="31" t="str">
        <f>VLOOKUP(irregulares[[#This Row],[Similar a]],padroes[],2,0)</f>
        <v>GAR</v>
      </c>
      <c r="D2230" s="3"/>
    </row>
    <row r="2231" spans="1:4" x14ac:dyDescent="0.25">
      <c r="A2231" s="2" t="s">
        <v>3382</v>
      </c>
      <c r="B2231" s="2" t="s">
        <v>53</v>
      </c>
      <c r="C2231" s="31" t="str">
        <f>VLOOKUP(irregulares[[#This Row],[Similar a]],padroes[],2,0)</f>
        <v>EAR</v>
      </c>
      <c r="D2231" s="3"/>
    </row>
    <row r="2232" spans="1:4" x14ac:dyDescent="0.25">
      <c r="A2232" s="2" t="s">
        <v>3457</v>
      </c>
      <c r="B2232" s="2" t="s">
        <v>74</v>
      </c>
      <c r="C2232" s="31" t="str">
        <f>VLOOKUP(irregulares[[#This Row],[Similar a]],padroes[],2,0)</f>
        <v>GAR</v>
      </c>
      <c r="D2232" s="3"/>
    </row>
    <row r="2233" spans="1:4" x14ac:dyDescent="0.25">
      <c r="A2233" s="2" t="s">
        <v>3419</v>
      </c>
      <c r="B2233" s="2" t="s">
        <v>42</v>
      </c>
      <c r="C2233" s="31" t="str">
        <f>VLOOKUP(irregulares[[#This Row],[Similar a]],padroes[],2,0)</f>
        <v>ÇAR</v>
      </c>
      <c r="D2233" s="3"/>
    </row>
    <row r="2234" spans="1:4" x14ac:dyDescent="0.25">
      <c r="A2234" s="2" t="s">
        <v>3496</v>
      </c>
      <c r="B2234" s="2" t="s">
        <v>3496</v>
      </c>
      <c r="C2234" s="31" t="str">
        <f>VLOOKUP(irregulares[[#This Row],[Similar a]],padroes[],2,0)</f>
        <v>E-X-IR</v>
      </c>
      <c r="D2234" s="3"/>
    </row>
    <row r="2235" spans="1:4" x14ac:dyDescent="0.25">
      <c r="A2235" s="2" t="s">
        <v>3383</v>
      </c>
      <c r="B2235" s="2" t="s">
        <v>53</v>
      </c>
      <c r="C2235" s="31" t="str">
        <f>VLOOKUP(irregulares[[#This Row],[Similar a]],padroes[],2,0)</f>
        <v>EAR</v>
      </c>
      <c r="D2235" s="3"/>
    </row>
    <row r="2236" spans="1:4" x14ac:dyDescent="0.25">
      <c r="A2236" s="2" t="s">
        <v>3474</v>
      </c>
      <c r="B2236" s="2" t="s">
        <v>55</v>
      </c>
      <c r="C2236" s="31" t="str">
        <f>VLOOKUP(irregulares[[#This Row],[Similar a]],padroes[],2,0)</f>
        <v>EJAR ô</v>
      </c>
      <c r="D2236" s="3"/>
    </row>
    <row r="2237" spans="1:4" x14ac:dyDescent="0.25">
      <c r="A2237" s="2" t="s">
        <v>3420</v>
      </c>
      <c r="B2237" s="2" t="s">
        <v>44</v>
      </c>
      <c r="C2237" s="31" t="str">
        <f>VLOOKUP(irregulares[[#This Row],[Similar a]],padroes[],2,0)</f>
        <v>CAR</v>
      </c>
      <c r="D2237" s="3"/>
    </row>
    <row r="2238" spans="1:4" x14ac:dyDescent="0.25">
      <c r="A2238" s="2" t="s">
        <v>3484</v>
      </c>
      <c r="B2238" s="2" t="s">
        <v>63</v>
      </c>
      <c r="C2238" s="31" t="str">
        <f>VLOOKUP(irregulares[[#This Row],[Similar a]],padroes[],2,0)</f>
        <v>CER</v>
      </c>
      <c r="D2238" s="3"/>
    </row>
    <row r="2239" spans="1:4" x14ac:dyDescent="0.25">
      <c r="A2239" s="2" t="s">
        <v>3475</v>
      </c>
      <c r="B2239" s="2" t="s">
        <v>55</v>
      </c>
      <c r="C2239" s="31" t="str">
        <f>VLOOKUP(irregulares[[#This Row],[Similar a]],padroes[],2,0)</f>
        <v>EJAR ô</v>
      </c>
      <c r="D2239" s="3"/>
    </row>
    <row r="2240" spans="1:4" x14ac:dyDescent="0.25">
      <c r="A2240" s="2" t="s">
        <v>3384</v>
      </c>
      <c r="B2240" s="2" t="s">
        <v>53</v>
      </c>
      <c r="C2240" s="31" t="str">
        <f>VLOOKUP(irregulares[[#This Row],[Similar a]],padroes[],2,0)</f>
        <v>EAR</v>
      </c>
      <c r="D2240" s="3"/>
    </row>
    <row r="2241" spans="1:4" x14ac:dyDescent="0.25">
      <c r="A2241" s="2" t="s">
        <v>3423</v>
      </c>
      <c r="B2241" s="2" t="s">
        <v>44</v>
      </c>
      <c r="C2241" s="31" t="str">
        <f>VLOOKUP(irregulares[[#This Row],[Similar a]],padroes[],2,0)</f>
        <v>CAR</v>
      </c>
      <c r="D2241" s="3"/>
    </row>
    <row r="2242" spans="1:4" x14ac:dyDescent="0.25">
      <c r="A2242" s="2" t="s">
        <v>3424</v>
      </c>
      <c r="B2242" s="2" t="s">
        <v>44</v>
      </c>
      <c r="C2242" s="31" t="str">
        <f>VLOOKUP(irregulares[[#This Row],[Similar a]],padroes[],2,0)</f>
        <v>CAR</v>
      </c>
      <c r="D2242" s="3"/>
    </row>
    <row r="2243" spans="1:4" x14ac:dyDescent="0.25">
      <c r="A2243" s="2" t="s">
        <v>3425</v>
      </c>
      <c r="B2243" s="2" t="s">
        <v>44</v>
      </c>
      <c r="C2243" s="31" t="str">
        <f>VLOOKUP(irregulares[[#This Row],[Similar a]],padroes[],2,0)</f>
        <v>CAR</v>
      </c>
      <c r="D2243" s="3"/>
    </row>
    <row r="2244" spans="1:4" x14ac:dyDescent="0.25">
      <c r="A2244" s="2" t="s">
        <v>3426</v>
      </c>
      <c r="B2244" s="2" t="s">
        <v>44</v>
      </c>
      <c r="C2244" s="31" t="str">
        <f>VLOOKUP(irregulares[[#This Row],[Similar a]],padroes[],2,0)</f>
        <v>CAR</v>
      </c>
      <c r="D2244" s="3"/>
    </row>
    <row r="2245" spans="1:4" x14ac:dyDescent="0.25">
      <c r="A2245" s="2" t="s">
        <v>3458</v>
      </c>
      <c r="B2245" s="2" t="s">
        <v>74</v>
      </c>
      <c r="C2245" s="31" t="str">
        <f>VLOOKUP(irregulares[[#This Row],[Similar a]],padroes[],2,0)</f>
        <v>GAR</v>
      </c>
      <c r="D2245" s="3"/>
    </row>
    <row r="2246" spans="1:4" x14ac:dyDescent="0.25">
      <c r="A2246" s="2" t="s">
        <v>3427</v>
      </c>
      <c r="B2246" s="2" t="s">
        <v>44</v>
      </c>
      <c r="C2246" s="31" t="str">
        <f>VLOOKUP(irregulares[[#This Row],[Similar a]],padroes[],2,0)</f>
        <v>CAR</v>
      </c>
      <c r="D2246" s="3"/>
    </row>
    <row r="2247" spans="1:4" x14ac:dyDescent="0.25">
      <c r="A2247" s="2" t="s">
        <v>3497</v>
      </c>
      <c r="B2247" s="2" t="s">
        <v>392</v>
      </c>
      <c r="C2247" s="31" t="str">
        <f>VLOOKUP(irregulares[[#This Row],[Similar a]],padroes[],2,0)</f>
        <v>´-GUAR</v>
      </c>
      <c r="D2247" s="3"/>
    </row>
    <row r="2248" spans="1:4" x14ac:dyDescent="0.25">
      <c r="A2248" s="2" t="s">
        <v>3428</v>
      </c>
      <c r="B2248" s="2" t="s">
        <v>44</v>
      </c>
      <c r="C2248" s="31" t="str">
        <f>VLOOKUP(irregulares[[#This Row],[Similar a]],padroes[],2,0)</f>
        <v>CAR</v>
      </c>
      <c r="D2248" s="3"/>
    </row>
    <row r="2249" spans="1:4" x14ac:dyDescent="0.25">
      <c r="A2249" s="2" t="s">
        <v>3429</v>
      </c>
      <c r="B2249" s="2" t="s">
        <v>44</v>
      </c>
      <c r="C2249" s="31" t="str">
        <f>VLOOKUP(irregulares[[#This Row],[Similar a]],padroes[],2,0)</f>
        <v>CAR</v>
      </c>
      <c r="D2249" s="3"/>
    </row>
    <row r="2250" spans="1:4" x14ac:dyDescent="0.25">
      <c r="A2250" s="2" t="s">
        <v>3498</v>
      </c>
      <c r="B2250" s="2" t="s">
        <v>82</v>
      </c>
      <c r="C2250" s="31" t="str">
        <f>VLOOKUP(irregulares[[#This Row],[Similar a]],padroes[],2,0)</f>
        <v>UIR</v>
      </c>
      <c r="D2250" s="3"/>
    </row>
    <row r="2251" spans="1:4" x14ac:dyDescent="0.25">
      <c r="A2251" s="2" t="s">
        <v>3385</v>
      </c>
      <c r="B2251" s="2" t="s">
        <v>53</v>
      </c>
      <c r="C2251" s="31" t="str">
        <f>VLOOKUP(irregulares[[#This Row],[Similar a]],padroes[],2,0)</f>
        <v>EAR</v>
      </c>
      <c r="D2251" s="3"/>
    </row>
    <row r="2252" spans="1:4" x14ac:dyDescent="0.25">
      <c r="A2252" s="2" t="s">
        <v>3430</v>
      </c>
      <c r="B2252" s="2" t="s">
        <v>44</v>
      </c>
      <c r="C2252" s="31" t="str">
        <f>VLOOKUP(irregulares[[#This Row],[Similar a]],padroes[],2,0)</f>
        <v>CAR</v>
      </c>
      <c r="D2252" s="3"/>
    </row>
    <row r="2253" spans="1:4" x14ac:dyDescent="0.25">
      <c r="A2253" s="2" t="s">
        <v>3431</v>
      </c>
      <c r="B2253" s="2" t="s">
        <v>44</v>
      </c>
      <c r="C2253" s="31" t="str">
        <f>VLOOKUP(irregulares[[#This Row],[Similar a]],padroes[],2,0)</f>
        <v>CAR</v>
      </c>
      <c r="D2253" s="3"/>
    </row>
    <row r="2254" spans="1:4" x14ac:dyDescent="0.25">
      <c r="A2254" s="2" t="s">
        <v>3432</v>
      </c>
      <c r="B2254" s="2" t="s">
        <v>44</v>
      </c>
      <c r="C2254" s="31" t="str">
        <f>VLOOKUP(irregulares[[#This Row],[Similar a]],padroes[],2,0)</f>
        <v>CAR</v>
      </c>
      <c r="D2254" s="3"/>
    </row>
    <row r="2255" spans="1:4" x14ac:dyDescent="0.25">
      <c r="A2255" s="2" t="s">
        <v>3459</v>
      </c>
      <c r="B2255" s="2" t="s">
        <v>74</v>
      </c>
      <c r="C2255" s="31" t="str">
        <f>VLOOKUP(irregulares[[#This Row],[Similar a]],padroes[],2,0)</f>
        <v>GAR</v>
      </c>
      <c r="D2255" s="3"/>
    </row>
    <row r="2256" spans="1:4" x14ac:dyDescent="0.25">
      <c r="A2256" s="2" t="s">
        <v>3386</v>
      </c>
      <c r="B2256" s="2" t="s">
        <v>53</v>
      </c>
      <c r="C2256" s="31" t="str">
        <f>VLOOKUP(irregulares[[#This Row],[Similar a]],padroes[],2,0)</f>
        <v>EAR</v>
      </c>
      <c r="D2256" s="3"/>
    </row>
    <row r="2257" spans="1:4" x14ac:dyDescent="0.25">
      <c r="A2257" s="2" t="s">
        <v>3499</v>
      </c>
      <c r="B2257" s="2" t="s">
        <v>3499</v>
      </c>
      <c r="C2257" s="31" t="str">
        <f>VLOOKUP(irregulares[[#This Row],[Similar a]],padroes[],2,0)</f>
        <v>Í-X-AR</v>
      </c>
      <c r="D2257" s="3"/>
    </row>
    <row r="2258" spans="1:4" x14ac:dyDescent="0.25">
      <c r="A2258" s="2" t="s">
        <v>3433</v>
      </c>
      <c r="B2258" s="2" t="s">
        <v>42</v>
      </c>
      <c r="C2258" s="31" t="str">
        <f>VLOOKUP(irregulares[[#This Row],[Similar a]],padroes[],2,0)</f>
        <v>ÇAR</v>
      </c>
      <c r="D2258" s="3"/>
    </row>
    <row r="2259" spans="1:4" x14ac:dyDescent="0.25">
      <c r="A2259" s="2" t="s">
        <v>3387</v>
      </c>
      <c r="B2259" s="2" t="s">
        <v>53</v>
      </c>
      <c r="C2259" s="31" t="str">
        <f>VLOOKUP(irregulares[[#This Row],[Similar a]],padroes[],2,0)</f>
        <v>EAR</v>
      </c>
      <c r="D2259" s="3"/>
    </row>
    <row r="2260" spans="1:4" x14ac:dyDescent="0.25">
      <c r="A2260" s="2" t="s">
        <v>3434</v>
      </c>
      <c r="B2260" s="2" t="s">
        <v>44</v>
      </c>
      <c r="C2260" s="31" t="str">
        <f>VLOOKUP(irregulares[[#This Row],[Similar a]],padroes[],2,0)</f>
        <v>CAR</v>
      </c>
      <c r="D2260" s="3"/>
    </row>
    <row r="2261" spans="1:4" x14ac:dyDescent="0.25">
      <c r="A2261" s="2" t="s">
        <v>3297</v>
      </c>
      <c r="B2261" s="2" t="s">
        <v>3259</v>
      </c>
      <c r="C2261" s="31" t="str">
        <f>VLOOKUP(irregulares[[#This Row],[Similar a]],padroes[],2,0)</f>
        <v>OER</v>
      </c>
      <c r="D2261" s="3"/>
    </row>
    <row r="2262" spans="1:4" x14ac:dyDescent="0.25">
      <c r="A2262" s="2" t="s">
        <v>3460</v>
      </c>
      <c r="B2262" s="2" t="s">
        <v>74</v>
      </c>
      <c r="C2262" s="31" t="str">
        <f>VLOOKUP(irregulares[[#This Row],[Similar a]],padroes[],2,0)</f>
        <v>GAR</v>
      </c>
      <c r="D2262" s="3"/>
    </row>
    <row r="2263" spans="1:4" x14ac:dyDescent="0.25">
      <c r="A2263" s="2" t="s">
        <v>3476</v>
      </c>
      <c r="B2263" s="2" t="s">
        <v>55</v>
      </c>
      <c r="C2263" s="31" t="str">
        <f>VLOOKUP(irregulares[[#This Row],[Similar a]],padroes[],2,0)</f>
        <v>EJAR ô</v>
      </c>
      <c r="D2263" s="3"/>
    </row>
    <row r="2264" spans="1:4" x14ac:dyDescent="0.25">
      <c r="A2264" s="2" t="s">
        <v>3435</v>
      </c>
      <c r="B2264" s="2" t="s">
        <v>44</v>
      </c>
      <c r="C2264" s="31" t="str">
        <f>VLOOKUP(irregulares[[#This Row],[Similar a]],padroes[],2,0)</f>
        <v>CAR</v>
      </c>
      <c r="D2264" s="3"/>
    </row>
    <row r="2265" spans="1:4" x14ac:dyDescent="0.25">
      <c r="A2265" s="2" t="s">
        <v>3388</v>
      </c>
      <c r="B2265" s="2" t="s">
        <v>53</v>
      </c>
      <c r="C2265" s="31" t="str">
        <f>VLOOKUP(irregulares[[#This Row],[Similar a]],padroes[],2,0)</f>
        <v>EAR</v>
      </c>
      <c r="D2265" s="3"/>
    </row>
    <row r="2266" spans="1:4" x14ac:dyDescent="0.25">
      <c r="A2266" s="2" t="s">
        <v>3436</v>
      </c>
      <c r="B2266" s="2" t="s">
        <v>44</v>
      </c>
      <c r="C2266" s="31" t="str">
        <f>VLOOKUP(irregulares[[#This Row],[Similar a]],padroes[],2,0)</f>
        <v>CAR</v>
      </c>
      <c r="D2266" s="3"/>
    </row>
    <row r="2267" spans="1:4" x14ac:dyDescent="0.25">
      <c r="A2267" s="2" t="s">
        <v>3461</v>
      </c>
      <c r="B2267" s="2" t="s">
        <v>74</v>
      </c>
      <c r="C2267" s="31" t="str">
        <f>VLOOKUP(irregulares[[#This Row],[Similar a]],padroes[],2,0)</f>
        <v>GAR</v>
      </c>
      <c r="D2267" s="3"/>
    </row>
    <row r="2268" spans="1:4" x14ac:dyDescent="0.25">
      <c r="A2268" s="2" t="s">
        <v>3389</v>
      </c>
      <c r="B2268" s="2" t="s">
        <v>53</v>
      </c>
      <c r="C2268" s="31" t="str">
        <f>VLOOKUP(irregulares[[#This Row],[Similar a]],padroes[],2,0)</f>
        <v>EAR</v>
      </c>
      <c r="D2268" s="3"/>
    </row>
    <row r="2269" spans="1:4" x14ac:dyDescent="0.25">
      <c r="A2269" s="2" t="s">
        <v>3437</v>
      </c>
      <c r="B2269" s="2" t="s">
        <v>44</v>
      </c>
      <c r="C2269" s="31" t="str">
        <f>VLOOKUP(irregulares[[#This Row],[Similar a]],padroes[],2,0)</f>
        <v>CAR</v>
      </c>
      <c r="D2269" s="3"/>
    </row>
    <row r="2270" spans="1:4" x14ac:dyDescent="0.25">
      <c r="A2270" s="2" t="s">
        <v>3500</v>
      </c>
      <c r="B2270" s="2" t="s">
        <v>1717</v>
      </c>
      <c r="C2270" s="31" t="str">
        <f>VLOOKUP(irregulares[[#This Row],[Similar a]],padroes[],2,0)</f>
        <v>Defectivo 1</v>
      </c>
      <c r="D2270" s="3"/>
    </row>
    <row r="2271" spans="1:4" x14ac:dyDescent="0.25">
      <c r="A2271" s="2" t="s">
        <v>3462</v>
      </c>
      <c r="B2271" s="2" t="s">
        <v>74</v>
      </c>
      <c r="C2271" s="31" t="str">
        <f>VLOOKUP(irregulares[[#This Row],[Similar a]],padroes[],2,0)</f>
        <v>GAR</v>
      </c>
      <c r="D2271" s="3"/>
    </row>
    <row r="2272" spans="1:4" x14ac:dyDescent="0.25">
      <c r="A2272" s="2" t="s">
        <v>3390</v>
      </c>
      <c r="B2272" s="2" t="s">
        <v>53</v>
      </c>
      <c r="C2272" s="31" t="str">
        <f>VLOOKUP(irregulares[[#This Row],[Similar a]],padroes[],2,0)</f>
        <v>EAR</v>
      </c>
      <c r="D2272" s="3"/>
    </row>
    <row r="2273" spans="1:4" x14ac:dyDescent="0.25">
      <c r="A2273" s="2" t="s">
        <v>3391</v>
      </c>
      <c r="B2273" s="2" t="s">
        <v>53</v>
      </c>
      <c r="C2273" s="31" t="str">
        <f>VLOOKUP(irregulares[[#This Row],[Similar a]],padroes[],2,0)</f>
        <v>EAR</v>
      </c>
      <c r="D2273" s="3"/>
    </row>
    <row r="2274" spans="1:4" x14ac:dyDescent="0.25">
      <c r="A2274" s="2" t="s">
        <v>3463</v>
      </c>
      <c r="B2274" s="2" t="s">
        <v>60</v>
      </c>
      <c r="C2274" s="31" t="str">
        <f>VLOOKUP(irregulares[[#This Row],[Similar a]],padroes[],2,0)</f>
        <v>GAR</v>
      </c>
      <c r="D2274" s="3"/>
    </row>
    <row r="2275" spans="1:4" x14ac:dyDescent="0.25">
      <c r="A2275" s="2" t="s">
        <v>3438</v>
      </c>
      <c r="B2275" s="2" t="s">
        <v>42</v>
      </c>
      <c r="C2275" s="31" t="str">
        <f>VLOOKUP(irregulares[[#This Row],[Similar a]],padroes[],2,0)</f>
        <v>ÇAR</v>
      </c>
      <c r="D2275" s="3"/>
    </row>
    <row r="2276" spans="1:4" x14ac:dyDescent="0.25">
      <c r="A2276" s="2" t="s">
        <v>3439</v>
      </c>
      <c r="B2276" s="2" t="s">
        <v>44</v>
      </c>
      <c r="C2276" s="31" t="str">
        <f>VLOOKUP(irregulares[[#This Row],[Similar a]],padroes[],2,0)</f>
        <v>CAR</v>
      </c>
      <c r="D2276" s="3"/>
    </row>
    <row r="2277" spans="1:4" x14ac:dyDescent="0.25">
      <c r="A2277" s="2" t="s">
        <v>3440</v>
      </c>
      <c r="B2277" s="2" t="s">
        <v>44</v>
      </c>
      <c r="C2277" s="31" t="str">
        <f>VLOOKUP(irregulares[[#This Row],[Similar a]],padroes[],2,0)</f>
        <v>CAR</v>
      </c>
      <c r="D2277" s="3"/>
    </row>
    <row r="2278" spans="1:4" x14ac:dyDescent="0.25">
      <c r="A2278" s="2" t="s">
        <v>3392</v>
      </c>
      <c r="B2278" s="2" t="s">
        <v>53</v>
      </c>
      <c r="C2278" s="31" t="str">
        <f>VLOOKUP(irregulares[[#This Row],[Similar a]],padroes[],2,0)</f>
        <v>EAR</v>
      </c>
      <c r="D2278" s="3"/>
    </row>
    <row r="2279" spans="1:4" x14ac:dyDescent="0.25">
      <c r="A2279" s="2" t="s">
        <v>3467</v>
      </c>
      <c r="B2279" s="2" t="s">
        <v>74</v>
      </c>
      <c r="C2279" s="31" t="str">
        <f>VLOOKUP(irregulares[[#This Row],[Similar a]],padroes[],2,0)</f>
        <v>GAR</v>
      </c>
      <c r="D2279" s="3"/>
    </row>
    <row r="2280" spans="1:4" x14ac:dyDescent="0.25">
      <c r="A2280" s="2" t="s">
        <v>3464</v>
      </c>
      <c r="B2280" s="2" t="s">
        <v>60</v>
      </c>
      <c r="C2280" s="31" t="str">
        <f>VLOOKUP(irregulares[[#This Row],[Similar a]],padroes[],2,0)</f>
        <v>GAR</v>
      </c>
      <c r="D2280" s="3"/>
    </row>
    <row r="2281" spans="1:4" x14ac:dyDescent="0.25">
      <c r="A2281" s="2" t="s">
        <v>3465</v>
      </c>
      <c r="B2281" s="2" t="s">
        <v>60</v>
      </c>
      <c r="C2281" s="31" t="str">
        <f>VLOOKUP(irregulares[[#This Row],[Similar a]],padroes[],2,0)</f>
        <v>GAR</v>
      </c>
      <c r="D2281" s="3"/>
    </row>
    <row r="2282" spans="1:4" x14ac:dyDescent="0.25">
      <c r="A2282" s="2" t="s">
        <v>3441</v>
      </c>
      <c r="B2282" s="2" t="s">
        <v>44</v>
      </c>
      <c r="C2282" s="31" t="str">
        <f>VLOOKUP(irregulares[[#This Row],[Similar a]],padroes[],2,0)</f>
        <v>CAR</v>
      </c>
      <c r="D2282" s="3"/>
    </row>
    <row r="2283" spans="1:4" x14ac:dyDescent="0.25">
      <c r="A2283" s="2" t="s">
        <v>3422</v>
      </c>
      <c r="B2283" s="2" t="s">
        <v>3422</v>
      </c>
      <c r="C2283" s="31" t="str">
        <f>VLOOKUP(irregulares[[#This Row],[Similar a]],padroes[],2,0)</f>
        <v>MOSCAR</v>
      </c>
      <c r="D2283" s="3"/>
    </row>
    <row r="2284" spans="1:4" x14ac:dyDescent="0.25">
      <c r="A2284" s="2" t="s">
        <v>3393</v>
      </c>
      <c r="B2284" s="2" t="s">
        <v>53</v>
      </c>
      <c r="C2284" s="31" t="str">
        <f>VLOOKUP(irregulares[[#This Row],[Similar a]],padroes[],2,0)</f>
        <v>EAR</v>
      </c>
      <c r="D2284" s="3"/>
    </row>
    <row r="2285" spans="1:4" x14ac:dyDescent="0.25">
      <c r="A2285" s="2" t="s">
        <v>3394</v>
      </c>
      <c r="B2285" s="2" t="s">
        <v>53</v>
      </c>
      <c r="C2285" s="31" t="str">
        <f>VLOOKUP(irregulares[[#This Row],[Similar a]],padroes[],2,0)</f>
        <v>EAR</v>
      </c>
      <c r="D2285" s="3"/>
    </row>
    <row r="2286" spans="1:4" x14ac:dyDescent="0.25">
      <c r="A2286" s="2" t="s">
        <v>3466</v>
      </c>
      <c r="B2286" s="2" t="s">
        <v>74</v>
      </c>
      <c r="C2286" s="31" t="str">
        <f>VLOOKUP(irregulares[[#This Row],[Similar a]],padroes[],2,0)</f>
        <v>GAR</v>
      </c>
      <c r="D2286" s="3"/>
    </row>
    <row r="2287" spans="1:4" x14ac:dyDescent="0.25">
      <c r="A2287" s="2" t="s">
        <v>3477</v>
      </c>
      <c r="B2287" s="2" t="s">
        <v>55</v>
      </c>
      <c r="C2287" s="31" t="str">
        <f>VLOOKUP(irregulares[[#This Row],[Similar a]],padroes[],2,0)</f>
        <v>EJAR ô</v>
      </c>
      <c r="D2287" s="3"/>
    </row>
    <row r="2288" spans="1:4" x14ac:dyDescent="0.25">
      <c r="A2288" s="2" t="s">
        <v>3478</v>
      </c>
      <c r="B2288" s="2" t="s">
        <v>55</v>
      </c>
      <c r="C2288" s="31" t="str">
        <f>VLOOKUP(irregulares[[#This Row],[Similar a]],padroes[],2,0)</f>
        <v>EJAR ô</v>
      </c>
      <c r="D2288" s="3"/>
    </row>
    <row r="2289" spans="1:4" x14ac:dyDescent="0.25">
      <c r="A2289" s="2" t="s">
        <v>3501</v>
      </c>
      <c r="B2289" s="2" t="s">
        <v>154</v>
      </c>
      <c r="C2289" s="31" t="str">
        <f>VLOOKUP(irregulares[[#This Row],[Similar a]],padroes[],2,0)</f>
        <v>GIR</v>
      </c>
      <c r="D2289" s="3"/>
    </row>
    <row r="2290" spans="1:4" x14ac:dyDescent="0.25">
      <c r="A2290" s="2" t="s">
        <v>3442</v>
      </c>
      <c r="B2290" s="2" t="s">
        <v>44</v>
      </c>
      <c r="C2290" s="31" t="str">
        <f>VLOOKUP(irregulares[[#This Row],[Similar a]],padroes[],2,0)</f>
        <v>CAR</v>
      </c>
      <c r="D2290" s="3"/>
    </row>
    <row r="2291" spans="1:4" x14ac:dyDescent="0.25">
      <c r="A2291" s="2" t="s">
        <v>3443</v>
      </c>
      <c r="B2291" s="2" t="s">
        <v>44</v>
      </c>
      <c r="C2291" s="31" t="str">
        <f>VLOOKUP(irregulares[[#This Row],[Similar a]],padroes[],2,0)</f>
        <v>CAR</v>
      </c>
      <c r="D2291" s="3"/>
    </row>
    <row r="2292" spans="1:4" x14ac:dyDescent="0.25">
      <c r="A2292" s="2" t="s">
        <v>3444</v>
      </c>
      <c r="B2292" s="2" t="s">
        <v>44</v>
      </c>
      <c r="C2292" s="31" t="str">
        <f>VLOOKUP(irregulares[[#This Row],[Similar a]],padroes[],2,0)</f>
        <v>CAR</v>
      </c>
      <c r="D2292" s="3"/>
    </row>
    <row r="2293" spans="1:4" x14ac:dyDescent="0.25">
      <c r="A2293" s="2" t="s">
        <v>3445</v>
      </c>
      <c r="B2293" s="2" t="s">
        <v>44</v>
      </c>
      <c r="C2293" s="31" t="str">
        <f>VLOOKUP(irregulares[[#This Row],[Similar a]],padroes[],2,0)</f>
        <v>CAR</v>
      </c>
      <c r="D2293" s="3"/>
    </row>
    <row r="2294" spans="1:4" x14ac:dyDescent="0.25">
      <c r="A2294" s="2" t="s">
        <v>3446</v>
      </c>
      <c r="B2294" s="2" t="s">
        <v>44</v>
      </c>
      <c r="C2294" s="31" t="str">
        <f>VLOOKUP(irregulares[[#This Row],[Similar a]],padroes[],2,0)</f>
        <v>CAR</v>
      </c>
      <c r="D2294" s="3"/>
    </row>
    <row r="2295" spans="1:4" x14ac:dyDescent="0.25">
      <c r="A2295" s="2" t="s">
        <v>3447</v>
      </c>
      <c r="B2295" s="2" t="s">
        <v>44</v>
      </c>
      <c r="C2295" s="31" t="str">
        <f>VLOOKUP(irregulares[[#This Row],[Similar a]],padroes[],2,0)</f>
        <v>CAR</v>
      </c>
      <c r="D2295" s="3"/>
    </row>
    <row r="2296" spans="1:4" x14ac:dyDescent="0.25">
      <c r="A2296" s="2" t="s">
        <v>3485</v>
      </c>
      <c r="B2296" s="2" t="s">
        <v>63</v>
      </c>
      <c r="C2296" s="31" t="str">
        <f>VLOOKUP(irregulares[[#This Row],[Similar a]],padroes[],2,0)</f>
        <v>CER</v>
      </c>
      <c r="D2296" s="3"/>
    </row>
    <row r="2297" spans="1:4" x14ac:dyDescent="0.25">
      <c r="A2297" s="2" t="s">
        <v>3479</v>
      </c>
      <c r="B2297" s="2" t="s">
        <v>55</v>
      </c>
      <c r="C2297" s="31" t="str">
        <f>VLOOKUP(irregulares[[#This Row],[Similar a]],padroes[],2,0)</f>
        <v>EJAR ô</v>
      </c>
      <c r="D2297" s="3"/>
    </row>
    <row r="2298" spans="1:4" x14ac:dyDescent="0.25">
      <c r="A2298" s="2" t="s">
        <v>3448</v>
      </c>
      <c r="B2298" s="2" t="s">
        <v>44</v>
      </c>
      <c r="C2298" s="31" t="str">
        <f>VLOOKUP(irregulares[[#This Row],[Similar a]],padroes[],2,0)</f>
        <v>CAR</v>
      </c>
      <c r="D2298" s="3"/>
    </row>
    <row r="2299" spans="1:4" x14ac:dyDescent="0.25">
      <c r="A2299" s="2" t="s">
        <v>3395</v>
      </c>
      <c r="B2299" s="2" t="s">
        <v>53</v>
      </c>
      <c r="C2299" s="31" t="str">
        <f>VLOOKUP(irregulares[[#This Row],[Similar a]],padroes[],2,0)</f>
        <v>EAR</v>
      </c>
      <c r="D2299" s="3"/>
    </row>
    <row r="2300" spans="1:4" x14ac:dyDescent="0.25">
      <c r="A2300" s="2" t="s">
        <v>3449</v>
      </c>
      <c r="B2300" s="2" t="s">
        <v>44</v>
      </c>
      <c r="C2300" s="31" t="str">
        <f>VLOOKUP(irregulares[[#This Row],[Similar a]],padroes[],2,0)</f>
        <v>CAR</v>
      </c>
      <c r="D2300" s="3"/>
    </row>
    <row r="2301" spans="1:4" x14ac:dyDescent="0.25">
      <c r="A2301" s="2" t="s">
        <v>3396</v>
      </c>
      <c r="B2301" s="2" t="s">
        <v>53</v>
      </c>
      <c r="C2301" s="31" t="str">
        <f>VLOOKUP(irregulares[[#This Row],[Similar a]],padroes[],2,0)</f>
        <v>EAR</v>
      </c>
      <c r="D2301" s="3"/>
    </row>
    <row r="2302" spans="1:4" x14ac:dyDescent="0.25">
      <c r="A2302" s="2" t="s">
        <v>1366</v>
      </c>
      <c r="B2302" s="2" t="s">
        <v>44</v>
      </c>
      <c r="C2302" s="31" t="str">
        <f>VLOOKUP(irregulares[[#This Row],[Similar a]],padroes[],2,0)</f>
        <v>CAR</v>
      </c>
      <c r="D2302" s="3"/>
    </row>
    <row r="2303" spans="1:4" x14ac:dyDescent="0.25">
      <c r="A2303" s="2" t="s">
        <v>1367</v>
      </c>
      <c r="B2303" s="2" t="s">
        <v>44</v>
      </c>
      <c r="C2303" s="31" t="str">
        <f>VLOOKUP(irregulares[[#This Row],[Similar a]],padroes[],2,0)</f>
        <v>CAR</v>
      </c>
      <c r="D2303" s="3"/>
    </row>
    <row r="2304" spans="1:4" x14ac:dyDescent="0.25">
      <c r="A2304" s="2" t="s">
        <v>1368</v>
      </c>
      <c r="B2304" s="2" t="s">
        <v>44</v>
      </c>
      <c r="C2304" s="31" t="str">
        <f>VLOOKUP(irregulares[[#This Row],[Similar a]],padroes[],2,0)</f>
        <v>CAR</v>
      </c>
      <c r="D2304" s="3"/>
    </row>
    <row r="2305" spans="1:4" x14ac:dyDescent="0.25">
      <c r="A2305" s="2" t="s">
        <v>1392</v>
      </c>
      <c r="B2305" s="2" t="s">
        <v>42</v>
      </c>
      <c r="C2305" s="31" t="str">
        <f>VLOOKUP(irregulares[[#This Row],[Similar a]],padroes[],2,0)</f>
        <v>ÇAR</v>
      </c>
      <c r="D2305" s="3"/>
    </row>
    <row r="2306" spans="1:4" x14ac:dyDescent="0.25">
      <c r="A2306" s="2" t="s">
        <v>1369</v>
      </c>
      <c r="B2306" s="2" t="s">
        <v>74</v>
      </c>
      <c r="C2306" s="31" t="str">
        <f>VLOOKUP(irregulares[[#This Row],[Similar a]],padroes[],2,0)</f>
        <v>GAR</v>
      </c>
      <c r="D2306" s="3"/>
    </row>
    <row r="2307" spans="1:4" x14ac:dyDescent="0.25">
      <c r="A2307" s="2" t="s">
        <v>1370</v>
      </c>
      <c r="B2307" s="2" t="s">
        <v>53</v>
      </c>
      <c r="C2307" s="31" t="str">
        <f>VLOOKUP(irregulares[[#This Row],[Similar a]],padroes[],2,0)</f>
        <v>EAR</v>
      </c>
      <c r="D2307" s="3"/>
    </row>
    <row r="2308" spans="1:4" x14ac:dyDescent="0.25">
      <c r="A2308" s="2" t="s">
        <v>1371</v>
      </c>
      <c r="B2308" s="2" t="s">
        <v>60</v>
      </c>
      <c r="C2308" s="31" t="str">
        <f>VLOOKUP(irregulares[[#This Row],[Similar a]],padroes[],2,0)</f>
        <v>GAR</v>
      </c>
      <c r="D2308" s="3"/>
    </row>
    <row r="2309" spans="1:4" x14ac:dyDescent="0.25">
      <c r="A2309" s="2" t="s">
        <v>1372</v>
      </c>
      <c r="B2309" s="2" t="s">
        <v>53</v>
      </c>
      <c r="C2309" s="31" t="str">
        <f>VLOOKUP(irregulares[[#This Row],[Similar a]],padroes[],2,0)</f>
        <v>EAR</v>
      </c>
      <c r="D2309" s="3"/>
    </row>
    <row r="2310" spans="1:4" x14ac:dyDescent="0.25">
      <c r="A2310" s="2" t="s">
        <v>1373</v>
      </c>
      <c r="B2310" s="2" t="s">
        <v>53</v>
      </c>
      <c r="C2310" s="31" t="str">
        <f>VLOOKUP(irregulares[[#This Row],[Similar a]],padroes[],2,0)</f>
        <v>EAR</v>
      </c>
      <c r="D2310" s="3"/>
    </row>
    <row r="2311" spans="1:4" x14ac:dyDescent="0.25">
      <c r="A2311" s="2" t="s">
        <v>1374</v>
      </c>
      <c r="B2311" s="2" t="s">
        <v>60</v>
      </c>
      <c r="C2311" s="31" t="str">
        <f>VLOOKUP(irregulares[[#This Row],[Similar a]],padroes[],2,0)</f>
        <v>GAR</v>
      </c>
      <c r="D2311" s="3"/>
    </row>
    <row r="2312" spans="1:4" x14ac:dyDescent="0.25">
      <c r="A2312" s="2" t="s">
        <v>1375</v>
      </c>
      <c r="B2312" s="2" t="s">
        <v>55</v>
      </c>
      <c r="C2312" s="31" t="str">
        <f>VLOOKUP(irregulares[[#This Row],[Similar a]],padroes[],2,0)</f>
        <v>EJAR ô</v>
      </c>
      <c r="D2312" s="3"/>
    </row>
    <row r="2313" spans="1:4" x14ac:dyDescent="0.25">
      <c r="A2313" s="2" t="s">
        <v>1376</v>
      </c>
      <c r="B2313" s="2" t="s">
        <v>1613</v>
      </c>
      <c r="C2313" s="31" t="str">
        <f>VLOOKUP(irregulares[[#This Row],[Similar a]],padroes[],2,0)</f>
        <v>Defectivo 3</v>
      </c>
      <c r="D2313" s="3"/>
    </row>
    <row r="2314" spans="1:4" x14ac:dyDescent="0.25">
      <c r="A2314" s="2" t="s">
        <v>1377</v>
      </c>
      <c r="B2314" s="2" t="s">
        <v>1377</v>
      </c>
      <c r="C2314" s="31" t="str">
        <f>VLOOKUP(irregulares[[#This Row],[Similar a]],padroes[],2,0)</f>
        <v>Defectivo 3</v>
      </c>
      <c r="D2314" s="3"/>
    </row>
    <row r="2315" spans="1:4" x14ac:dyDescent="0.25">
      <c r="A2315" s="2" t="s">
        <v>1378</v>
      </c>
      <c r="B2315" s="2" t="s">
        <v>44</v>
      </c>
      <c r="C2315" s="31" t="str">
        <f>VLOOKUP(irregulares[[#This Row],[Similar a]],padroes[],2,0)</f>
        <v>CAR</v>
      </c>
      <c r="D2315" s="3"/>
    </row>
    <row r="2316" spans="1:4" x14ac:dyDescent="0.25">
      <c r="A2316" s="2" t="s">
        <v>1379</v>
      </c>
      <c r="B2316" s="2" t="s">
        <v>44</v>
      </c>
      <c r="C2316" s="31" t="str">
        <f>VLOOKUP(irregulares[[#This Row],[Similar a]],padroes[],2,0)</f>
        <v>CAR</v>
      </c>
      <c r="D2316" s="3"/>
    </row>
    <row r="2317" spans="1:4" x14ac:dyDescent="0.25">
      <c r="A2317" s="2" t="s">
        <v>1380</v>
      </c>
      <c r="B2317" s="2" t="s">
        <v>44</v>
      </c>
      <c r="C2317" s="31" t="str">
        <f>VLOOKUP(irregulares[[#This Row],[Similar a]],padroes[],2,0)</f>
        <v>CAR</v>
      </c>
      <c r="D2317" s="3"/>
    </row>
    <row r="2318" spans="1:4" x14ac:dyDescent="0.25">
      <c r="A2318" s="2" t="s">
        <v>1381</v>
      </c>
      <c r="B2318" s="2" t="s">
        <v>1381</v>
      </c>
      <c r="C2318" s="31" t="str">
        <f>VLOOKUP(irregulares[[#This Row],[Similar a]],padroes[],2,0)</f>
        <v>Defectivo 3</v>
      </c>
      <c r="D2318" s="3"/>
    </row>
    <row r="2319" spans="1:4" x14ac:dyDescent="0.25">
      <c r="A2319" s="2" t="s">
        <v>1382</v>
      </c>
      <c r="B2319" s="2" t="s">
        <v>63</v>
      </c>
      <c r="C2319" s="31" t="str">
        <f>VLOOKUP(irregulares[[#This Row],[Similar a]],padroes[],2,0)</f>
        <v>CER</v>
      </c>
      <c r="D2319" s="3"/>
    </row>
    <row r="2320" spans="1:4" x14ac:dyDescent="0.25">
      <c r="A2320" s="2" t="s">
        <v>1383</v>
      </c>
      <c r="B2320" s="2" t="s">
        <v>53</v>
      </c>
      <c r="C2320" s="31" t="str">
        <f>VLOOKUP(irregulares[[#This Row],[Similar a]],padroes[],2,0)</f>
        <v>EAR</v>
      </c>
      <c r="D2320" s="3"/>
    </row>
    <row r="2321" spans="1:4" x14ac:dyDescent="0.25">
      <c r="A2321" s="2" t="s">
        <v>1384</v>
      </c>
      <c r="B2321" s="2" t="s">
        <v>49</v>
      </c>
      <c r="C2321" s="31" t="str">
        <f>VLOOKUP(irregulares[[#This Row],[Similar a]],padroes[],2,0)</f>
        <v>OAR</v>
      </c>
      <c r="D2321" s="3"/>
    </row>
    <row r="2322" spans="1:4" x14ac:dyDescent="0.25">
      <c r="A2322" s="2" t="s">
        <v>1385</v>
      </c>
      <c r="B2322" s="2" t="s">
        <v>63</v>
      </c>
      <c r="C2322" s="31" t="str">
        <f>VLOOKUP(irregulares[[#This Row],[Similar a]],padroes[],2,0)</f>
        <v>CER</v>
      </c>
      <c r="D2322" s="3"/>
    </row>
    <row r="2323" spans="1:4" x14ac:dyDescent="0.25">
      <c r="A2323" s="2" t="s">
        <v>1386</v>
      </c>
      <c r="B2323" s="2" t="s">
        <v>53</v>
      </c>
      <c r="C2323" s="31" t="str">
        <f>VLOOKUP(irregulares[[#This Row],[Similar a]],padroes[],2,0)</f>
        <v>EAR</v>
      </c>
      <c r="D2323" s="3"/>
    </row>
    <row r="2324" spans="1:4" x14ac:dyDescent="0.25">
      <c r="A2324" s="2" t="s">
        <v>1387</v>
      </c>
      <c r="B2324" s="2" t="s">
        <v>53</v>
      </c>
      <c r="C2324" s="31" t="str">
        <f>VLOOKUP(irregulares[[#This Row],[Similar a]],padroes[],2,0)</f>
        <v>EAR</v>
      </c>
      <c r="D2324" s="3"/>
    </row>
    <row r="2325" spans="1:4" x14ac:dyDescent="0.25">
      <c r="A2325" s="2" t="s">
        <v>1388</v>
      </c>
      <c r="B2325" s="2" t="s">
        <v>53</v>
      </c>
      <c r="C2325" s="31" t="str">
        <f>VLOOKUP(irregulares[[#This Row],[Similar a]],padroes[],2,0)</f>
        <v>EAR</v>
      </c>
      <c r="D2325" s="3"/>
    </row>
    <row r="2326" spans="1:4" x14ac:dyDescent="0.25">
      <c r="A2326" s="2" t="s">
        <v>1389</v>
      </c>
      <c r="B2326" s="2" t="s">
        <v>53</v>
      </c>
      <c r="C2326" s="31" t="str">
        <f>VLOOKUP(irregulares[[#This Row],[Similar a]],padroes[],2,0)</f>
        <v>EAR</v>
      </c>
      <c r="D2326" s="3"/>
    </row>
    <row r="2327" spans="1:4" x14ac:dyDescent="0.25">
      <c r="A2327" s="2" t="s">
        <v>1390</v>
      </c>
      <c r="B2327" s="2" t="s">
        <v>44</v>
      </c>
      <c r="C2327" s="31" t="str">
        <f>VLOOKUP(irregulares[[#This Row],[Similar a]],padroes[],2,0)</f>
        <v>CAR</v>
      </c>
      <c r="D2327" s="3"/>
    </row>
    <row r="2328" spans="1:4" x14ac:dyDescent="0.25">
      <c r="A2328" s="2" t="s">
        <v>1391</v>
      </c>
      <c r="B2328" s="2" t="s">
        <v>63</v>
      </c>
      <c r="C2328" s="31" t="str">
        <f>VLOOKUP(irregulares[[#This Row],[Similar a]],padroes[],2,0)</f>
        <v>CER</v>
      </c>
      <c r="D2328" s="3"/>
    </row>
    <row r="2329" spans="1:4" x14ac:dyDescent="0.25">
      <c r="A2329" s="2" t="s">
        <v>1393</v>
      </c>
      <c r="B2329" s="2" t="s">
        <v>44</v>
      </c>
      <c r="C2329" s="31" t="str">
        <f>VLOOKUP(irregulares[[#This Row],[Similar a]],padroes[],2,0)</f>
        <v>CAR</v>
      </c>
      <c r="D2329" s="3"/>
    </row>
    <row r="2330" spans="1:4" x14ac:dyDescent="0.25">
      <c r="A2330" s="2" t="s">
        <v>1394</v>
      </c>
      <c r="B2330" s="2" t="s">
        <v>53</v>
      </c>
      <c r="C2330" s="31" t="str">
        <f>VLOOKUP(irregulares[[#This Row],[Similar a]],padroes[],2,0)</f>
        <v>EAR</v>
      </c>
      <c r="D2330" s="3"/>
    </row>
    <row r="2331" spans="1:4" x14ac:dyDescent="0.25">
      <c r="A2331" s="2" t="s">
        <v>1395</v>
      </c>
      <c r="B2331" s="2" t="s">
        <v>53</v>
      </c>
      <c r="C2331" s="31" t="str">
        <f>VLOOKUP(irregulares[[#This Row],[Similar a]],padroes[],2,0)</f>
        <v>EAR</v>
      </c>
      <c r="D2331" s="3"/>
    </row>
    <row r="2332" spans="1:4" x14ac:dyDescent="0.25">
      <c r="A2332" s="2" t="s">
        <v>1437</v>
      </c>
      <c r="B2332" s="2" t="s">
        <v>44</v>
      </c>
      <c r="C2332" s="31" t="str">
        <f>VLOOKUP(irregulares[[#This Row],[Similar a]],padroes[],2,0)</f>
        <v>CAR</v>
      </c>
      <c r="D2332" s="3"/>
    </row>
    <row r="2333" spans="1:4" x14ac:dyDescent="0.25">
      <c r="A2333" s="2" t="s">
        <v>1438</v>
      </c>
      <c r="B2333" s="2" t="s">
        <v>63</v>
      </c>
      <c r="C2333" s="31" t="str">
        <f>VLOOKUP(irregulares[[#This Row],[Similar a]],padroes[],2,0)</f>
        <v>CER</v>
      </c>
      <c r="D2333" s="3"/>
    </row>
    <row r="2334" spans="1:4" x14ac:dyDescent="0.25">
      <c r="A2334" s="2" t="s">
        <v>1439</v>
      </c>
      <c r="B2334" s="2" t="s">
        <v>44</v>
      </c>
      <c r="C2334" s="31" t="str">
        <f>VLOOKUP(irregulares[[#This Row],[Similar a]],padroes[],2,0)</f>
        <v>CAR</v>
      </c>
      <c r="D2334" s="3"/>
    </row>
    <row r="2335" spans="1:4" x14ac:dyDescent="0.25">
      <c r="A2335" s="2" t="s">
        <v>1440</v>
      </c>
      <c r="B2335" s="2" t="s">
        <v>44</v>
      </c>
      <c r="C2335" s="31" t="str">
        <f>VLOOKUP(irregulares[[#This Row],[Similar a]],padroes[],2,0)</f>
        <v>CAR</v>
      </c>
      <c r="D2335" s="3"/>
    </row>
    <row r="2336" spans="1:4" x14ac:dyDescent="0.25">
      <c r="A2336" s="2" t="s">
        <v>1441</v>
      </c>
      <c r="B2336" s="2" t="s">
        <v>74</v>
      </c>
      <c r="C2336" s="31" t="str">
        <f>VLOOKUP(irregulares[[#This Row],[Similar a]],padroes[],2,0)</f>
        <v>GAR</v>
      </c>
      <c r="D2336" s="3"/>
    </row>
    <row r="2337" spans="1:4" x14ac:dyDescent="0.25">
      <c r="A2337" s="2" t="s">
        <v>1442</v>
      </c>
      <c r="B2337" s="2" t="s">
        <v>74</v>
      </c>
      <c r="C2337" s="31" t="str">
        <f>VLOOKUP(irregulares[[#This Row],[Similar a]],padroes[],2,0)</f>
        <v>GAR</v>
      </c>
      <c r="D2337" s="3"/>
    </row>
    <row r="2338" spans="1:4" x14ac:dyDescent="0.25">
      <c r="A2338" s="2" t="s">
        <v>1443</v>
      </c>
      <c r="B2338" s="2" t="s">
        <v>63</v>
      </c>
      <c r="C2338" s="31" t="str">
        <f>VLOOKUP(irregulares[[#This Row],[Similar a]],padroes[],2,0)</f>
        <v>CER</v>
      </c>
      <c r="D2338" s="3"/>
    </row>
    <row r="2339" spans="1:4" x14ac:dyDescent="0.25">
      <c r="A2339" s="2" t="s">
        <v>1444</v>
      </c>
      <c r="B2339" s="2" t="s">
        <v>1444</v>
      </c>
      <c r="C2339" s="31" t="str">
        <f>VLOOKUP(irregulares[[#This Row],[Similar a]],padroes[],2,0)</f>
        <v>Defectivo 3</v>
      </c>
      <c r="D2339" s="3"/>
    </row>
    <row r="2340" spans="1:4" x14ac:dyDescent="0.25">
      <c r="A2340" s="2" t="s">
        <v>1445</v>
      </c>
      <c r="B2340" s="2" t="s">
        <v>82</v>
      </c>
      <c r="C2340" s="31" t="str">
        <f>VLOOKUP(irregulares[[#This Row],[Similar a]],padroes[],2,0)</f>
        <v>UIR</v>
      </c>
      <c r="D2340" s="3"/>
    </row>
    <row r="2341" spans="1:4" x14ac:dyDescent="0.25">
      <c r="A2341" s="2" t="s">
        <v>1446</v>
      </c>
      <c r="B2341" s="2" t="s">
        <v>2243</v>
      </c>
      <c r="C2341" s="31" t="str">
        <f>VLOOKUP(irregulares[[#This Row],[Similar a]],padroes[],2,0)</f>
        <v>X-TER</v>
      </c>
      <c r="D2341" s="3"/>
    </row>
    <row r="2342" spans="1:4" x14ac:dyDescent="0.25">
      <c r="A2342" s="2" t="s">
        <v>1447</v>
      </c>
      <c r="B2342" s="2" t="s">
        <v>247</v>
      </c>
      <c r="C2342" s="31" t="str">
        <f>VLOOKUP(irregulares[[#This Row],[Similar a]],padroes[],2,0)</f>
        <v>VIR</v>
      </c>
      <c r="D2342" s="3"/>
    </row>
    <row r="2343" spans="1:4" x14ac:dyDescent="0.25">
      <c r="A2343" s="2" t="s">
        <v>1448</v>
      </c>
      <c r="B2343" s="2" t="s">
        <v>44</v>
      </c>
      <c r="C2343" s="31" t="str">
        <f>VLOOKUP(irregulares[[#This Row],[Similar a]],padroes[],2,0)</f>
        <v>CAR</v>
      </c>
      <c r="D2343" s="3"/>
    </row>
    <row r="2344" spans="1:4" x14ac:dyDescent="0.25">
      <c r="A2344" s="2" t="s">
        <v>1449</v>
      </c>
      <c r="B2344" s="2" t="s">
        <v>82</v>
      </c>
      <c r="C2344" s="31" t="str">
        <f>VLOOKUP(irregulares[[#This Row],[Similar a]],padroes[],2,0)</f>
        <v>UIR</v>
      </c>
      <c r="D2344" s="3"/>
    </row>
    <row r="2345" spans="1:4" x14ac:dyDescent="0.25">
      <c r="A2345" s="2" t="s">
        <v>1450</v>
      </c>
      <c r="B2345" s="2" t="s">
        <v>44</v>
      </c>
      <c r="C2345" s="31" t="str">
        <f>VLOOKUP(irregulares[[#This Row],[Similar a]],padroes[],2,0)</f>
        <v>CAR</v>
      </c>
      <c r="D2345" s="3"/>
    </row>
    <row r="2346" spans="1:4" x14ac:dyDescent="0.25">
      <c r="A2346" s="2" t="s">
        <v>417</v>
      </c>
      <c r="B2346" s="2" t="s">
        <v>417</v>
      </c>
      <c r="C2346" s="31" t="str">
        <f>VLOOKUP(irregulares[[#This Row],[Similar a]],padroes[],2,0)</f>
        <v>IAR</v>
      </c>
      <c r="D2346" s="3"/>
    </row>
    <row r="2347" spans="1:4" x14ac:dyDescent="0.25">
      <c r="A2347" s="2" t="s">
        <v>1451</v>
      </c>
      <c r="B2347" s="2" t="s">
        <v>60</v>
      </c>
      <c r="C2347" s="31" t="str">
        <f>VLOOKUP(irregulares[[#This Row],[Similar a]],padroes[],2,0)</f>
        <v>GAR</v>
      </c>
      <c r="D2347" s="3"/>
    </row>
    <row r="2348" spans="1:4" x14ac:dyDescent="0.25">
      <c r="A2348" s="2" t="s">
        <v>1452</v>
      </c>
      <c r="B2348" s="2" t="s">
        <v>63</v>
      </c>
      <c r="C2348" s="31" t="str">
        <f>VLOOKUP(irregulares[[#This Row],[Similar a]],padroes[],2,0)</f>
        <v>CER</v>
      </c>
      <c r="D2348" s="3"/>
    </row>
    <row r="2349" spans="1:4" x14ac:dyDescent="0.25">
      <c r="A2349" s="2" t="s">
        <v>1453</v>
      </c>
      <c r="B2349" s="2" t="s">
        <v>44</v>
      </c>
      <c r="C2349" s="31" t="str">
        <f>VLOOKUP(irregulares[[#This Row],[Similar a]],padroes[],2,0)</f>
        <v>CAR</v>
      </c>
      <c r="D2349" s="3"/>
    </row>
    <row r="2350" spans="1:4" x14ac:dyDescent="0.25">
      <c r="A2350" s="2" t="s">
        <v>1454</v>
      </c>
      <c r="B2350" s="2" t="s">
        <v>42</v>
      </c>
      <c r="C2350" s="31" t="str">
        <f>VLOOKUP(irregulares[[#This Row],[Similar a]],padroes[],2,0)</f>
        <v>ÇAR</v>
      </c>
      <c r="D2350" s="3"/>
    </row>
    <row r="2351" spans="1:4" x14ac:dyDescent="0.25">
      <c r="A2351" s="2" t="s">
        <v>1455</v>
      </c>
      <c r="B2351" s="2" t="s">
        <v>53</v>
      </c>
      <c r="C2351" s="31" t="str">
        <f>VLOOKUP(irregulares[[#This Row],[Similar a]],padroes[],2,0)</f>
        <v>EAR</v>
      </c>
      <c r="D2351" s="3"/>
    </row>
    <row r="2352" spans="1:4" x14ac:dyDescent="0.25">
      <c r="A2352" s="2" t="s">
        <v>1456</v>
      </c>
      <c r="B2352" s="2" t="s">
        <v>53</v>
      </c>
      <c r="C2352" s="31" t="str">
        <f>VLOOKUP(irregulares[[#This Row],[Similar a]],padroes[],2,0)</f>
        <v>EAR</v>
      </c>
      <c r="D2352" s="3"/>
    </row>
    <row r="2353" spans="1:4" x14ac:dyDescent="0.25">
      <c r="A2353" s="2" t="s">
        <v>1457</v>
      </c>
      <c r="B2353" s="2" t="s">
        <v>53</v>
      </c>
      <c r="C2353" s="31" t="str">
        <f>VLOOKUP(irregulares[[#This Row],[Similar a]],padroes[],2,0)</f>
        <v>EAR</v>
      </c>
      <c r="D2353" s="3"/>
    </row>
    <row r="2354" spans="1:4" x14ac:dyDescent="0.25">
      <c r="A2354" s="2" t="s">
        <v>1458</v>
      </c>
      <c r="B2354" s="2" t="s">
        <v>44</v>
      </c>
      <c r="C2354" s="31" t="str">
        <f>VLOOKUP(irregulares[[#This Row],[Similar a]],padroes[],2,0)</f>
        <v>CAR</v>
      </c>
      <c r="D2354" s="3"/>
    </row>
    <row r="2355" spans="1:4" x14ac:dyDescent="0.25">
      <c r="A2355" s="2" t="s">
        <v>1459</v>
      </c>
      <c r="B2355" s="2" t="s">
        <v>267</v>
      </c>
      <c r="C2355" s="31" t="str">
        <f>VLOOKUP(irregulares[[#This Row],[Similar a]],padroes[],2,0)</f>
        <v>POR</v>
      </c>
      <c r="D2355" s="3"/>
    </row>
    <row r="2356" spans="1:4" x14ac:dyDescent="0.25">
      <c r="A2356" s="2" t="s">
        <v>1460</v>
      </c>
      <c r="B2356" s="2" t="s">
        <v>2008</v>
      </c>
      <c r="C2356" s="31" t="str">
        <f>VLOOKUP(irregulares[[#This Row],[Similar a]],padroes[],2,0)</f>
        <v>Abundante</v>
      </c>
      <c r="D2356" s="3"/>
    </row>
    <row r="2357" spans="1:4" x14ac:dyDescent="0.25">
      <c r="A2357" s="2" t="s">
        <v>1461</v>
      </c>
      <c r="B2357" s="2" t="s">
        <v>42</v>
      </c>
      <c r="C2357" s="31" t="str">
        <f>VLOOKUP(irregulares[[#This Row],[Similar a]],padroes[],2,0)</f>
        <v>ÇAR</v>
      </c>
      <c r="D2357" s="3"/>
    </row>
    <row r="2358" spans="1:4" x14ac:dyDescent="0.25">
      <c r="A2358" s="2" t="s">
        <v>1462</v>
      </c>
      <c r="B2358" s="2" t="s">
        <v>53</v>
      </c>
      <c r="C2358" s="31" t="str">
        <f>VLOOKUP(irregulares[[#This Row],[Similar a]],padroes[],2,0)</f>
        <v>EAR</v>
      </c>
      <c r="D2358" s="3"/>
    </row>
    <row r="2359" spans="1:4" x14ac:dyDescent="0.25">
      <c r="A2359" s="2" t="s">
        <v>1463</v>
      </c>
      <c r="B2359" s="2" t="s">
        <v>157</v>
      </c>
      <c r="C2359" s="31" t="str">
        <f>VLOOKUP(irregulares[[#This Row],[Similar a]],padroes[],2,0)</f>
        <v>ELHAR</v>
      </c>
      <c r="D2359" s="3"/>
    </row>
    <row r="2360" spans="1:4" x14ac:dyDescent="0.25">
      <c r="A2360" s="2" t="s">
        <v>1464</v>
      </c>
      <c r="B2360" s="2" t="s">
        <v>53</v>
      </c>
      <c r="C2360" s="31" t="str">
        <f>VLOOKUP(irregulares[[#This Row],[Similar a]],padroes[],2,0)</f>
        <v>EAR</v>
      </c>
      <c r="D2360" s="3"/>
    </row>
    <row r="2361" spans="1:4" x14ac:dyDescent="0.25">
      <c r="A2361" s="2" t="s">
        <v>1465</v>
      </c>
      <c r="B2361" s="2" t="s">
        <v>55</v>
      </c>
      <c r="C2361" s="31" t="str">
        <f>VLOOKUP(irregulares[[#This Row],[Similar a]],padroes[],2,0)</f>
        <v>EJAR ô</v>
      </c>
      <c r="D2361" s="3"/>
    </row>
    <row r="2362" spans="1:4" x14ac:dyDescent="0.25">
      <c r="A2362" s="2" t="s">
        <v>1745</v>
      </c>
      <c r="B2362" s="2" t="s">
        <v>53</v>
      </c>
      <c r="C2362" s="31" t="str">
        <f>VLOOKUP(irregulares[[#This Row],[Similar a]],padroes[],2,0)</f>
        <v>EAR</v>
      </c>
      <c r="D2362" s="3"/>
    </row>
    <row r="2363" spans="1:4" x14ac:dyDescent="0.25">
      <c r="A2363" s="2" t="s">
        <v>1466</v>
      </c>
      <c r="B2363" s="2" t="s">
        <v>44</v>
      </c>
      <c r="C2363" s="31" t="str">
        <f>VLOOKUP(irregulares[[#This Row],[Similar a]],padroes[],2,0)</f>
        <v>CAR</v>
      </c>
      <c r="D2363" s="3"/>
    </row>
    <row r="2364" spans="1:4" x14ac:dyDescent="0.25">
      <c r="A2364" s="2" t="s">
        <v>1467</v>
      </c>
      <c r="B2364" s="2" t="s">
        <v>42</v>
      </c>
      <c r="C2364" s="31" t="str">
        <f>VLOOKUP(irregulares[[#This Row],[Similar a]],padroes[],2,0)</f>
        <v>ÇAR</v>
      </c>
      <c r="D2364" s="3"/>
    </row>
    <row r="2365" spans="1:4" x14ac:dyDescent="0.25">
      <c r="A2365" s="2" t="s">
        <v>1468</v>
      </c>
      <c r="B2365" s="2" t="s">
        <v>53</v>
      </c>
      <c r="C2365" s="31" t="str">
        <f>VLOOKUP(irregulares[[#This Row],[Similar a]],padroes[],2,0)</f>
        <v>EAR</v>
      </c>
      <c r="D2365" s="3"/>
    </row>
    <row r="2366" spans="1:4" x14ac:dyDescent="0.25">
      <c r="A2366" s="2" t="s">
        <v>1469</v>
      </c>
      <c r="B2366" s="2" t="s">
        <v>74</v>
      </c>
      <c r="C2366" s="31" t="str">
        <f>VLOOKUP(irregulares[[#This Row],[Similar a]],padroes[],2,0)</f>
        <v>GAR</v>
      </c>
      <c r="D2366" s="3"/>
    </row>
    <row r="2367" spans="1:4" x14ac:dyDescent="0.25">
      <c r="A2367" s="2" t="s">
        <v>1470</v>
      </c>
      <c r="B2367" s="2" t="s">
        <v>1998</v>
      </c>
      <c r="C2367" s="31" t="str">
        <f>VLOOKUP(irregulares[[#This Row],[Similar a]],padroes[],2,0)</f>
        <v>PEDIR</v>
      </c>
      <c r="D2367" s="3"/>
    </row>
    <row r="2368" spans="1:4" x14ac:dyDescent="0.25">
      <c r="A2368" s="2" t="s">
        <v>2611</v>
      </c>
      <c r="B2368" s="2" t="s">
        <v>55</v>
      </c>
      <c r="C2368" s="31" t="str">
        <f>VLOOKUP(irregulares[[#This Row],[Similar a]],padroes[],2,0)</f>
        <v>EJAR ô</v>
      </c>
      <c r="D2368" s="3"/>
    </row>
    <row r="2369" spans="1:4" x14ac:dyDescent="0.25">
      <c r="A2369" s="2" t="s">
        <v>2612</v>
      </c>
      <c r="B2369" s="2" t="s">
        <v>44</v>
      </c>
      <c r="C2369" s="31" t="str">
        <f>VLOOKUP(irregulares[[#This Row],[Similar a]],padroes[],2,0)</f>
        <v>CAR</v>
      </c>
      <c r="D2369" s="3"/>
    </row>
    <row r="2370" spans="1:4" x14ac:dyDescent="0.25">
      <c r="A2370" s="2" t="s">
        <v>2613</v>
      </c>
      <c r="B2370" s="2" t="s">
        <v>63</v>
      </c>
      <c r="C2370" s="31" t="str">
        <f>VLOOKUP(irregulares[[#This Row],[Similar a]],padroes[],2,0)</f>
        <v>CER</v>
      </c>
      <c r="D2370" s="3"/>
    </row>
    <row r="2371" spans="1:4" x14ac:dyDescent="0.25">
      <c r="A2371" s="2" t="s">
        <v>2614</v>
      </c>
      <c r="B2371" s="2" t="s">
        <v>55</v>
      </c>
      <c r="C2371" s="31" t="str">
        <f>VLOOKUP(irregulares[[#This Row],[Similar a]],padroes[],2,0)</f>
        <v>EJAR ô</v>
      </c>
      <c r="D2371" s="3"/>
    </row>
    <row r="2372" spans="1:4" x14ac:dyDescent="0.25">
      <c r="A2372" s="2" t="s">
        <v>2615</v>
      </c>
      <c r="B2372" s="2" t="s">
        <v>53</v>
      </c>
      <c r="C2372" s="31" t="str">
        <f>VLOOKUP(irregulares[[#This Row],[Similar a]],padroes[],2,0)</f>
        <v>EAR</v>
      </c>
      <c r="D2372" s="3"/>
    </row>
    <row r="2373" spans="1:4" x14ac:dyDescent="0.25">
      <c r="A2373" s="2" t="s">
        <v>423</v>
      </c>
      <c r="B2373" s="2" t="s">
        <v>423</v>
      </c>
      <c r="C2373" s="31" t="str">
        <f>VLOOKUP(irregulares[[#This Row],[Similar a]],padroes[],2,0)</f>
        <v>GAR</v>
      </c>
      <c r="D2373" s="3"/>
    </row>
    <row r="2374" spans="1:4" x14ac:dyDescent="0.25">
      <c r="A2374" s="2" t="s">
        <v>2616</v>
      </c>
      <c r="B2374" s="2" t="s">
        <v>53</v>
      </c>
      <c r="C2374" s="31" t="str">
        <f>VLOOKUP(irregulares[[#This Row],[Similar a]],padroes[],2,0)</f>
        <v>EAR</v>
      </c>
      <c r="D2374" s="3"/>
    </row>
    <row r="2375" spans="1:4" x14ac:dyDescent="0.25">
      <c r="A2375" s="2" t="s">
        <v>2617</v>
      </c>
      <c r="B2375" s="2" t="s">
        <v>53</v>
      </c>
      <c r="C2375" s="31" t="str">
        <f>VLOOKUP(irregulares[[#This Row],[Similar a]],padroes[],2,0)</f>
        <v>EAR</v>
      </c>
      <c r="D2375" s="3"/>
    </row>
    <row r="2376" spans="1:4" x14ac:dyDescent="0.25">
      <c r="A2376" s="2" t="s">
        <v>2618</v>
      </c>
      <c r="B2376" s="2" t="s">
        <v>53</v>
      </c>
      <c r="C2376" s="31" t="str">
        <f>VLOOKUP(irregulares[[#This Row],[Similar a]],padroes[],2,0)</f>
        <v>EAR</v>
      </c>
      <c r="D2376" s="3"/>
    </row>
    <row r="2377" spans="1:4" x14ac:dyDescent="0.25">
      <c r="A2377" s="2" t="s">
        <v>2619</v>
      </c>
      <c r="B2377" s="2" t="s">
        <v>53</v>
      </c>
      <c r="C2377" s="31" t="str">
        <f>VLOOKUP(irregulares[[#This Row],[Similar a]],padroes[],2,0)</f>
        <v>EAR</v>
      </c>
      <c r="D2377" s="3"/>
    </row>
    <row r="2378" spans="1:4" x14ac:dyDescent="0.25">
      <c r="A2378" s="2" t="s">
        <v>2620</v>
      </c>
      <c r="B2378" s="2" t="s">
        <v>53</v>
      </c>
      <c r="C2378" s="31" t="str">
        <f>VLOOKUP(irregulares[[#This Row],[Similar a]],padroes[],2,0)</f>
        <v>EAR</v>
      </c>
      <c r="D2378" s="3"/>
    </row>
    <row r="2379" spans="1:4" x14ac:dyDescent="0.25">
      <c r="A2379" s="2" t="s">
        <v>2621</v>
      </c>
      <c r="B2379" s="2" t="s">
        <v>55</v>
      </c>
      <c r="C2379" s="31" t="str">
        <f>VLOOKUP(irregulares[[#This Row],[Similar a]],padroes[],2,0)</f>
        <v>EJAR ô</v>
      </c>
      <c r="D2379" s="3"/>
    </row>
    <row r="2380" spans="1:4" x14ac:dyDescent="0.25">
      <c r="A2380" s="2" t="s">
        <v>2622</v>
      </c>
      <c r="B2380" s="2" t="s">
        <v>53</v>
      </c>
      <c r="C2380" s="31" t="str">
        <f>VLOOKUP(irregulares[[#This Row],[Similar a]],padroes[],2,0)</f>
        <v>EAR</v>
      </c>
      <c r="D2380" s="3"/>
    </row>
    <row r="2381" spans="1:4" x14ac:dyDescent="0.25">
      <c r="A2381" s="2" t="s">
        <v>2623</v>
      </c>
      <c r="B2381" s="2" t="s">
        <v>53</v>
      </c>
      <c r="C2381" s="31" t="str">
        <f>VLOOKUP(irregulares[[#This Row],[Similar a]],padroes[],2,0)</f>
        <v>EAR</v>
      </c>
      <c r="D2381" s="3"/>
    </row>
    <row r="2382" spans="1:4" x14ac:dyDescent="0.25">
      <c r="A2382" s="2" t="s">
        <v>2624</v>
      </c>
      <c r="B2382" s="2" t="s">
        <v>53</v>
      </c>
      <c r="C2382" s="31" t="str">
        <f>VLOOKUP(irregulares[[#This Row],[Similar a]],padroes[],2,0)</f>
        <v>EAR</v>
      </c>
      <c r="D2382" s="3"/>
    </row>
    <row r="2383" spans="1:4" x14ac:dyDescent="0.25">
      <c r="A2383" s="2" t="s">
        <v>2625</v>
      </c>
      <c r="B2383" s="2" t="s">
        <v>44</v>
      </c>
      <c r="C2383" s="31" t="str">
        <f>VLOOKUP(irregulares[[#This Row],[Similar a]],padroes[],2,0)</f>
        <v>CAR</v>
      </c>
      <c r="D2383" s="3"/>
    </row>
    <row r="2384" spans="1:4" x14ac:dyDescent="0.25">
      <c r="A2384" s="2" t="s">
        <v>2626</v>
      </c>
      <c r="B2384" s="2" t="s">
        <v>49</v>
      </c>
      <c r="C2384" s="31" t="str">
        <f>VLOOKUP(irregulares[[#This Row],[Similar a]],padroes[],2,0)</f>
        <v>OAR</v>
      </c>
      <c r="D2384" s="3"/>
    </row>
    <row r="2385" spans="1:4" x14ac:dyDescent="0.25">
      <c r="A2385" s="2" t="s">
        <v>2627</v>
      </c>
      <c r="B2385" s="2" t="s">
        <v>53</v>
      </c>
      <c r="C2385" s="31" t="str">
        <f>VLOOKUP(irregulares[[#This Row],[Similar a]],padroes[],2,0)</f>
        <v>EAR</v>
      </c>
      <c r="D2385" s="3"/>
    </row>
    <row r="2386" spans="1:4" x14ac:dyDescent="0.25">
      <c r="A2386" s="2" t="s">
        <v>2628</v>
      </c>
      <c r="B2386" s="2" t="s">
        <v>53</v>
      </c>
      <c r="C2386" s="31" t="str">
        <f>VLOOKUP(irregulares[[#This Row],[Similar a]],padroes[],2,0)</f>
        <v>EAR</v>
      </c>
      <c r="D2386" s="3"/>
    </row>
    <row r="2387" spans="1:4" x14ac:dyDescent="0.25">
      <c r="A2387" s="2" t="s">
        <v>2629</v>
      </c>
      <c r="B2387" s="2" t="s">
        <v>53</v>
      </c>
      <c r="C2387" s="31" t="str">
        <f>VLOOKUP(irregulares[[#This Row],[Similar a]],padroes[],2,0)</f>
        <v>EAR</v>
      </c>
      <c r="D2387" s="3"/>
    </row>
    <row r="2388" spans="1:4" x14ac:dyDescent="0.25">
      <c r="A2388" s="2" t="s">
        <v>2630</v>
      </c>
      <c r="B2388" s="2" t="s">
        <v>53</v>
      </c>
      <c r="C2388" s="31" t="str">
        <f>VLOOKUP(irregulares[[#This Row],[Similar a]],padroes[],2,0)</f>
        <v>EAR</v>
      </c>
      <c r="D2388" s="3"/>
    </row>
    <row r="2389" spans="1:4" x14ac:dyDescent="0.25">
      <c r="A2389" s="2" t="s">
        <v>2631</v>
      </c>
      <c r="B2389" s="2" t="s">
        <v>55</v>
      </c>
      <c r="C2389" s="31" t="str">
        <f>VLOOKUP(irregulares[[#This Row],[Similar a]],padroes[],2,0)</f>
        <v>EJAR ô</v>
      </c>
      <c r="D2389" s="3"/>
    </row>
    <row r="2390" spans="1:4" x14ac:dyDescent="0.25">
      <c r="A2390" s="2" t="s">
        <v>2632</v>
      </c>
      <c r="B2390" s="2" t="s">
        <v>44</v>
      </c>
      <c r="C2390" s="31" t="str">
        <f>VLOOKUP(irregulares[[#This Row],[Similar a]],padroes[],2,0)</f>
        <v>CAR</v>
      </c>
      <c r="D2390" s="3"/>
    </row>
    <row r="2391" spans="1:4" x14ac:dyDescent="0.25">
      <c r="A2391" s="2" t="s">
        <v>2633</v>
      </c>
      <c r="B2391" s="2" t="s">
        <v>53</v>
      </c>
      <c r="C2391" s="31" t="str">
        <f>VLOOKUP(irregulares[[#This Row],[Similar a]],padroes[],2,0)</f>
        <v>EAR</v>
      </c>
      <c r="D2391" s="3"/>
    </row>
    <row r="2392" spans="1:4" x14ac:dyDescent="0.25">
      <c r="A2392" s="2" t="s">
        <v>2634</v>
      </c>
      <c r="B2392" s="2" t="s">
        <v>53</v>
      </c>
      <c r="C2392" s="31" t="str">
        <f>VLOOKUP(irregulares[[#This Row],[Similar a]],padroes[],2,0)</f>
        <v>EAR</v>
      </c>
      <c r="D2392" s="3"/>
    </row>
    <row r="2393" spans="1:4" x14ac:dyDescent="0.25">
      <c r="A2393" s="2" t="s">
        <v>2635</v>
      </c>
      <c r="B2393" s="2" t="s">
        <v>44</v>
      </c>
      <c r="C2393" s="31" t="str">
        <f>VLOOKUP(irregulares[[#This Row],[Similar a]],padroes[],2,0)</f>
        <v>CAR</v>
      </c>
      <c r="D2393" s="3"/>
    </row>
    <row r="2394" spans="1:4" x14ac:dyDescent="0.25">
      <c r="A2394" s="2" t="s">
        <v>2636</v>
      </c>
      <c r="B2394" s="2" t="s">
        <v>53</v>
      </c>
      <c r="C2394" s="31" t="str">
        <f>VLOOKUP(irregulares[[#This Row],[Similar a]],padroes[],2,0)</f>
        <v>EAR</v>
      </c>
      <c r="D2394" s="3"/>
    </row>
    <row r="2395" spans="1:4" x14ac:dyDescent="0.25">
      <c r="A2395" s="2" t="s">
        <v>2637</v>
      </c>
      <c r="B2395" s="2" t="s">
        <v>53</v>
      </c>
      <c r="C2395" s="31" t="str">
        <f>VLOOKUP(irregulares[[#This Row],[Similar a]],padroes[],2,0)</f>
        <v>EAR</v>
      </c>
      <c r="D2395" s="3"/>
    </row>
    <row r="2396" spans="1:4" x14ac:dyDescent="0.25">
      <c r="A2396" s="2" t="s">
        <v>2638</v>
      </c>
      <c r="B2396" s="2" t="s">
        <v>44</v>
      </c>
      <c r="C2396" s="31" t="str">
        <f>VLOOKUP(irregulares[[#This Row],[Similar a]],padroes[],2,0)</f>
        <v>CAR</v>
      </c>
      <c r="D2396" s="3"/>
    </row>
    <row r="2397" spans="1:4" x14ac:dyDescent="0.25">
      <c r="A2397" s="2" t="s">
        <v>2639</v>
      </c>
      <c r="B2397" s="2" t="s">
        <v>53</v>
      </c>
      <c r="C2397" s="31" t="str">
        <f>VLOOKUP(irregulares[[#This Row],[Similar a]],padroes[],2,0)</f>
        <v>EAR</v>
      </c>
      <c r="D2397" s="3"/>
    </row>
    <row r="2398" spans="1:4" x14ac:dyDescent="0.25">
      <c r="A2398" s="2" t="s">
        <v>2640</v>
      </c>
      <c r="B2398" s="2" t="s">
        <v>53</v>
      </c>
      <c r="C2398" s="31" t="str">
        <f>VLOOKUP(irregulares[[#This Row],[Similar a]],padroes[],2,0)</f>
        <v>EAR</v>
      </c>
      <c r="D2398" s="3"/>
    </row>
    <row r="2399" spans="1:4" x14ac:dyDescent="0.25">
      <c r="A2399" s="2" t="s">
        <v>2641</v>
      </c>
      <c r="B2399" s="2" t="s">
        <v>53</v>
      </c>
      <c r="C2399" s="31" t="str">
        <f>VLOOKUP(irregulares[[#This Row],[Similar a]],padroes[],2,0)</f>
        <v>EAR</v>
      </c>
      <c r="D2399" s="3"/>
    </row>
    <row r="2400" spans="1:4" x14ac:dyDescent="0.25">
      <c r="A2400" s="2" t="s">
        <v>2642</v>
      </c>
      <c r="B2400" s="2" t="s">
        <v>44</v>
      </c>
      <c r="C2400" s="31" t="str">
        <f>VLOOKUP(irregulares[[#This Row],[Similar a]],padroes[],2,0)</f>
        <v>CAR</v>
      </c>
      <c r="D2400" s="3"/>
    </row>
    <row r="2401" spans="1:4" x14ac:dyDescent="0.25">
      <c r="A2401" s="2" t="s">
        <v>2643</v>
      </c>
      <c r="B2401" s="2" t="s">
        <v>2643</v>
      </c>
      <c r="C2401" s="31" t="str">
        <f>VLOOKUP(irregulares[[#This Row],[Similar a]],padroes[],2,0)</f>
        <v>PARAR</v>
      </c>
      <c r="D2401" s="3"/>
    </row>
    <row r="2402" spans="1:4" x14ac:dyDescent="0.25">
      <c r="A2402" s="2" t="s">
        <v>2644</v>
      </c>
      <c r="B2402" s="2" t="s">
        <v>53</v>
      </c>
      <c r="C2402" s="31" t="str">
        <f>VLOOKUP(irregulares[[#This Row],[Similar a]],padroes[],2,0)</f>
        <v>EAR</v>
      </c>
      <c r="D2402" s="3"/>
    </row>
    <row r="2403" spans="1:4" x14ac:dyDescent="0.25">
      <c r="A2403" s="2" t="s">
        <v>2645</v>
      </c>
      <c r="B2403" s="2" t="s">
        <v>53</v>
      </c>
      <c r="C2403" s="31" t="str">
        <f>VLOOKUP(irregulares[[#This Row],[Similar a]],padroes[],2,0)</f>
        <v>EAR</v>
      </c>
      <c r="D2403" s="3"/>
    </row>
    <row r="2404" spans="1:4" x14ac:dyDescent="0.25">
      <c r="A2404" s="2" t="s">
        <v>2646</v>
      </c>
      <c r="B2404" s="2" t="s">
        <v>53</v>
      </c>
      <c r="C2404" s="31" t="str">
        <f>VLOOKUP(irregulares[[#This Row],[Similar a]],padroes[],2,0)</f>
        <v>EAR</v>
      </c>
      <c r="D2404" s="3"/>
    </row>
    <row r="2405" spans="1:4" x14ac:dyDescent="0.25">
      <c r="A2405" s="2" t="s">
        <v>2647</v>
      </c>
      <c r="B2405" s="2" t="s">
        <v>63</v>
      </c>
      <c r="C2405" s="31" t="str">
        <f>VLOOKUP(irregulares[[#This Row],[Similar a]],padroes[],2,0)</f>
        <v>CER</v>
      </c>
      <c r="D2405" s="3"/>
    </row>
    <row r="2406" spans="1:4" x14ac:dyDescent="0.25">
      <c r="A2406" s="2" t="s">
        <v>2648</v>
      </c>
      <c r="B2406" s="2" t="s">
        <v>53</v>
      </c>
      <c r="C2406" s="31" t="str">
        <f>VLOOKUP(irregulares[[#This Row],[Similar a]],padroes[],2,0)</f>
        <v>EAR</v>
      </c>
      <c r="D2406" s="3"/>
    </row>
    <row r="2407" spans="1:4" x14ac:dyDescent="0.25">
      <c r="A2407" s="2" t="s">
        <v>2649</v>
      </c>
      <c r="B2407" s="2" t="s">
        <v>2649</v>
      </c>
      <c r="C2407" s="31" t="str">
        <f>VLOOKUP(irregulares[[#This Row],[Similar a]],padroes[],2,0)</f>
        <v>PARIR</v>
      </c>
      <c r="D2407" s="3"/>
    </row>
    <row r="2408" spans="1:4" x14ac:dyDescent="0.25">
      <c r="A2408" s="2" t="s">
        <v>2650</v>
      </c>
      <c r="B2408" s="2" t="s">
        <v>53</v>
      </c>
      <c r="C2408" s="31" t="str">
        <f>VLOOKUP(irregulares[[#This Row],[Similar a]],padroes[],2,0)</f>
        <v>EAR</v>
      </c>
      <c r="D2408" s="3"/>
    </row>
    <row r="2409" spans="1:4" x14ac:dyDescent="0.25">
      <c r="A2409" s="2" t="s">
        <v>2651</v>
      </c>
      <c r="B2409" s="2" t="s">
        <v>53</v>
      </c>
      <c r="C2409" s="31" t="str">
        <f>VLOOKUP(irregulares[[#This Row],[Similar a]],padroes[],2,0)</f>
        <v>EAR</v>
      </c>
      <c r="D2409" s="3"/>
    </row>
    <row r="2410" spans="1:4" x14ac:dyDescent="0.25">
      <c r="A2410" s="2" t="s">
        <v>2652</v>
      </c>
      <c r="B2410" s="2" t="s">
        <v>74</v>
      </c>
      <c r="C2410" s="31" t="str">
        <f>VLOOKUP(irregulares[[#This Row],[Similar a]],padroes[],2,0)</f>
        <v>GAR</v>
      </c>
      <c r="D2410" s="3"/>
    </row>
    <row r="2411" spans="1:4" x14ac:dyDescent="0.25">
      <c r="A2411" s="2" t="s">
        <v>2653</v>
      </c>
      <c r="B2411" s="2" t="s">
        <v>53</v>
      </c>
      <c r="C2411" s="31" t="str">
        <f>VLOOKUP(irregulares[[#This Row],[Similar a]],padroes[],2,0)</f>
        <v>EAR</v>
      </c>
      <c r="D2411" s="3"/>
    </row>
    <row r="2412" spans="1:4" x14ac:dyDescent="0.25">
      <c r="A2412" s="2" t="s">
        <v>2654</v>
      </c>
      <c r="B2412" s="2" t="s">
        <v>53</v>
      </c>
      <c r="C2412" s="31" t="str">
        <f>VLOOKUP(irregulares[[#This Row],[Similar a]],padroes[],2,0)</f>
        <v>EAR</v>
      </c>
      <c r="D2412" s="3"/>
    </row>
    <row r="2413" spans="1:4" x14ac:dyDescent="0.25">
      <c r="A2413" s="2" t="s">
        <v>2655</v>
      </c>
      <c r="B2413" s="2" t="s">
        <v>55</v>
      </c>
      <c r="C2413" s="31" t="str">
        <f>VLOOKUP(irregulares[[#This Row],[Similar a]],padroes[],2,0)</f>
        <v>EJAR ô</v>
      </c>
      <c r="D2413" s="3"/>
    </row>
    <row r="2414" spans="1:4" x14ac:dyDescent="0.25">
      <c r="A2414" s="2" t="s">
        <v>2656</v>
      </c>
      <c r="B2414" s="2" t="s">
        <v>55</v>
      </c>
      <c r="C2414" s="31" t="str">
        <f>VLOOKUP(irregulares[[#This Row],[Similar a]],padroes[],2,0)</f>
        <v>EJAR ô</v>
      </c>
      <c r="D2414" s="3"/>
    </row>
    <row r="2415" spans="1:4" x14ac:dyDescent="0.25">
      <c r="A2415" s="2" t="s">
        <v>2657</v>
      </c>
      <c r="B2415" s="2" t="s">
        <v>55</v>
      </c>
      <c r="C2415" s="31" t="str">
        <f>VLOOKUP(irregulares[[#This Row],[Similar a]],padroes[],2,0)</f>
        <v>EJAR ô</v>
      </c>
      <c r="D2415" s="3"/>
    </row>
    <row r="2416" spans="1:4" x14ac:dyDescent="0.25">
      <c r="A2416" s="2" t="s">
        <v>2658</v>
      </c>
      <c r="B2416" s="2" t="s">
        <v>1717</v>
      </c>
      <c r="C2416" s="31" t="str">
        <f>VLOOKUP(irregulares[[#This Row],[Similar a]],padroes[],2,0)</f>
        <v>Defectivo 1</v>
      </c>
      <c r="D2416" s="3"/>
    </row>
    <row r="2417" spans="1:4" x14ac:dyDescent="0.25">
      <c r="A2417" s="2" t="s">
        <v>2659</v>
      </c>
      <c r="B2417" s="2" t="s">
        <v>49</v>
      </c>
      <c r="C2417" s="31" t="str">
        <f>VLOOKUP(irregulares[[#This Row],[Similar a]],padroes[],2,0)</f>
        <v>OAR</v>
      </c>
      <c r="D2417" s="3"/>
    </row>
    <row r="2418" spans="1:4" x14ac:dyDescent="0.25">
      <c r="A2418" s="2" t="s">
        <v>2660</v>
      </c>
      <c r="B2418" s="2" t="s">
        <v>141</v>
      </c>
      <c r="C2418" s="31" t="str">
        <f>VLOOKUP(irregulares[[#This Row],[Similar a]],padroes[],2,0)</f>
        <v>Abundante</v>
      </c>
      <c r="D2418" s="3"/>
    </row>
    <row r="2419" spans="1:4" x14ac:dyDescent="0.25">
      <c r="A2419" s="2" t="s">
        <v>2661</v>
      </c>
      <c r="B2419" s="2" t="s">
        <v>53</v>
      </c>
      <c r="C2419" s="31" t="str">
        <f>VLOOKUP(irregulares[[#This Row],[Similar a]],padroes[],2,0)</f>
        <v>EAR</v>
      </c>
      <c r="D2419" s="3"/>
    </row>
    <row r="2420" spans="1:4" x14ac:dyDescent="0.25">
      <c r="A2420" s="2" t="s">
        <v>2662</v>
      </c>
      <c r="B2420" s="2" t="s">
        <v>53</v>
      </c>
      <c r="C2420" s="31" t="str">
        <f>VLOOKUP(irregulares[[#This Row],[Similar a]],padroes[],2,0)</f>
        <v>EAR</v>
      </c>
      <c r="D2420" s="3"/>
    </row>
    <row r="2421" spans="1:4" x14ac:dyDescent="0.25">
      <c r="A2421" s="2" t="s">
        <v>2663</v>
      </c>
      <c r="B2421" s="2" t="s">
        <v>55</v>
      </c>
      <c r="C2421" s="31" t="str">
        <f>VLOOKUP(irregulares[[#This Row],[Similar a]],padroes[],2,0)</f>
        <v>EJAR ô</v>
      </c>
      <c r="D2421" s="3"/>
    </row>
    <row r="2422" spans="1:4" x14ac:dyDescent="0.25">
      <c r="A2422" s="2" t="s">
        <v>2664</v>
      </c>
      <c r="B2422" s="2" t="s">
        <v>53</v>
      </c>
      <c r="C2422" s="31" t="str">
        <f>VLOOKUP(irregulares[[#This Row],[Similar a]],padroes[],2,0)</f>
        <v>EAR</v>
      </c>
      <c r="D2422" s="3"/>
    </row>
    <row r="2423" spans="1:4" x14ac:dyDescent="0.25">
      <c r="A2423" s="2" t="s">
        <v>2665</v>
      </c>
      <c r="B2423" s="2" t="s">
        <v>55</v>
      </c>
      <c r="C2423" s="31" t="str">
        <f>VLOOKUP(irregulares[[#This Row],[Similar a]],padroes[],2,0)</f>
        <v>EJAR ô</v>
      </c>
      <c r="D2423" s="3"/>
    </row>
    <row r="2424" spans="1:4" x14ac:dyDescent="0.25">
      <c r="A2424" s="2" t="s">
        <v>2666</v>
      </c>
      <c r="B2424" s="2" t="s">
        <v>53</v>
      </c>
      <c r="C2424" s="31" t="str">
        <f>VLOOKUP(irregulares[[#This Row],[Similar a]],padroes[],2,0)</f>
        <v>EAR</v>
      </c>
      <c r="D2424" s="3"/>
    </row>
    <row r="2425" spans="1:4" x14ac:dyDescent="0.25">
      <c r="A2425" s="2" t="s">
        <v>2667</v>
      </c>
      <c r="B2425" s="2" t="s">
        <v>53</v>
      </c>
      <c r="C2425" s="31" t="str">
        <f>VLOOKUP(irregulares[[#This Row],[Similar a]],padroes[],2,0)</f>
        <v>EAR</v>
      </c>
      <c r="D2425" s="3"/>
    </row>
    <row r="2426" spans="1:4" x14ac:dyDescent="0.25">
      <c r="A2426" s="2" t="s">
        <v>2668</v>
      </c>
      <c r="B2426" s="2" t="s">
        <v>53</v>
      </c>
      <c r="C2426" s="31" t="str">
        <f>VLOOKUP(irregulares[[#This Row],[Similar a]],padroes[],2,0)</f>
        <v>EAR</v>
      </c>
      <c r="D2426" s="3"/>
    </row>
    <row r="2427" spans="1:4" x14ac:dyDescent="0.25">
      <c r="A2427" s="2" t="s">
        <v>2669</v>
      </c>
      <c r="B2427" s="2" t="s">
        <v>55</v>
      </c>
      <c r="C2427" s="31" t="str">
        <f>VLOOKUP(irregulares[[#This Row],[Similar a]],padroes[],2,0)</f>
        <v>EJAR ô</v>
      </c>
      <c r="D2427" s="3"/>
    </row>
    <row r="2428" spans="1:4" x14ac:dyDescent="0.25">
      <c r="A2428" s="2" t="s">
        <v>2670</v>
      </c>
      <c r="B2428" s="2" t="s">
        <v>53</v>
      </c>
      <c r="C2428" s="31" t="str">
        <f>VLOOKUP(irregulares[[#This Row],[Similar a]],padroes[],2,0)</f>
        <v>EAR</v>
      </c>
      <c r="D2428" s="3"/>
    </row>
    <row r="2429" spans="1:4" x14ac:dyDescent="0.25">
      <c r="A2429" s="2" t="s">
        <v>2671</v>
      </c>
      <c r="B2429" s="2" t="s">
        <v>53</v>
      </c>
      <c r="C2429" s="31" t="str">
        <f>VLOOKUP(irregulares[[#This Row],[Similar a]],padroes[],2,0)</f>
        <v>EAR</v>
      </c>
      <c r="D2429" s="3"/>
    </row>
    <row r="2430" spans="1:4" x14ac:dyDescent="0.25">
      <c r="A2430" s="2" t="s">
        <v>2672</v>
      </c>
      <c r="B2430" s="2" t="s">
        <v>49</v>
      </c>
      <c r="C2430" s="31" t="str">
        <f>VLOOKUP(irregulares[[#This Row],[Similar a]],padroes[],2,0)</f>
        <v>OAR</v>
      </c>
      <c r="D2430" s="3"/>
    </row>
    <row r="2431" spans="1:4" x14ac:dyDescent="0.25">
      <c r="A2431" s="2" t="s">
        <v>2673</v>
      </c>
      <c r="B2431" s="2" t="s">
        <v>53</v>
      </c>
      <c r="C2431" s="31" t="str">
        <f>VLOOKUP(irregulares[[#This Row],[Similar a]],padroes[],2,0)</f>
        <v>EAR</v>
      </c>
      <c r="D2431" s="3"/>
    </row>
    <row r="2432" spans="1:4" x14ac:dyDescent="0.25">
      <c r="A2432" s="2" t="s">
        <v>2674</v>
      </c>
      <c r="B2432" s="2" t="s">
        <v>44</v>
      </c>
      <c r="C2432" s="31" t="str">
        <f>VLOOKUP(irregulares[[#This Row],[Similar a]],padroes[],2,0)</f>
        <v>CAR</v>
      </c>
      <c r="D2432" s="3"/>
    </row>
    <row r="2433" spans="1:4" x14ac:dyDescent="0.25">
      <c r="A2433" s="2" t="s">
        <v>2675</v>
      </c>
      <c r="B2433" s="2" t="s">
        <v>44</v>
      </c>
      <c r="C2433" s="31" t="str">
        <f>VLOOKUP(irregulares[[#This Row],[Similar a]],padroes[],2,0)</f>
        <v>CAR</v>
      </c>
      <c r="D2433" s="3"/>
    </row>
    <row r="2434" spans="1:4" x14ac:dyDescent="0.25">
      <c r="A2434" s="2" t="s">
        <v>2676</v>
      </c>
      <c r="B2434" s="2" t="s">
        <v>53</v>
      </c>
      <c r="C2434" s="31" t="str">
        <f>VLOOKUP(irregulares[[#This Row],[Similar a]],padroes[],2,0)</f>
        <v>EAR</v>
      </c>
      <c r="D2434" s="3"/>
    </row>
    <row r="2435" spans="1:4" x14ac:dyDescent="0.25">
      <c r="A2435" s="2" t="s">
        <v>2677</v>
      </c>
      <c r="B2435" s="2" t="s">
        <v>55</v>
      </c>
      <c r="C2435" s="31" t="str">
        <f>VLOOKUP(irregulares[[#This Row],[Similar a]],padroes[],2,0)</f>
        <v>EJAR ô</v>
      </c>
      <c r="D2435" s="3"/>
    </row>
    <row r="2436" spans="1:4" x14ac:dyDescent="0.25">
      <c r="A2436" s="2" t="s">
        <v>2678</v>
      </c>
      <c r="B2436" s="2" t="s">
        <v>53</v>
      </c>
      <c r="C2436" s="31" t="str">
        <f>VLOOKUP(irregulares[[#This Row],[Similar a]],padroes[],2,0)</f>
        <v>EAR</v>
      </c>
      <c r="D2436" s="3"/>
    </row>
    <row r="2437" spans="1:4" x14ac:dyDescent="0.25">
      <c r="A2437" s="2" t="s">
        <v>2679</v>
      </c>
      <c r="B2437" s="2" t="s">
        <v>53</v>
      </c>
      <c r="C2437" s="31" t="str">
        <f>VLOOKUP(irregulares[[#This Row],[Similar a]],padroes[],2,0)</f>
        <v>EAR</v>
      </c>
      <c r="D2437" s="3"/>
    </row>
    <row r="2438" spans="1:4" x14ac:dyDescent="0.25">
      <c r="A2438" s="2" t="s">
        <v>2680</v>
      </c>
      <c r="B2438" s="2" t="s">
        <v>434</v>
      </c>
      <c r="C2438" s="31" t="str">
        <f>VLOOKUP(irregulares[[#This Row],[Similar a]],padroes[],2,0)</f>
        <v>GUAR</v>
      </c>
      <c r="D2438" s="3"/>
    </row>
    <row r="2439" spans="1:4" x14ac:dyDescent="0.25">
      <c r="A2439" s="2" t="s">
        <v>2681</v>
      </c>
      <c r="B2439" s="2" t="s">
        <v>53</v>
      </c>
      <c r="C2439" s="31" t="str">
        <f>VLOOKUP(irregulares[[#This Row],[Similar a]],padroes[],2,0)</f>
        <v>EAR</v>
      </c>
      <c r="D2439" s="3"/>
    </row>
    <row r="2440" spans="1:4" x14ac:dyDescent="0.25">
      <c r="A2440" s="2" t="s">
        <v>2682</v>
      </c>
      <c r="B2440" s="2" t="s">
        <v>44</v>
      </c>
      <c r="C2440" s="31" t="str">
        <f>VLOOKUP(irregulares[[#This Row],[Similar a]],padroes[],2,0)</f>
        <v>CAR</v>
      </c>
      <c r="D2440" s="3"/>
    </row>
    <row r="2441" spans="1:4" x14ac:dyDescent="0.25">
      <c r="A2441" s="2" t="s">
        <v>2683</v>
      </c>
      <c r="B2441" s="2" t="s">
        <v>74</v>
      </c>
      <c r="C2441" s="31" t="str">
        <f>VLOOKUP(irregulares[[#This Row],[Similar a]],padroes[],2,0)</f>
        <v>GAR</v>
      </c>
      <c r="D2441" s="3"/>
    </row>
    <row r="2442" spans="1:4" x14ac:dyDescent="0.25">
      <c r="A2442" s="2" t="s">
        <v>2684</v>
      </c>
      <c r="B2442" s="2" t="s">
        <v>53</v>
      </c>
      <c r="C2442" s="31" t="str">
        <f>VLOOKUP(irregulares[[#This Row],[Similar a]],padroes[],2,0)</f>
        <v>EAR</v>
      </c>
      <c r="D2442" s="3"/>
    </row>
    <row r="2443" spans="1:4" x14ac:dyDescent="0.25">
      <c r="A2443" s="2" t="s">
        <v>2685</v>
      </c>
      <c r="B2443" s="2" t="s">
        <v>53</v>
      </c>
      <c r="C2443" s="31" t="str">
        <f>VLOOKUP(irregulares[[#This Row],[Similar a]],padroes[],2,0)</f>
        <v>EAR</v>
      </c>
      <c r="D2443" s="3"/>
    </row>
    <row r="2444" spans="1:4" x14ac:dyDescent="0.25">
      <c r="A2444" s="2" t="s">
        <v>1998</v>
      </c>
      <c r="B2444" s="2" t="s">
        <v>1998</v>
      </c>
      <c r="C2444" s="31" t="str">
        <f>VLOOKUP(irregulares[[#This Row],[Similar a]],padroes[],2,0)</f>
        <v>PEDIR</v>
      </c>
      <c r="D2444" s="3"/>
    </row>
    <row r="2445" spans="1:4" x14ac:dyDescent="0.25">
      <c r="A2445" s="2" t="s">
        <v>2686</v>
      </c>
      <c r="B2445" s="2" t="s">
        <v>423</v>
      </c>
      <c r="C2445" s="31" t="str">
        <f>VLOOKUP(irregulares[[#This Row],[Similar a]],padroes[],2,0)</f>
        <v>GAR</v>
      </c>
      <c r="D2445" s="3"/>
    </row>
    <row r="2446" spans="1:4" x14ac:dyDescent="0.25">
      <c r="A2446" s="2" t="s">
        <v>2687</v>
      </c>
      <c r="B2446" s="2" t="s">
        <v>53</v>
      </c>
      <c r="C2446" s="31" t="str">
        <f>VLOOKUP(irregulares[[#This Row],[Similar a]],padroes[],2,0)</f>
        <v>EAR</v>
      </c>
      <c r="D2446" s="3"/>
    </row>
    <row r="2447" spans="1:4" x14ac:dyDescent="0.25">
      <c r="A2447" s="2" t="s">
        <v>2688</v>
      </c>
      <c r="B2447" s="2" t="s">
        <v>55</v>
      </c>
      <c r="C2447" s="31" t="str">
        <f>VLOOKUP(irregulares[[#This Row],[Similar a]],padroes[],2,0)</f>
        <v>EJAR ô</v>
      </c>
      <c r="D2447" s="3"/>
    </row>
    <row r="2448" spans="1:4" x14ac:dyDescent="0.25">
      <c r="A2448" s="2" t="s">
        <v>2689</v>
      </c>
      <c r="B2448" s="2" t="s">
        <v>2689</v>
      </c>
      <c r="C2448" s="31" t="str">
        <f>VLOOKUP(irregulares[[#This Row],[Similar a]],padroes[],2,0)</f>
        <v>PELAR</v>
      </c>
      <c r="D2448" s="3"/>
    </row>
    <row r="2449" spans="1:4" x14ac:dyDescent="0.25">
      <c r="A2449" s="2" t="s">
        <v>2690</v>
      </c>
      <c r="B2449" s="2" t="s">
        <v>53</v>
      </c>
      <c r="C2449" s="31" t="str">
        <f>VLOOKUP(irregulares[[#This Row],[Similar a]],padroes[],2,0)</f>
        <v>EAR</v>
      </c>
      <c r="D2449" s="3"/>
    </row>
    <row r="2450" spans="1:4" x14ac:dyDescent="0.25">
      <c r="A2450" s="2" t="s">
        <v>2691</v>
      </c>
      <c r="B2450" s="2" t="s">
        <v>1122</v>
      </c>
      <c r="C2450" s="31" t="str">
        <f>VLOOKUP(irregulares[[#This Row],[Similar a]],padroes[],2,0)</f>
        <v>ECHAR ê</v>
      </c>
      <c r="D2450" s="3"/>
    </row>
    <row r="2451" spans="1:4" x14ac:dyDescent="0.25">
      <c r="A2451" s="2" t="s">
        <v>2692</v>
      </c>
      <c r="B2451" s="2" t="s">
        <v>53</v>
      </c>
      <c r="C2451" s="31" t="str">
        <f>VLOOKUP(irregulares[[#This Row],[Similar a]],padroes[],2,0)</f>
        <v>EAR</v>
      </c>
      <c r="D2451" s="3"/>
    </row>
    <row r="2452" spans="1:4" x14ac:dyDescent="0.25">
      <c r="A2452" s="2" t="s">
        <v>55</v>
      </c>
      <c r="B2452" s="2" t="s">
        <v>55</v>
      </c>
      <c r="C2452" s="2" t="str">
        <f>VLOOKUP(irregulares[[#This Row],[Similar a]],padroes[],2,0)</f>
        <v>EJAR ô</v>
      </c>
      <c r="D2452" s="3"/>
    </row>
    <row r="2453" spans="1:4" x14ac:dyDescent="0.25">
      <c r="A2453" s="2" t="s">
        <v>2693</v>
      </c>
      <c r="B2453" s="2" t="s">
        <v>53</v>
      </c>
      <c r="C2453" s="31" t="str">
        <f>VLOOKUP(irregulares[[#This Row],[Similar a]],padroes[],2,0)</f>
        <v>EAR</v>
      </c>
      <c r="D2453" s="3"/>
    </row>
    <row r="2454" spans="1:4" x14ac:dyDescent="0.25">
      <c r="A2454" s="2" t="s">
        <v>2694</v>
      </c>
      <c r="B2454" s="2" t="s">
        <v>53</v>
      </c>
      <c r="C2454" s="31" t="str">
        <f>VLOOKUP(irregulares[[#This Row],[Similar a]],padroes[],2,0)</f>
        <v>EAR</v>
      </c>
      <c r="D2454" s="3"/>
    </row>
    <row r="2455" spans="1:4" x14ac:dyDescent="0.25">
      <c r="A2455" s="2" t="s">
        <v>2695</v>
      </c>
      <c r="B2455" s="2" t="s">
        <v>49</v>
      </c>
      <c r="C2455" s="31" t="str">
        <f>VLOOKUP(irregulares[[#This Row],[Similar a]],padroes[],2,0)</f>
        <v>OAR</v>
      </c>
      <c r="D2455" s="3"/>
    </row>
    <row r="2456" spans="1:4" x14ac:dyDescent="0.25">
      <c r="A2456" s="2" t="s">
        <v>2696</v>
      </c>
      <c r="B2456" s="2" t="s">
        <v>53</v>
      </c>
      <c r="C2456" s="31" t="str">
        <f>VLOOKUP(irregulares[[#This Row],[Similar a]],padroes[],2,0)</f>
        <v>EAR</v>
      </c>
      <c r="D2456" s="3"/>
    </row>
    <row r="2457" spans="1:4" x14ac:dyDescent="0.25">
      <c r="A2457" s="2" t="s">
        <v>2697</v>
      </c>
      <c r="B2457" s="2" t="s">
        <v>55</v>
      </c>
      <c r="C2457" s="31" t="str">
        <f>VLOOKUP(irregulares[[#This Row],[Similar a]],padroes[],2,0)</f>
        <v>EJAR ô</v>
      </c>
      <c r="D2457" s="3"/>
    </row>
    <row r="2458" spans="1:4" x14ac:dyDescent="0.25">
      <c r="A2458" s="2" t="s">
        <v>2698</v>
      </c>
      <c r="B2458" s="2" t="s">
        <v>44</v>
      </c>
      <c r="C2458" s="31" t="str">
        <f>VLOOKUP(irregulares[[#This Row],[Similar a]],padroes[],2,0)</f>
        <v>CAR</v>
      </c>
      <c r="D2458" s="3"/>
    </row>
    <row r="2459" spans="1:4" x14ac:dyDescent="0.25">
      <c r="A2459" s="2" t="s">
        <v>2699</v>
      </c>
      <c r="B2459" s="2" t="s">
        <v>53</v>
      </c>
      <c r="C2459" s="31" t="str">
        <f>VLOOKUP(irregulares[[#This Row],[Similar a]],padroes[],2,0)</f>
        <v>EAR</v>
      </c>
      <c r="D2459" s="3"/>
    </row>
    <row r="2460" spans="1:4" x14ac:dyDescent="0.25">
      <c r="A2460" s="2" t="s">
        <v>2700</v>
      </c>
      <c r="B2460" s="2" t="s">
        <v>53</v>
      </c>
      <c r="C2460" s="31" t="str">
        <f>VLOOKUP(irregulares[[#This Row],[Similar a]],padroes[],2,0)</f>
        <v>EAR</v>
      </c>
      <c r="D2460" s="3"/>
    </row>
    <row r="2461" spans="1:4" x14ac:dyDescent="0.25">
      <c r="A2461" s="2" t="s">
        <v>2701</v>
      </c>
      <c r="B2461" s="2" t="s">
        <v>157</v>
      </c>
      <c r="C2461" s="31" t="str">
        <f>VLOOKUP(irregulares[[#This Row],[Similar a]],padroes[],2,0)</f>
        <v>ELHAR</v>
      </c>
      <c r="D2461" s="3"/>
    </row>
    <row r="2462" spans="1:4" x14ac:dyDescent="0.25">
      <c r="A2462" s="2" t="s">
        <v>2702</v>
      </c>
      <c r="B2462" s="2" t="s">
        <v>1604</v>
      </c>
      <c r="C2462" s="31" t="str">
        <f>VLOOKUP(irregulares[[#This Row],[Similar a]],padroes[],2,0)</f>
        <v>Defectivo 3</v>
      </c>
      <c r="D2462" s="3"/>
    </row>
    <row r="2463" spans="1:4" x14ac:dyDescent="0.25">
      <c r="A2463" s="2" t="s">
        <v>2703</v>
      </c>
      <c r="B2463" s="2" t="s">
        <v>53</v>
      </c>
      <c r="C2463" s="31" t="str">
        <f>VLOOKUP(irregulares[[#This Row],[Similar a]],padroes[],2,0)</f>
        <v>EAR</v>
      </c>
      <c r="D2463" s="3"/>
    </row>
    <row r="2464" spans="1:4" x14ac:dyDescent="0.25">
      <c r="A2464" s="2" t="s">
        <v>2704</v>
      </c>
      <c r="B2464" s="2" t="s">
        <v>42</v>
      </c>
      <c r="C2464" s="31" t="str">
        <f>VLOOKUP(irregulares[[#This Row],[Similar a]],padroes[],2,0)</f>
        <v>ÇAR</v>
      </c>
      <c r="D2464" s="3"/>
    </row>
    <row r="2465" spans="1:4" x14ac:dyDescent="0.25">
      <c r="A2465" s="2" t="s">
        <v>2705</v>
      </c>
      <c r="B2465" s="2" t="s">
        <v>154</v>
      </c>
      <c r="C2465" s="31" t="str">
        <f>VLOOKUP(irregulares[[#This Row],[Similar a]],padroes[],2,0)</f>
        <v>GIR</v>
      </c>
      <c r="D2465" s="3"/>
    </row>
    <row r="2466" spans="1:4" x14ac:dyDescent="0.25">
      <c r="A2466" s="2" t="s">
        <v>2706</v>
      </c>
      <c r="B2466" s="2" t="s">
        <v>2706</v>
      </c>
      <c r="C2466" s="31" t="str">
        <f>VLOOKUP(irregulares[[#This Row],[Similar a]],padroes[],2,0)</f>
        <v>PERDER</v>
      </c>
      <c r="D2466" s="3"/>
    </row>
    <row r="2467" spans="1:4" x14ac:dyDescent="0.25">
      <c r="A2467" s="2" t="s">
        <v>2707</v>
      </c>
      <c r="B2467" s="2" t="s">
        <v>49</v>
      </c>
      <c r="C2467" s="31" t="str">
        <f>VLOOKUP(irregulares[[#This Row],[Similar a]],padroes[],2,0)</f>
        <v>OAR</v>
      </c>
      <c r="D2467" s="3"/>
    </row>
    <row r="2468" spans="1:4" x14ac:dyDescent="0.25">
      <c r="A2468" s="2" t="s">
        <v>2708</v>
      </c>
      <c r="B2468" s="2" t="s">
        <v>63</v>
      </c>
      <c r="C2468" s="31" t="str">
        <f>VLOOKUP(irregulares[[#This Row],[Similar a]],padroes[],2,0)</f>
        <v>CER</v>
      </c>
      <c r="D2468" s="3"/>
    </row>
    <row r="2469" spans="1:4" x14ac:dyDescent="0.25">
      <c r="A2469" s="2" t="s">
        <v>2709</v>
      </c>
      <c r="B2469" s="2" t="s">
        <v>44</v>
      </c>
      <c r="C2469" s="31" t="str">
        <f>VLOOKUP(irregulares[[#This Row],[Similar a]],padroes[],2,0)</f>
        <v>CAR</v>
      </c>
      <c r="D2469" s="3"/>
    </row>
    <row r="2470" spans="1:4" x14ac:dyDescent="0.25">
      <c r="A2470" s="2" t="s">
        <v>2710</v>
      </c>
      <c r="B2470" s="2" t="s">
        <v>859</v>
      </c>
      <c r="C2470" s="31" t="str">
        <f>VLOOKUP(irregulares[[#This Row],[Similar a]],padroes[],2,0)</f>
        <v>FAZER</v>
      </c>
      <c r="D2470" s="3"/>
    </row>
    <row r="2471" spans="1:4" x14ac:dyDescent="0.25">
      <c r="A2471" s="2" t="s">
        <v>2711</v>
      </c>
      <c r="B2471" s="2" t="s">
        <v>49</v>
      </c>
      <c r="C2471" s="31" t="str">
        <f>VLOOKUP(irregulares[[#This Row],[Similar a]],padroes[],2,0)</f>
        <v>OAR</v>
      </c>
      <c r="D2471" s="3"/>
    </row>
    <row r="2472" spans="1:4" x14ac:dyDescent="0.25">
      <c r="A2472" s="2" t="s">
        <v>2712</v>
      </c>
      <c r="B2472" s="2" t="s">
        <v>53</v>
      </c>
      <c r="C2472" s="31" t="str">
        <f>VLOOKUP(irregulares[[#This Row],[Similar a]],padroes[],2,0)</f>
        <v>EAR</v>
      </c>
      <c r="D2472" s="3"/>
    </row>
    <row r="2473" spans="1:4" x14ac:dyDescent="0.25">
      <c r="A2473" s="2" t="s">
        <v>2713</v>
      </c>
      <c r="B2473" s="2" t="s">
        <v>53</v>
      </c>
      <c r="C2473" s="31" t="str">
        <f>VLOOKUP(irregulares[[#This Row],[Similar a]],padroes[],2,0)</f>
        <v>EAR</v>
      </c>
      <c r="D2473" s="3"/>
    </row>
    <row r="2474" spans="1:4" x14ac:dyDescent="0.25">
      <c r="A2474" s="2" t="s">
        <v>2714</v>
      </c>
      <c r="B2474" s="2" t="s">
        <v>74</v>
      </c>
      <c r="C2474" s="31" t="str">
        <f>VLOOKUP(irregulares[[#This Row],[Similar a]],padroes[],2,0)</f>
        <v>GAR</v>
      </c>
      <c r="D2474" s="3"/>
    </row>
    <row r="2475" spans="1:4" x14ac:dyDescent="0.25">
      <c r="A2475" s="2" t="s">
        <v>2715</v>
      </c>
      <c r="B2475" s="2" t="s">
        <v>74</v>
      </c>
      <c r="C2475" s="31" t="str">
        <f>VLOOKUP(irregulares[[#This Row],[Similar a]],padroes[],2,0)</f>
        <v>GAR</v>
      </c>
      <c r="D2475" s="3"/>
    </row>
    <row r="2476" spans="1:4" x14ac:dyDescent="0.25">
      <c r="A2476" s="2" t="s">
        <v>2716</v>
      </c>
      <c r="B2476" s="2" t="s">
        <v>63</v>
      </c>
      <c r="C2476" s="31" t="str">
        <f>VLOOKUP(irregulares[[#This Row],[Similar a]],padroes[],2,0)</f>
        <v>CER</v>
      </c>
      <c r="D2476" s="3"/>
    </row>
    <row r="2477" spans="1:4" x14ac:dyDescent="0.25">
      <c r="A2477" s="2" t="s">
        <v>2717</v>
      </c>
      <c r="B2477" s="2" t="s">
        <v>53</v>
      </c>
      <c r="C2477" s="31" t="str">
        <f>VLOOKUP(irregulares[[#This Row],[Similar a]],padroes[],2,0)</f>
        <v>EAR</v>
      </c>
      <c r="D2477" s="3"/>
    </row>
    <row r="2478" spans="1:4" ht="15.75" customHeight="1" x14ac:dyDescent="0.25">
      <c r="A2478" s="2" t="s">
        <v>2718</v>
      </c>
      <c r="B2478" s="2" t="s">
        <v>53</v>
      </c>
      <c r="C2478" s="31" t="str">
        <f>VLOOKUP(irregulares[[#This Row],[Similar a]],padroes[],2,0)</f>
        <v>EAR</v>
      </c>
      <c r="D2478" s="3"/>
    </row>
    <row r="2479" spans="1:4" x14ac:dyDescent="0.25">
      <c r="A2479" s="2" t="s">
        <v>2719</v>
      </c>
      <c r="B2479" s="2" t="s">
        <v>55</v>
      </c>
      <c r="C2479" s="31" t="str">
        <f>VLOOKUP(irregulares[[#This Row],[Similar a]],padroes[],2,0)</f>
        <v>EJAR ô</v>
      </c>
      <c r="D2479" s="3"/>
    </row>
    <row r="2480" spans="1:4" x14ac:dyDescent="0.25">
      <c r="A2480" s="2" t="s">
        <v>2720</v>
      </c>
      <c r="B2480" s="2" t="s">
        <v>53</v>
      </c>
      <c r="C2480" s="31" t="str">
        <f>VLOOKUP(irregulares[[#This Row],[Similar a]],padroes[],2,0)</f>
        <v>EAR</v>
      </c>
      <c r="D2480" s="3"/>
    </row>
    <row r="2481" spans="1:4" x14ac:dyDescent="0.25">
      <c r="A2481" s="2" t="s">
        <v>2721</v>
      </c>
      <c r="B2481" s="2" t="s">
        <v>53</v>
      </c>
      <c r="C2481" s="31" t="str">
        <f>VLOOKUP(irregulares[[#This Row],[Similar a]],padroes[],2,0)</f>
        <v>EAR</v>
      </c>
      <c r="D2481" s="3"/>
    </row>
    <row r="2482" spans="1:4" x14ac:dyDescent="0.25">
      <c r="A2482" s="2" t="s">
        <v>2722</v>
      </c>
      <c r="B2482" s="2" t="s">
        <v>74</v>
      </c>
      <c r="C2482" s="31" t="str">
        <f>VLOOKUP(irregulares[[#This Row],[Similar a]],padroes[],2,0)</f>
        <v>GAR</v>
      </c>
      <c r="D2482" s="3"/>
    </row>
    <row r="2483" spans="1:4" x14ac:dyDescent="0.25">
      <c r="A2483" s="2" t="s">
        <v>2723</v>
      </c>
      <c r="B2483" s="2" t="s">
        <v>53</v>
      </c>
      <c r="C2483" s="31" t="str">
        <f>VLOOKUP(irregulares[[#This Row],[Similar a]],padroes[],2,0)</f>
        <v>EAR</v>
      </c>
      <c r="D2483" s="3"/>
    </row>
    <row r="2484" spans="1:4" x14ac:dyDescent="0.25">
      <c r="A2484" s="2" t="s">
        <v>2724</v>
      </c>
      <c r="B2484" s="2" t="s">
        <v>2303</v>
      </c>
      <c r="C2484" s="31" t="str">
        <f>VLOOKUP(irregulares[[#This Row],[Similar a]],padroes[],2,0)</f>
        <v>E-X-IR</v>
      </c>
      <c r="D2484" s="3"/>
    </row>
    <row r="2485" spans="1:4" x14ac:dyDescent="0.25">
      <c r="A2485" s="2" t="s">
        <v>2726</v>
      </c>
      <c r="B2485" s="2" t="s">
        <v>44</v>
      </c>
      <c r="C2485" s="31" t="str">
        <f>VLOOKUP(irregulares[[#This Row],[Similar a]],padroes[],2,0)</f>
        <v>CAR</v>
      </c>
      <c r="D2485" s="3"/>
    </row>
    <row r="2486" spans="1:4" x14ac:dyDescent="0.25">
      <c r="A2486" s="2" t="s">
        <v>2727</v>
      </c>
      <c r="B2486" s="2" t="s">
        <v>63</v>
      </c>
      <c r="C2486" s="31" t="str">
        <f>VLOOKUP(irregulares[[#This Row],[Similar a]],padroes[],2,0)</f>
        <v>CER</v>
      </c>
      <c r="D2486" s="3"/>
    </row>
    <row r="2487" spans="1:4" x14ac:dyDescent="0.25">
      <c r="A2487" s="2" t="s">
        <v>2728</v>
      </c>
      <c r="B2487" s="2" t="s">
        <v>74</v>
      </c>
      <c r="C2487" s="31" t="str">
        <f>VLOOKUP(irregulares[[#This Row],[Similar a]],padroes[],2,0)</f>
        <v>GAR</v>
      </c>
      <c r="D2487" s="3"/>
    </row>
    <row r="2488" spans="1:4" x14ac:dyDescent="0.25">
      <c r="A2488" s="2" t="s">
        <v>2729</v>
      </c>
      <c r="B2488" s="2" t="s">
        <v>63</v>
      </c>
      <c r="C2488" s="31" t="str">
        <f>VLOOKUP(irregulares[[#This Row],[Similar a]],padroes[],2,0)</f>
        <v>CER</v>
      </c>
      <c r="D2488" s="3"/>
    </row>
    <row r="2489" spans="1:4" x14ac:dyDescent="0.25">
      <c r="A2489" s="2" t="s">
        <v>2730</v>
      </c>
      <c r="B2489" s="2" t="s">
        <v>44</v>
      </c>
      <c r="C2489" s="31" t="str">
        <f>VLOOKUP(irregulares[[#This Row],[Similar a]],padroes[],2,0)</f>
        <v>CAR</v>
      </c>
      <c r="D2489" s="3"/>
    </row>
    <row r="2490" spans="1:4" x14ac:dyDescent="0.25">
      <c r="A2490" s="2" t="s">
        <v>2731</v>
      </c>
      <c r="B2490" s="2" t="s">
        <v>53</v>
      </c>
      <c r="C2490" s="31" t="str">
        <f>VLOOKUP(irregulares[[#This Row],[Similar a]],padroes[],2,0)</f>
        <v>EAR</v>
      </c>
      <c r="D2490" s="3"/>
    </row>
    <row r="2491" spans="1:4" x14ac:dyDescent="0.25">
      <c r="A2491" s="2" t="s">
        <v>2732</v>
      </c>
      <c r="B2491" s="2" t="s">
        <v>74</v>
      </c>
      <c r="C2491" s="31" t="str">
        <f>VLOOKUP(irregulares[[#This Row],[Similar a]],padroes[],2,0)</f>
        <v>GAR</v>
      </c>
      <c r="D2491" s="3"/>
    </row>
    <row r="2492" spans="1:4" x14ac:dyDescent="0.25">
      <c r="A2492" s="2" t="s">
        <v>2733</v>
      </c>
      <c r="B2492" s="2" t="s">
        <v>60</v>
      </c>
      <c r="C2492" s="31" t="str">
        <f>VLOOKUP(irregulares[[#This Row],[Similar a]],padroes[],2,0)</f>
        <v>GAR</v>
      </c>
      <c r="D2492" s="3"/>
    </row>
    <row r="2493" spans="1:4" x14ac:dyDescent="0.25">
      <c r="A2493" s="2" t="s">
        <v>2734</v>
      </c>
      <c r="B2493" s="2" t="s">
        <v>53</v>
      </c>
      <c r="C2493" s="31" t="str">
        <f>VLOOKUP(irregulares[[#This Row],[Similar a]],padroes[],2,0)</f>
        <v>EAR</v>
      </c>
      <c r="D2493" s="3"/>
    </row>
    <row r="2494" spans="1:4" x14ac:dyDescent="0.25">
      <c r="A2494" s="2" t="s">
        <v>2735</v>
      </c>
      <c r="B2494" s="2" t="s">
        <v>53</v>
      </c>
      <c r="C2494" s="31" t="str">
        <f>VLOOKUP(irregulares[[#This Row],[Similar a]],padroes[],2,0)</f>
        <v>EAR</v>
      </c>
      <c r="D2494" s="3"/>
    </row>
    <row r="2495" spans="1:4" x14ac:dyDescent="0.25">
      <c r="A2495" s="2" t="s">
        <v>2736</v>
      </c>
      <c r="B2495" s="2" t="s">
        <v>55</v>
      </c>
      <c r="C2495" s="31" t="str">
        <f>VLOOKUP(irregulares[[#This Row],[Similar a]],padroes[],2,0)</f>
        <v>EJAR ô</v>
      </c>
      <c r="D2495" s="3"/>
    </row>
    <row r="2496" spans="1:4" x14ac:dyDescent="0.25">
      <c r="A2496" s="2" t="s">
        <v>2737</v>
      </c>
      <c r="B2496" s="2" t="s">
        <v>53</v>
      </c>
      <c r="C2496" s="31" t="str">
        <f>VLOOKUP(irregulares[[#This Row],[Similar a]],padroes[],2,0)</f>
        <v>EAR</v>
      </c>
      <c r="D2496" s="3"/>
    </row>
    <row r="2497" spans="1:4" x14ac:dyDescent="0.25">
      <c r="A2497" s="2" t="s">
        <v>2738</v>
      </c>
      <c r="B2497" s="2" t="s">
        <v>53</v>
      </c>
      <c r="C2497" s="31" t="str">
        <f>VLOOKUP(irregulares[[#This Row],[Similar a]],padroes[],2,0)</f>
        <v>EAR</v>
      </c>
      <c r="D2497" s="3"/>
    </row>
    <row r="2498" spans="1:4" x14ac:dyDescent="0.25">
      <c r="A2498" s="2" t="s">
        <v>2739</v>
      </c>
      <c r="B2498" s="2" t="s">
        <v>53</v>
      </c>
      <c r="C2498" s="31" t="str">
        <f>VLOOKUP(irregulares[[#This Row],[Similar a]],padroes[],2,0)</f>
        <v>EAR</v>
      </c>
      <c r="D2498" s="3"/>
    </row>
    <row r="2499" spans="1:4" x14ac:dyDescent="0.25">
      <c r="A2499" s="2" t="s">
        <v>2740</v>
      </c>
      <c r="B2499" s="2" t="s">
        <v>44</v>
      </c>
      <c r="C2499" s="31" t="str">
        <f>VLOOKUP(irregulares[[#This Row],[Similar a]],padroes[],2,0)</f>
        <v>CAR</v>
      </c>
      <c r="D2499" s="3"/>
    </row>
    <row r="2500" spans="1:4" x14ac:dyDescent="0.25">
      <c r="A2500" s="2" t="s">
        <v>2741</v>
      </c>
      <c r="B2500" s="2" t="s">
        <v>60</v>
      </c>
      <c r="C2500" s="31" t="str">
        <f>VLOOKUP(irregulares[[#This Row],[Similar a]],padroes[],2,0)</f>
        <v>GAR</v>
      </c>
      <c r="D2500" s="3"/>
    </row>
    <row r="2501" spans="1:4" x14ac:dyDescent="0.25">
      <c r="A2501" s="2" t="s">
        <v>2742</v>
      </c>
      <c r="B2501" s="2" t="s">
        <v>53</v>
      </c>
      <c r="C2501" s="31" t="str">
        <f>VLOOKUP(irregulares[[#This Row],[Similar a]],padroes[],2,0)</f>
        <v>EAR</v>
      </c>
      <c r="D2501" s="3"/>
    </row>
    <row r="2502" spans="1:4" x14ac:dyDescent="0.25">
      <c r="A2502" s="2" t="s">
        <v>2800</v>
      </c>
      <c r="B2502" s="2" t="s">
        <v>44</v>
      </c>
      <c r="C2502" s="31" t="str">
        <f>VLOOKUP(irregulares[[#This Row],[Similar a]],padroes[],2,0)</f>
        <v>CAR</v>
      </c>
      <c r="D2502" s="3"/>
    </row>
    <row r="2503" spans="1:4" x14ac:dyDescent="0.25">
      <c r="A2503" s="2" t="s">
        <v>2743</v>
      </c>
      <c r="B2503" s="2" t="s">
        <v>44</v>
      </c>
      <c r="C2503" s="31" t="str">
        <f>VLOOKUP(irregulares[[#This Row],[Similar a]],padroes[],2,0)</f>
        <v>CAR</v>
      </c>
      <c r="D2503" s="3"/>
    </row>
    <row r="2504" spans="1:4" x14ac:dyDescent="0.25">
      <c r="A2504" s="2" t="s">
        <v>2744</v>
      </c>
      <c r="B2504" s="2" t="s">
        <v>1122</v>
      </c>
      <c r="C2504" s="31" t="str">
        <f>VLOOKUP(irregulares[[#This Row],[Similar a]],padroes[],2,0)</f>
        <v>ECHAR ê</v>
      </c>
      <c r="D2504" s="3"/>
    </row>
    <row r="2505" spans="1:4" x14ac:dyDescent="0.25">
      <c r="A2505" s="2" t="s">
        <v>2745</v>
      </c>
      <c r="B2505" s="2" t="s">
        <v>44</v>
      </c>
      <c r="C2505" s="31" t="str">
        <f>VLOOKUP(irregulares[[#This Row],[Similar a]],padroes[],2,0)</f>
        <v>CAR</v>
      </c>
      <c r="D2505" s="3"/>
    </row>
    <row r="2506" spans="1:4" x14ac:dyDescent="0.25">
      <c r="A2506" s="2" t="s">
        <v>2746</v>
      </c>
      <c r="B2506" s="2" t="s">
        <v>53</v>
      </c>
      <c r="C2506" s="31" t="str">
        <f>VLOOKUP(irregulares[[#This Row],[Similar a]],padroes[],2,0)</f>
        <v>EAR</v>
      </c>
      <c r="D2506" s="3"/>
    </row>
    <row r="2507" spans="1:4" x14ac:dyDescent="0.25">
      <c r="A2507" s="2" t="s">
        <v>2747</v>
      </c>
      <c r="B2507" s="2" t="s">
        <v>42</v>
      </c>
      <c r="C2507" s="31" t="str">
        <f>VLOOKUP(irregulares[[#This Row],[Similar a]],padroes[],2,0)</f>
        <v>ÇAR</v>
      </c>
      <c r="D2507" s="3"/>
    </row>
    <row r="2508" spans="1:4" x14ac:dyDescent="0.25">
      <c r="A2508" s="2" t="s">
        <v>2748</v>
      </c>
      <c r="B2508" s="2" t="s">
        <v>53</v>
      </c>
      <c r="C2508" s="31" t="str">
        <f>VLOOKUP(irregulares[[#This Row],[Similar a]],padroes[],2,0)</f>
        <v>EAR</v>
      </c>
      <c r="D2508" s="3"/>
    </row>
    <row r="2509" spans="1:4" x14ac:dyDescent="0.25">
      <c r="A2509" s="2" t="s">
        <v>2749</v>
      </c>
      <c r="B2509" s="2" t="s">
        <v>44</v>
      </c>
      <c r="C2509" s="31" t="str">
        <f>VLOOKUP(irregulares[[#This Row],[Similar a]],padroes[],2,0)</f>
        <v>CAR</v>
      </c>
      <c r="D2509" s="3"/>
    </row>
    <row r="2510" spans="1:4" x14ac:dyDescent="0.25">
      <c r="A2510" s="2" t="s">
        <v>2750</v>
      </c>
      <c r="B2510" s="2" t="s">
        <v>53</v>
      </c>
      <c r="C2510" s="31" t="str">
        <f>VLOOKUP(irregulares[[#This Row],[Similar a]],padroes[],2,0)</f>
        <v>EAR</v>
      </c>
      <c r="D2510" s="3"/>
    </row>
    <row r="2511" spans="1:4" x14ac:dyDescent="0.25">
      <c r="A2511" s="2" t="s">
        <v>2751</v>
      </c>
      <c r="B2511" s="2" t="s">
        <v>53</v>
      </c>
      <c r="C2511" s="31" t="str">
        <f>VLOOKUP(irregulares[[#This Row],[Similar a]],padroes[],2,0)</f>
        <v>EAR</v>
      </c>
      <c r="D2511" s="3"/>
    </row>
    <row r="2512" spans="1:4" x14ac:dyDescent="0.25">
      <c r="A2512" s="2" t="s">
        <v>2752</v>
      </c>
      <c r="B2512" s="2" t="s">
        <v>53</v>
      </c>
      <c r="C2512" s="31" t="str">
        <f>VLOOKUP(irregulares[[#This Row],[Similar a]],padroes[],2,0)</f>
        <v>EAR</v>
      </c>
      <c r="D2512" s="3"/>
    </row>
    <row r="2513" spans="1:4" x14ac:dyDescent="0.25">
      <c r="A2513" s="2" t="s">
        <v>2753</v>
      </c>
      <c r="B2513" s="2" t="s">
        <v>42</v>
      </c>
      <c r="C2513" s="31" t="str">
        <f>VLOOKUP(irregulares[[#This Row],[Similar a]],padroes[],2,0)</f>
        <v>ÇAR</v>
      </c>
      <c r="D2513" s="3"/>
    </row>
    <row r="2514" spans="1:4" x14ac:dyDescent="0.25">
      <c r="A2514" s="2" t="s">
        <v>2754</v>
      </c>
      <c r="B2514" s="2" t="s">
        <v>44</v>
      </c>
      <c r="C2514" s="31" t="str">
        <f>VLOOKUP(irregulares[[#This Row],[Similar a]],padroes[],2,0)</f>
        <v>CAR</v>
      </c>
      <c r="D2514" s="3"/>
    </row>
    <row r="2515" spans="1:4" x14ac:dyDescent="0.25">
      <c r="A2515" s="2" t="s">
        <v>2755</v>
      </c>
      <c r="B2515" s="2" t="s">
        <v>74</v>
      </c>
      <c r="C2515" s="31" t="str">
        <f>VLOOKUP(irregulares[[#This Row],[Similar a]],padroes[],2,0)</f>
        <v>GAR</v>
      </c>
      <c r="D2515" s="3"/>
    </row>
    <row r="2516" spans="1:4" x14ac:dyDescent="0.25">
      <c r="A2516" s="2" t="s">
        <v>2756</v>
      </c>
      <c r="B2516" s="2" t="s">
        <v>74</v>
      </c>
      <c r="C2516" s="31" t="str">
        <f>VLOOKUP(irregulares[[#This Row],[Similar a]],padroes[],2,0)</f>
        <v>GAR</v>
      </c>
      <c r="D2516" s="3"/>
    </row>
    <row r="2517" spans="1:4" x14ac:dyDescent="0.25">
      <c r="A2517" s="2" t="s">
        <v>2757</v>
      </c>
      <c r="B2517" s="2" t="s">
        <v>53</v>
      </c>
      <c r="C2517" s="31" t="str">
        <f>VLOOKUP(irregulares[[#This Row],[Similar a]],padroes[],2,0)</f>
        <v>EAR</v>
      </c>
      <c r="D2517" s="3"/>
    </row>
    <row r="2518" spans="1:4" x14ac:dyDescent="0.25">
      <c r="A2518" s="2" t="s">
        <v>2758</v>
      </c>
      <c r="B2518" s="2" t="s">
        <v>53</v>
      </c>
      <c r="C2518" s="31" t="str">
        <f>VLOOKUP(irregulares[[#This Row],[Similar a]],padroes[],2,0)</f>
        <v>EAR</v>
      </c>
      <c r="D2518" s="3"/>
    </row>
    <row r="2519" spans="1:4" x14ac:dyDescent="0.25">
      <c r="A2519" s="2" t="s">
        <v>2759</v>
      </c>
      <c r="B2519" s="2" t="s">
        <v>44</v>
      </c>
      <c r="C2519" s="31" t="str">
        <f>VLOOKUP(irregulares[[#This Row],[Similar a]],padroes[],2,0)</f>
        <v>CAR</v>
      </c>
      <c r="D2519" s="3"/>
    </row>
    <row r="2520" spans="1:4" x14ac:dyDescent="0.25">
      <c r="A2520" s="2" t="s">
        <v>2760</v>
      </c>
      <c r="B2520" s="2" t="s">
        <v>53</v>
      </c>
      <c r="C2520" s="31" t="str">
        <f>VLOOKUP(irregulares[[#This Row],[Similar a]],padroes[],2,0)</f>
        <v>EAR</v>
      </c>
      <c r="D2520" s="3"/>
    </row>
    <row r="2521" spans="1:4" x14ac:dyDescent="0.25">
      <c r="A2521" s="2" t="s">
        <v>2761</v>
      </c>
      <c r="B2521" s="2" t="s">
        <v>74</v>
      </c>
      <c r="C2521" s="31" t="str">
        <f>VLOOKUP(irregulares[[#This Row],[Similar a]],padroes[],2,0)</f>
        <v>GAR</v>
      </c>
      <c r="D2521" s="3"/>
    </row>
    <row r="2522" spans="1:4" x14ac:dyDescent="0.25">
      <c r="A2522" s="2" t="s">
        <v>2762</v>
      </c>
      <c r="B2522" s="2" t="s">
        <v>53</v>
      </c>
      <c r="C2522" s="31" t="str">
        <f>VLOOKUP(irregulares[[#This Row],[Similar a]],padroes[],2,0)</f>
        <v>EAR</v>
      </c>
      <c r="D2522" s="3"/>
    </row>
    <row r="2523" spans="1:4" x14ac:dyDescent="0.25">
      <c r="A2523" s="2" t="s">
        <v>2763</v>
      </c>
      <c r="B2523" s="2" t="s">
        <v>44</v>
      </c>
      <c r="C2523" s="31" t="str">
        <f>VLOOKUP(irregulares[[#This Row],[Similar a]],padroes[],2,0)</f>
        <v>CAR</v>
      </c>
      <c r="D2523" s="3"/>
    </row>
    <row r="2524" spans="1:4" x14ac:dyDescent="0.25">
      <c r="A2524" s="2" t="s">
        <v>2764</v>
      </c>
      <c r="B2524" s="2" t="s">
        <v>53</v>
      </c>
      <c r="C2524" s="31" t="str">
        <f>VLOOKUP(irregulares[[#This Row],[Similar a]],padroes[],2,0)</f>
        <v>EAR</v>
      </c>
      <c r="D2524" s="3"/>
    </row>
    <row r="2525" spans="1:4" x14ac:dyDescent="0.25">
      <c r="A2525" s="2" t="s">
        <v>2765</v>
      </c>
      <c r="B2525" s="2" t="s">
        <v>53</v>
      </c>
      <c r="C2525" s="31" t="str">
        <f>VLOOKUP(irregulares[[#This Row],[Similar a]],padroes[],2,0)</f>
        <v>EAR</v>
      </c>
      <c r="D2525" s="3"/>
    </row>
    <row r="2526" spans="1:4" x14ac:dyDescent="0.25">
      <c r="A2526" s="2" t="s">
        <v>2766</v>
      </c>
      <c r="B2526" s="2" t="s">
        <v>74</v>
      </c>
      <c r="C2526" s="31" t="str">
        <f>VLOOKUP(irregulares[[#This Row],[Similar a]],padroes[],2,0)</f>
        <v>GAR</v>
      </c>
      <c r="D2526" s="3"/>
    </row>
    <row r="2527" spans="1:4" x14ac:dyDescent="0.25">
      <c r="A2527" s="2" t="s">
        <v>2767</v>
      </c>
      <c r="B2527" s="2" t="s">
        <v>53</v>
      </c>
      <c r="C2527" s="31" t="str">
        <f>VLOOKUP(irregulares[[#This Row],[Similar a]],padroes[],2,0)</f>
        <v>EAR</v>
      </c>
      <c r="D2527" s="3"/>
    </row>
    <row r="2528" spans="1:4" x14ac:dyDescent="0.25">
      <c r="A2528" s="2" t="s">
        <v>2768</v>
      </c>
      <c r="B2528" s="2" t="s">
        <v>1542</v>
      </c>
      <c r="C2528" s="31" t="str">
        <f>VLOOKUP(irregulares[[#This Row],[Similar a]],padroes[],2,0)</f>
        <v>Defectivo 3</v>
      </c>
      <c r="D2528" s="3"/>
    </row>
    <row r="2529" spans="1:4" x14ac:dyDescent="0.25">
      <c r="A2529" s="2" t="s">
        <v>2769</v>
      </c>
      <c r="B2529" s="2" t="s">
        <v>1540</v>
      </c>
      <c r="C2529" s="31" t="str">
        <f>VLOOKUP(irregulares[[#This Row],[Similar a]],padroes[],2,0)</f>
        <v>Defectivo 3</v>
      </c>
      <c r="D2529" s="3"/>
    </row>
    <row r="2530" spans="1:4" x14ac:dyDescent="0.25">
      <c r="A2530" s="2" t="s">
        <v>2770</v>
      </c>
      <c r="B2530" s="2" t="s">
        <v>1604</v>
      </c>
      <c r="C2530" s="31" t="str">
        <f>VLOOKUP(irregulares[[#This Row],[Similar a]],padroes[],2,0)</f>
        <v>Defectivo 3</v>
      </c>
      <c r="D2530" s="3"/>
    </row>
    <row r="2531" spans="1:4" x14ac:dyDescent="0.25">
      <c r="A2531" s="2" t="s">
        <v>2771</v>
      </c>
      <c r="B2531" s="2" t="s">
        <v>44</v>
      </c>
      <c r="C2531" s="31" t="str">
        <f>VLOOKUP(irregulares[[#This Row],[Similar a]],padroes[],2,0)</f>
        <v>CAR</v>
      </c>
      <c r="D2531" s="3"/>
    </row>
    <row r="2532" spans="1:4" x14ac:dyDescent="0.25">
      <c r="A2532" s="2" t="s">
        <v>2772</v>
      </c>
      <c r="B2532" s="2" t="s">
        <v>44</v>
      </c>
      <c r="C2532" s="31" t="str">
        <f>VLOOKUP(irregulares[[#This Row],[Similar a]],padroes[],2,0)</f>
        <v>CAR</v>
      </c>
      <c r="D2532" s="3"/>
    </row>
    <row r="2533" spans="1:4" x14ac:dyDescent="0.25">
      <c r="A2533" s="2" t="s">
        <v>2773</v>
      </c>
      <c r="B2533" s="2" t="s">
        <v>42</v>
      </c>
      <c r="C2533" s="31" t="str">
        <f>VLOOKUP(irregulares[[#This Row],[Similar a]],padroes[],2,0)</f>
        <v>ÇAR</v>
      </c>
      <c r="D2533" s="3"/>
    </row>
    <row r="2534" spans="1:4" x14ac:dyDescent="0.25">
      <c r="A2534" s="2" t="s">
        <v>2774</v>
      </c>
      <c r="B2534" s="2" t="s">
        <v>53</v>
      </c>
      <c r="C2534" s="31" t="str">
        <f>VLOOKUP(irregulares[[#This Row],[Similar a]],padroes[],2,0)</f>
        <v>EAR</v>
      </c>
      <c r="D2534" s="3"/>
    </row>
    <row r="2535" spans="1:4" x14ac:dyDescent="0.25">
      <c r="A2535" s="2" t="s">
        <v>2775</v>
      </c>
      <c r="B2535" s="2" t="s">
        <v>53</v>
      </c>
      <c r="C2535" s="31" t="str">
        <f>VLOOKUP(irregulares[[#This Row],[Similar a]],padroes[],2,0)</f>
        <v>EAR</v>
      </c>
      <c r="D2535" s="3"/>
    </row>
    <row r="2536" spans="1:4" x14ac:dyDescent="0.25">
      <c r="A2536" s="2" t="s">
        <v>2776</v>
      </c>
      <c r="B2536" s="2" t="s">
        <v>44</v>
      </c>
      <c r="C2536" s="31" t="str">
        <f>VLOOKUP(irregulares[[#This Row],[Similar a]],padroes[],2,0)</f>
        <v>CAR</v>
      </c>
      <c r="D2536" s="3"/>
    </row>
    <row r="2537" spans="1:4" x14ac:dyDescent="0.25">
      <c r="A2537" s="2" t="s">
        <v>2777</v>
      </c>
      <c r="B2537" s="2" t="s">
        <v>44</v>
      </c>
      <c r="C2537" s="31" t="str">
        <f>VLOOKUP(irregulares[[#This Row],[Similar a]],padroes[],2,0)</f>
        <v>CAR</v>
      </c>
      <c r="D2537" s="3"/>
    </row>
    <row r="2538" spans="1:4" x14ac:dyDescent="0.25">
      <c r="A2538" s="2" t="s">
        <v>2778</v>
      </c>
      <c r="B2538" s="2" t="s">
        <v>74</v>
      </c>
      <c r="C2538" s="31" t="str">
        <f>VLOOKUP(irregulares[[#This Row],[Similar a]],padroes[],2,0)</f>
        <v>GAR</v>
      </c>
      <c r="D2538" s="3"/>
    </row>
    <row r="2539" spans="1:4" x14ac:dyDescent="0.25">
      <c r="A2539" s="2" t="s">
        <v>2779</v>
      </c>
      <c r="B2539" s="2" t="s">
        <v>49</v>
      </c>
      <c r="C2539" s="31" t="str">
        <f>VLOOKUP(irregulares[[#This Row],[Similar a]],padroes[],2,0)</f>
        <v>OAR</v>
      </c>
      <c r="D2539" s="3"/>
    </row>
    <row r="2540" spans="1:4" x14ac:dyDescent="0.25">
      <c r="A2540" s="2" t="s">
        <v>2780</v>
      </c>
      <c r="B2540" s="2" t="s">
        <v>53</v>
      </c>
      <c r="C2540" s="31" t="str">
        <f>VLOOKUP(irregulares[[#This Row],[Similar a]],padroes[],2,0)</f>
        <v>EAR</v>
      </c>
      <c r="D2540" s="3"/>
    </row>
    <row r="2541" spans="1:4" x14ac:dyDescent="0.25">
      <c r="A2541" s="2" t="s">
        <v>2781</v>
      </c>
      <c r="B2541" s="2" t="s">
        <v>53</v>
      </c>
      <c r="C2541" s="31" t="str">
        <f>VLOOKUP(irregulares[[#This Row],[Similar a]],padroes[],2,0)</f>
        <v>EAR</v>
      </c>
      <c r="D2541" s="3"/>
    </row>
    <row r="2542" spans="1:4" x14ac:dyDescent="0.25">
      <c r="A2542" s="2" t="s">
        <v>2782</v>
      </c>
      <c r="B2542" s="2" t="s">
        <v>44</v>
      </c>
      <c r="C2542" s="31" t="str">
        <f>VLOOKUP(irregulares[[#This Row],[Similar a]],padroes[],2,0)</f>
        <v>CAR</v>
      </c>
      <c r="D2542" s="3"/>
    </row>
    <row r="2543" spans="1:4" x14ac:dyDescent="0.25">
      <c r="A2543" s="2" t="s">
        <v>2783</v>
      </c>
      <c r="B2543" s="2" t="s">
        <v>53</v>
      </c>
      <c r="C2543" s="31" t="str">
        <f>VLOOKUP(irregulares[[#This Row],[Similar a]],padroes[],2,0)</f>
        <v>EAR</v>
      </c>
      <c r="D2543" s="3"/>
    </row>
    <row r="2544" spans="1:4" x14ac:dyDescent="0.25">
      <c r="A2544" s="2" t="s">
        <v>2784</v>
      </c>
      <c r="B2544" s="2" t="s">
        <v>53</v>
      </c>
      <c r="C2544" s="31" t="str">
        <f>VLOOKUP(irregulares[[#This Row],[Similar a]],padroes[],2,0)</f>
        <v>EAR</v>
      </c>
      <c r="D2544" s="3"/>
    </row>
    <row r="2545" spans="1:4" x14ac:dyDescent="0.25">
      <c r="A2545" s="2" t="s">
        <v>2785</v>
      </c>
      <c r="B2545" s="2" t="s">
        <v>55</v>
      </c>
      <c r="C2545" s="31" t="str">
        <f>VLOOKUP(irregulares[[#This Row],[Similar a]],padroes[],2,0)</f>
        <v>EJAR ô</v>
      </c>
      <c r="D2545" s="3"/>
    </row>
    <row r="2546" spans="1:4" x14ac:dyDescent="0.25">
      <c r="A2546" s="2" t="s">
        <v>2786</v>
      </c>
      <c r="B2546" s="2" t="s">
        <v>110</v>
      </c>
      <c r="C2546" s="31" t="str">
        <f>VLOOKUP(irregulares[[#This Row],[Similar a]],padroes[],2,0)</f>
        <v>ANGER</v>
      </c>
      <c r="D2546" s="3"/>
    </row>
    <row r="2547" spans="1:4" x14ac:dyDescent="0.25">
      <c r="A2547" s="2" t="s">
        <v>2787</v>
      </c>
      <c r="B2547" s="2" t="s">
        <v>44</v>
      </c>
      <c r="C2547" s="31" t="str">
        <f>VLOOKUP(irregulares[[#This Row],[Similar a]],padroes[],2,0)</f>
        <v>CAR</v>
      </c>
      <c r="D2547" s="3"/>
    </row>
    <row r="2548" spans="1:4" x14ac:dyDescent="0.25">
      <c r="A2548" s="2" t="s">
        <v>2788</v>
      </c>
      <c r="B2548" s="2" t="s">
        <v>53</v>
      </c>
      <c r="C2548" s="31" t="str">
        <f>VLOOKUP(irregulares[[#This Row],[Similar a]],padroes[],2,0)</f>
        <v>EAR</v>
      </c>
      <c r="D2548" s="3"/>
    </row>
    <row r="2549" spans="1:4" x14ac:dyDescent="0.25">
      <c r="A2549" s="2" t="s">
        <v>2789</v>
      </c>
      <c r="B2549" s="2" t="s">
        <v>44</v>
      </c>
      <c r="C2549" s="31" t="str">
        <f>VLOOKUP(irregulares[[#This Row],[Similar a]],padroes[],2,0)</f>
        <v>CAR</v>
      </c>
      <c r="D2549" s="3"/>
    </row>
    <row r="2550" spans="1:4" x14ac:dyDescent="0.25">
      <c r="A2550" s="2" t="s">
        <v>2790</v>
      </c>
      <c r="B2550" s="2" t="s">
        <v>319</v>
      </c>
      <c r="C2550" s="31" t="str">
        <f>VLOOKUP(irregulares[[#This Row],[Similar a]],padroes[],2,0)</f>
        <v>Í-X-AR</v>
      </c>
      <c r="D2550" s="3"/>
    </row>
    <row r="2551" spans="1:4" x14ac:dyDescent="0.25">
      <c r="A2551" s="2" t="s">
        <v>2791</v>
      </c>
      <c r="B2551" s="2" t="s">
        <v>53</v>
      </c>
      <c r="C2551" s="31" t="str">
        <f>VLOOKUP(irregulares[[#This Row],[Similar a]],padroes[],2,0)</f>
        <v>EAR</v>
      </c>
      <c r="D2551" s="3"/>
    </row>
    <row r="2552" spans="1:4" x14ac:dyDescent="0.25">
      <c r="A2552" s="2" t="s">
        <v>2792</v>
      </c>
      <c r="B2552" s="2" t="s">
        <v>44</v>
      </c>
      <c r="C2552" s="31" t="str">
        <f>VLOOKUP(irregulares[[#This Row],[Similar a]],padroes[],2,0)</f>
        <v>CAR</v>
      </c>
      <c r="D2552" s="3"/>
    </row>
    <row r="2553" spans="1:4" x14ac:dyDescent="0.25">
      <c r="A2553" s="2" t="s">
        <v>2793</v>
      </c>
      <c r="B2553" s="2" t="s">
        <v>74</v>
      </c>
      <c r="C2553" s="31" t="str">
        <f>VLOOKUP(irregulares[[#This Row],[Similar a]],padroes[],2,0)</f>
        <v>GAR</v>
      </c>
      <c r="D2553" s="3"/>
    </row>
    <row r="2554" spans="1:4" x14ac:dyDescent="0.25">
      <c r="A2554" s="2" t="s">
        <v>2794</v>
      </c>
      <c r="B2554" s="2" t="s">
        <v>53</v>
      </c>
      <c r="C2554" s="31" t="str">
        <f>VLOOKUP(irregulares[[#This Row],[Similar a]],padroes[],2,0)</f>
        <v>EAR</v>
      </c>
      <c r="D2554" s="3"/>
    </row>
    <row r="2555" spans="1:4" x14ac:dyDescent="0.25">
      <c r="A2555" s="2" t="s">
        <v>2795</v>
      </c>
      <c r="B2555" s="2" t="s">
        <v>55</v>
      </c>
      <c r="C2555" s="31" t="str">
        <f>VLOOKUP(irregulares[[#This Row],[Similar a]],padroes[],2,0)</f>
        <v>EJAR ô</v>
      </c>
      <c r="D2555" s="3"/>
    </row>
    <row r="2556" spans="1:4" x14ac:dyDescent="0.25">
      <c r="A2556" s="2" t="s">
        <v>2796</v>
      </c>
      <c r="B2556" s="2" t="s">
        <v>44</v>
      </c>
      <c r="C2556" s="31" t="str">
        <f>VLOOKUP(irregulares[[#This Row],[Similar a]],padroes[],2,0)</f>
        <v>CAR</v>
      </c>
      <c r="D2556" s="3"/>
    </row>
    <row r="2557" spans="1:4" x14ac:dyDescent="0.25">
      <c r="A2557" s="2" t="s">
        <v>2797</v>
      </c>
      <c r="B2557" s="2" t="s">
        <v>53</v>
      </c>
      <c r="C2557" s="31" t="str">
        <f>VLOOKUP(irregulares[[#This Row],[Similar a]],padroes[],2,0)</f>
        <v>EAR</v>
      </c>
      <c r="D2557" s="3"/>
    </row>
    <row r="2558" spans="1:4" x14ac:dyDescent="0.25">
      <c r="A2558" s="2" t="s">
        <v>2798</v>
      </c>
      <c r="B2558" s="2" t="s">
        <v>2798</v>
      </c>
      <c r="C2558" s="31" t="str">
        <f>VLOOKUP(irregulares[[#This Row],[Similar a]],padroes[],2,0)</f>
        <v>PODER</v>
      </c>
      <c r="D2558" s="3"/>
    </row>
    <row r="2559" spans="1:4" x14ac:dyDescent="0.25">
      <c r="A2559" s="2" t="s">
        <v>2799</v>
      </c>
      <c r="B2559" s="2" t="s">
        <v>2799</v>
      </c>
      <c r="C2559" s="31" t="str">
        <f>VLOOKUP(irregulares[[#This Row],[Similar a]],padroes[],2,0)</f>
        <v>POR</v>
      </c>
      <c r="D2559" s="3"/>
    </row>
    <row r="2560" spans="1:4" x14ac:dyDescent="0.25">
      <c r="A2560" s="2" t="s">
        <v>2801</v>
      </c>
      <c r="B2560" s="2" t="s">
        <v>458</v>
      </c>
      <c r="C2560" s="31" t="str">
        <f>VLOOKUP(irregulares[[#This Row],[Similar a]],padroes[],2,0)</f>
        <v>OIAR</v>
      </c>
      <c r="D2560" s="3"/>
    </row>
    <row r="2561" spans="1:4" x14ac:dyDescent="0.25">
      <c r="A2561" s="2" t="s">
        <v>2802</v>
      </c>
      <c r="B2561" s="2" t="s">
        <v>44</v>
      </c>
      <c r="C2561" s="31" t="str">
        <f>VLOOKUP(irregulares[[#This Row],[Similar a]],padroes[],2,0)</f>
        <v>CAR</v>
      </c>
      <c r="D2561" s="3"/>
    </row>
    <row r="2562" spans="1:4" x14ac:dyDescent="0.25">
      <c r="A2562" s="2" t="s">
        <v>2803</v>
      </c>
      <c r="B2562" s="2" t="s">
        <v>53</v>
      </c>
      <c r="C2562" s="31" t="str">
        <f>VLOOKUP(irregulares[[#This Row],[Similar a]],padroes[],2,0)</f>
        <v>EAR</v>
      </c>
      <c r="D2562" s="3"/>
    </row>
    <row r="2563" spans="1:4" x14ac:dyDescent="0.25">
      <c r="A2563" s="2" t="s">
        <v>2804</v>
      </c>
      <c r="B2563" s="2" t="s">
        <v>44</v>
      </c>
      <c r="C2563" s="31" t="str">
        <f>VLOOKUP(irregulares[[#This Row],[Similar a]],padroes[],2,0)</f>
        <v>CAR</v>
      </c>
      <c r="D2563" s="3"/>
    </row>
    <row r="2564" spans="1:4" x14ac:dyDescent="0.25">
      <c r="A2564" s="2" t="s">
        <v>2805</v>
      </c>
      <c r="B2564" s="2" t="s">
        <v>2805</v>
      </c>
      <c r="C2564" s="31" t="str">
        <f>VLOOKUP(irregulares[[#This Row],[Similar a]],padroes[],2,0)</f>
        <v>POLIR</v>
      </c>
      <c r="D2564" s="3"/>
    </row>
    <row r="2565" spans="1:4" x14ac:dyDescent="0.25">
      <c r="A2565" s="2" t="s">
        <v>2806</v>
      </c>
      <c r="B2565" s="2" t="s">
        <v>44</v>
      </c>
      <c r="C2565" s="31" t="str">
        <f>VLOOKUP(irregulares[[#This Row],[Similar a]],padroes[],2,0)</f>
        <v>CAR</v>
      </c>
      <c r="D2565" s="3"/>
    </row>
    <row r="2566" spans="1:4" x14ac:dyDescent="0.25">
      <c r="A2566" s="2" t="s">
        <v>2807</v>
      </c>
      <c r="B2566" s="2" t="s">
        <v>53</v>
      </c>
      <c r="C2566" s="31" t="str">
        <f>VLOOKUP(irregulares[[#This Row],[Similar a]],padroes[],2,0)</f>
        <v>EAR</v>
      </c>
      <c r="D2566" s="3"/>
    </row>
    <row r="2567" spans="1:4" x14ac:dyDescent="0.25">
      <c r="A2567" s="2" t="s">
        <v>2808</v>
      </c>
      <c r="B2567" s="2" t="s">
        <v>82</v>
      </c>
      <c r="C2567" s="31" t="str">
        <f>VLOOKUP(irregulares[[#This Row],[Similar a]],padroes[],2,0)</f>
        <v>UIR</v>
      </c>
      <c r="D2567" s="3"/>
    </row>
    <row r="2568" spans="1:4" x14ac:dyDescent="0.25">
      <c r="A2568" s="2" t="s">
        <v>2809</v>
      </c>
      <c r="B2568" s="2" t="s">
        <v>53</v>
      </c>
      <c r="C2568" s="31" t="str">
        <f>VLOOKUP(irregulares[[#This Row],[Similar a]],padroes[],2,0)</f>
        <v>EAR</v>
      </c>
      <c r="D2568" s="3"/>
    </row>
    <row r="2569" spans="1:4" x14ac:dyDescent="0.25">
      <c r="A2569" s="2" t="s">
        <v>2810</v>
      </c>
      <c r="B2569" s="2" t="s">
        <v>53</v>
      </c>
      <c r="C2569" s="31" t="str">
        <f>VLOOKUP(irregulares[[#This Row],[Similar a]],padroes[],2,0)</f>
        <v>EAR</v>
      </c>
      <c r="D2569" s="3"/>
    </row>
    <row r="2570" spans="1:4" x14ac:dyDescent="0.25">
      <c r="A2570" s="2" t="s">
        <v>2811</v>
      </c>
      <c r="B2570" s="2" t="s">
        <v>42</v>
      </c>
      <c r="C2570" s="31" t="str">
        <f>VLOOKUP(irregulares[[#This Row],[Similar a]],padroes[],2,0)</f>
        <v>ÇAR</v>
      </c>
      <c r="D2570" s="3"/>
    </row>
    <row r="2571" spans="1:4" x14ac:dyDescent="0.25">
      <c r="A2571" s="2" t="s">
        <v>2812</v>
      </c>
      <c r="B2571" s="2" t="s">
        <v>74</v>
      </c>
      <c r="C2571" s="31" t="str">
        <f>VLOOKUP(irregulares[[#This Row],[Similar a]],padroes[],2,0)</f>
        <v>GAR</v>
      </c>
      <c r="D2571" s="3"/>
    </row>
    <row r="2572" spans="1:4" x14ac:dyDescent="0.25">
      <c r="A2572" s="2" t="s">
        <v>2813</v>
      </c>
      <c r="B2572" s="2" t="s">
        <v>53</v>
      </c>
      <c r="C2572" s="31" t="str">
        <f>VLOOKUP(irregulares[[#This Row],[Similar a]],padroes[],2,0)</f>
        <v>EAR</v>
      </c>
      <c r="D2572" s="3"/>
    </row>
    <row r="2573" spans="1:4" x14ac:dyDescent="0.25">
      <c r="A2573" s="2" t="s">
        <v>2814</v>
      </c>
      <c r="B2573" s="2" t="s">
        <v>53</v>
      </c>
      <c r="C2573" s="31" t="str">
        <f>VLOOKUP(irregulares[[#This Row],[Similar a]],padroes[],2,0)</f>
        <v>EAR</v>
      </c>
      <c r="D2573" s="3"/>
    </row>
    <row r="2574" spans="1:4" x14ac:dyDescent="0.25">
      <c r="A2574" s="2" t="s">
        <v>2815</v>
      </c>
      <c r="B2574" s="2" t="s">
        <v>44</v>
      </c>
      <c r="C2574" s="31" t="str">
        <f>VLOOKUP(irregulares[[#This Row],[Similar a]],padroes[],2,0)</f>
        <v>CAR</v>
      </c>
      <c r="D2574" s="3"/>
    </row>
    <row r="2575" spans="1:4" x14ac:dyDescent="0.25">
      <c r="A2575" s="2" t="s">
        <v>2816</v>
      </c>
      <c r="B2575" s="2" t="s">
        <v>49</v>
      </c>
      <c r="C2575" s="31" t="str">
        <f>VLOOKUP(irregulares[[#This Row],[Similar a]],padroes[],2,0)</f>
        <v>OAR</v>
      </c>
      <c r="D2575" s="3"/>
    </row>
    <row r="2576" spans="1:4" x14ac:dyDescent="0.25">
      <c r="A2576" s="2" t="s">
        <v>2817</v>
      </c>
      <c r="B2576" s="2" t="s">
        <v>44</v>
      </c>
      <c r="C2576" s="31" t="str">
        <f>VLOOKUP(irregulares[[#This Row],[Similar a]],padroes[],2,0)</f>
        <v>CAR</v>
      </c>
      <c r="D2576" s="3"/>
    </row>
    <row r="2577" spans="1:4" x14ac:dyDescent="0.25">
      <c r="A2577" s="2" t="s">
        <v>267</v>
      </c>
      <c r="B2577" s="2" t="s">
        <v>267</v>
      </c>
      <c r="C2577" s="2" t="str">
        <f>VLOOKUP(irregulares[[#This Row],[Similar a]],padroes[],2,0)</f>
        <v>POR</v>
      </c>
      <c r="D2577" s="3"/>
    </row>
    <row r="2578" spans="1:4" x14ac:dyDescent="0.25">
      <c r="A2578" s="2" t="s">
        <v>2818</v>
      </c>
      <c r="B2578" s="2" t="s">
        <v>55</v>
      </c>
      <c r="C2578" s="31" t="str">
        <f>VLOOKUP(irregulares[[#This Row],[Similar a]],padroes[],2,0)</f>
        <v>EJAR ô</v>
      </c>
      <c r="D2578" s="3"/>
    </row>
    <row r="2579" spans="1:4" x14ac:dyDescent="0.25">
      <c r="A2579" s="2" t="s">
        <v>2819</v>
      </c>
      <c r="B2579" s="2" t="s">
        <v>1613</v>
      </c>
      <c r="C2579" s="31" t="str">
        <f>VLOOKUP(irregulares[[#This Row],[Similar a]],padroes[],2,0)</f>
        <v>Defectivo 3</v>
      </c>
      <c r="D2579" s="3"/>
    </row>
    <row r="2580" spans="1:4" x14ac:dyDescent="0.25">
      <c r="A2580" s="2" t="s">
        <v>2820</v>
      </c>
      <c r="B2580" s="2" t="s">
        <v>53</v>
      </c>
      <c r="C2580" s="31" t="str">
        <f>VLOOKUP(irregulares[[#This Row],[Similar a]],padroes[],2,0)</f>
        <v>EAR</v>
      </c>
      <c r="D2580" s="3"/>
    </row>
    <row r="2581" spans="1:4" x14ac:dyDescent="0.25">
      <c r="A2581" s="2" t="s">
        <v>2821</v>
      </c>
      <c r="B2581" s="2" t="s">
        <v>267</v>
      </c>
      <c r="C2581" s="31" t="str">
        <f>VLOOKUP(irregulares[[#This Row],[Similar a]],padroes[],2,0)</f>
        <v>POR</v>
      </c>
      <c r="D2581" s="3"/>
    </row>
    <row r="2582" spans="1:4" x14ac:dyDescent="0.25">
      <c r="A2582" s="2" t="s">
        <v>2822</v>
      </c>
      <c r="B2582" s="2" t="s">
        <v>53</v>
      </c>
      <c r="C2582" s="31" t="str">
        <f>VLOOKUP(irregulares[[#This Row],[Similar a]],padroes[],2,0)</f>
        <v>EAR</v>
      </c>
      <c r="D2582" s="3"/>
    </row>
    <row r="2583" spans="1:4" x14ac:dyDescent="0.25">
      <c r="A2583" s="2" t="s">
        <v>2823</v>
      </c>
      <c r="B2583" s="2" t="s">
        <v>82</v>
      </c>
      <c r="C2583" s="31" t="str">
        <f>VLOOKUP(irregulares[[#This Row],[Similar a]],padroes[],2,0)</f>
        <v>UIR</v>
      </c>
      <c r="D2583" s="3"/>
    </row>
    <row r="2584" spans="1:4" x14ac:dyDescent="0.25">
      <c r="A2584" s="2" t="s">
        <v>2824</v>
      </c>
      <c r="B2584" s="2" t="s">
        <v>53</v>
      </c>
      <c r="C2584" s="31" t="str">
        <f>VLOOKUP(irregulares[[#This Row],[Similar a]],padroes[],2,0)</f>
        <v>EAR</v>
      </c>
      <c r="D2584" s="3"/>
    </row>
    <row r="2585" spans="1:4" x14ac:dyDescent="0.25">
      <c r="A2585" s="2" t="s">
        <v>2825</v>
      </c>
      <c r="B2585" s="2" t="s">
        <v>55</v>
      </c>
      <c r="C2585" s="31" t="str">
        <f>VLOOKUP(irregulares[[#This Row],[Similar a]],padroes[],2,0)</f>
        <v>EJAR ô</v>
      </c>
      <c r="D2585" s="3"/>
    </row>
    <row r="2586" spans="1:4" x14ac:dyDescent="0.25">
      <c r="A2586" s="2" t="s">
        <v>2826</v>
      </c>
      <c r="B2586" s="2" t="s">
        <v>74</v>
      </c>
      <c r="C2586" s="31" t="str">
        <f>VLOOKUP(irregulares[[#This Row],[Similar a]],padroes[],2,0)</f>
        <v>GAR</v>
      </c>
      <c r="D2586" s="3"/>
    </row>
    <row r="2587" spans="1:4" x14ac:dyDescent="0.25">
      <c r="A2587" s="2" t="s">
        <v>2827</v>
      </c>
      <c r="B2587" s="2" t="s">
        <v>44</v>
      </c>
      <c r="C2587" s="31" t="str">
        <f>VLOOKUP(irregulares[[#This Row],[Similar a]],padroes[],2,0)</f>
        <v>CAR</v>
      </c>
      <c r="D2587" s="3"/>
    </row>
    <row r="2588" spans="1:4" x14ac:dyDescent="0.25">
      <c r="A2588" s="2" t="s">
        <v>2828</v>
      </c>
      <c r="B2588" s="2" t="s">
        <v>53</v>
      </c>
      <c r="C2588" s="31" t="str">
        <f>VLOOKUP(irregulares[[#This Row],[Similar a]],padroes[],2,0)</f>
        <v>EAR</v>
      </c>
      <c r="D2588" s="3"/>
    </row>
    <row r="2589" spans="1:4" x14ac:dyDescent="0.25">
      <c r="A2589" s="2" t="s">
        <v>2829</v>
      </c>
      <c r="B2589" s="2" t="s">
        <v>49</v>
      </c>
      <c r="C2589" s="31" t="str">
        <f>VLOOKUP(irregulares[[#This Row],[Similar a]],padroes[],2,0)</f>
        <v>OAR</v>
      </c>
      <c r="D2589" s="3"/>
    </row>
    <row r="2590" spans="1:4" x14ac:dyDescent="0.25">
      <c r="A2590" s="2" t="s">
        <v>2830</v>
      </c>
      <c r="B2590" s="2" t="s">
        <v>53</v>
      </c>
      <c r="C2590" s="31" t="str">
        <f>VLOOKUP(irregulares[[#This Row],[Similar a]],padroes[],2,0)</f>
        <v>EAR</v>
      </c>
      <c r="D2590" s="3"/>
    </row>
    <row r="2591" spans="1:4" x14ac:dyDescent="0.25">
      <c r="A2591" s="2" t="s">
        <v>2831</v>
      </c>
      <c r="B2591" s="2" t="s">
        <v>55</v>
      </c>
      <c r="C2591" s="31" t="str">
        <f>VLOOKUP(irregulares[[#This Row],[Similar a]],padroes[],2,0)</f>
        <v>EJAR ô</v>
      </c>
      <c r="D2591" s="3"/>
    </row>
    <row r="2592" spans="1:4" x14ac:dyDescent="0.25">
      <c r="A2592" s="2" t="s">
        <v>2832</v>
      </c>
      <c r="B2592" s="2" t="s">
        <v>55</v>
      </c>
      <c r="C2592" s="31" t="str">
        <f>VLOOKUP(irregulares[[#This Row],[Similar a]],padroes[],2,0)</f>
        <v>EJAR ô</v>
      </c>
      <c r="D2592" s="3"/>
    </row>
    <row r="2593" spans="1:4" x14ac:dyDescent="0.25">
      <c r="A2593" s="2" t="s">
        <v>2833</v>
      </c>
      <c r="B2593" s="2" t="s">
        <v>53</v>
      </c>
      <c r="C2593" s="31" t="str">
        <f>VLOOKUP(irregulares[[#This Row],[Similar a]],padroes[],2,0)</f>
        <v>EAR</v>
      </c>
      <c r="D2593" s="3"/>
    </row>
    <row r="2594" spans="1:4" x14ac:dyDescent="0.25">
      <c r="A2594" s="2" t="s">
        <v>2834</v>
      </c>
      <c r="B2594" s="2" t="s">
        <v>53</v>
      </c>
      <c r="C2594" s="31" t="str">
        <f>VLOOKUP(irregulares[[#This Row],[Similar a]],padroes[],2,0)</f>
        <v>EAR</v>
      </c>
      <c r="D2594" s="3"/>
    </row>
    <row r="2595" spans="1:4" x14ac:dyDescent="0.25">
      <c r="A2595" s="2" t="s">
        <v>2835</v>
      </c>
      <c r="B2595" s="2" t="s">
        <v>53</v>
      </c>
      <c r="C2595" s="31" t="str">
        <f>VLOOKUP(irregulares[[#This Row],[Similar a]],padroes[],2,0)</f>
        <v>EAR</v>
      </c>
      <c r="D2595" s="3"/>
    </row>
    <row r="2596" spans="1:4" x14ac:dyDescent="0.25">
      <c r="A2596" s="2" t="s">
        <v>2836</v>
      </c>
      <c r="B2596" s="2" t="s">
        <v>44</v>
      </c>
      <c r="C2596" s="31" t="str">
        <f>VLOOKUP(irregulares[[#This Row],[Similar a]],padroes[],2,0)</f>
        <v>CAR</v>
      </c>
      <c r="D2596" s="3"/>
    </row>
    <row r="2597" spans="1:4" x14ac:dyDescent="0.25">
      <c r="A2597" s="2" t="s">
        <v>2872</v>
      </c>
      <c r="B2597" s="2" t="s">
        <v>44</v>
      </c>
      <c r="C2597" s="31" t="str">
        <f>VLOOKUP(irregulares[[#This Row],[Similar a]],padroes[],2,0)</f>
        <v>CAR</v>
      </c>
      <c r="D2597" s="3"/>
    </row>
    <row r="2598" spans="1:4" x14ac:dyDescent="0.25">
      <c r="A2598" s="2" t="s">
        <v>2837</v>
      </c>
      <c r="B2598" s="2" t="s">
        <v>53</v>
      </c>
      <c r="C2598" s="31" t="str">
        <f>VLOOKUP(irregulares[[#This Row],[Similar a]],padroes[],2,0)</f>
        <v>EAR</v>
      </c>
      <c r="D2598" s="3"/>
    </row>
    <row r="2599" spans="1:4" x14ac:dyDescent="0.25">
      <c r="A2599" s="2" t="s">
        <v>2838</v>
      </c>
      <c r="B2599" s="2" t="s">
        <v>60</v>
      </c>
      <c r="C2599" s="31" t="str">
        <f>VLOOKUP(irregulares[[#This Row],[Similar a]],padroes[],2,0)</f>
        <v>GAR</v>
      </c>
      <c r="D2599" s="3"/>
    </row>
    <row r="2600" spans="1:4" x14ac:dyDescent="0.25">
      <c r="A2600" s="2" t="s">
        <v>2839</v>
      </c>
      <c r="B2600" s="2" t="s">
        <v>2249</v>
      </c>
      <c r="C2600" s="31" t="str">
        <f>VLOOKUP(irregulares[[#This Row],[Similar a]],padroes[],2,0)</f>
        <v>SABER</v>
      </c>
      <c r="D2600" s="3"/>
    </row>
    <row r="2601" spans="1:4" x14ac:dyDescent="0.25">
      <c r="A2601" s="2" t="s">
        <v>2840</v>
      </c>
      <c r="B2601" s="2" t="s">
        <v>63</v>
      </c>
      <c r="C2601" s="31" t="str">
        <f>VLOOKUP(irregulares[[#This Row],[Similar a]],padroes[],2,0)</f>
        <v>CER</v>
      </c>
      <c r="D2601" s="3"/>
    </row>
    <row r="2602" spans="1:4" x14ac:dyDescent="0.25">
      <c r="A2602" s="2" t="s">
        <v>2841</v>
      </c>
      <c r="B2602" s="2" t="s">
        <v>53</v>
      </c>
      <c r="C2602" s="31" t="str">
        <f>VLOOKUP(irregulares[[#This Row],[Similar a]],padroes[],2,0)</f>
        <v>EAR</v>
      </c>
      <c r="D2602" s="3"/>
    </row>
    <row r="2603" spans="1:4" x14ac:dyDescent="0.25">
      <c r="A2603" s="2" t="s">
        <v>2842</v>
      </c>
      <c r="B2603" s="2" t="s">
        <v>185</v>
      </c>
      <c r="C2603" s="31" t="str">
        <f>VLOOKUP(irregulares[[#This Row],[Similar a]],padroes[],2,0)</f>
        <v>Defectivo 2</v>
      </c>
      <c r="D2603" s="3"/>
    </row>
    <row r="2604" spans="1:4" x14ac:dyDescent="0.25">
      <c r="A2604" s="2" t="s">
        <v>2843</v>
      </c>
      <c r="B2604" s="2" t="s">
        <v>154</v>
      </c>
      <c r="C2604" s="31" t="str">
        <f>VLOOKUP(irregulares[[#This Row],[Similar a]],padroes[],2,0)</f>
        <v>GIR</v>
      </c>
      <c r="D2604" s="3"/>
    </row>
    <row r="2605" spans="1:4" x14ac:dyDescent="0.25">
      <c r="A2605" s="2" t="s">
        <v>2844</v>
      </c>
      <c r="B2605" s="2" t="s">
        <v>2844</v>
      </c>
      <c r="C2605" s="31" t="str">
        <f>VLOOKUP(irregulares[[#This Row],[Similar a]],padroes[],2,0)</f>
        <v>Defectivo 3</v>
      </c>
      <c r="D2605" s="3"/>
    </row>
    <row r="2606" spans="1:4" x14ac:dyDescent="0.25">
      <c r="A2606" s="2" t="s">
        <v>2845</v>
      </c>
      <c r="B2606" s="2" t="s">
        <v>44</v>
      </c>
      <c r="C2606" s="31" t="str">
        <f>VLOOKUP(irregulares[[#This Row],[Similar a]],padroes[],2,0)</f>
        <v>CAR</v>
      </c>
      <c r="D2606" s="3"/>
    </row>
    <row r="2607" spans="1:4" x14ac:dyDescent="0.25">
      <c r="A2607" s="2" t="s">
        <v>2846</v>
      </c>
      <c r="B2607" s="2" t="s">
        <v>267</v>
      </c>
      <c r="C2607" s="31" t="str">
        <f>VLOOKUP(irregulares[[#This Row],[Similar a]],padroes[],2,0)</f>
        <v>POR</v>
      </c>
      <c r="D2607" s="3"/>
    </row>
    <row r="2608" spans="1:4" x14ac:dyDescent="0.25">
      <c r="A2608" s="2" t="s">
        <v>2847</v>
      </c>
      <c r="B2608" s="2" t="s">
        <v>419</v>
      </c>
      <c r="C2608" s="31" t="str">
        <f>VLOOKUP(irregulares[[#This Row],[Similar a]],padroes[],2,0)</f>
        <v>DIZER</v>
      </c>
      <c r="D2608" s="3"/>
    </row>
    <row r="2609" spans="1:4" x14ac:dyDescent="0.25">
      <c r="A2609" s="2" t="s">
        <v>2848</v>
      </c>
      <c r="B2609" s="2" t="s">
        <v>183</v>
      </c>
      <c r="C2609" s="31" t="str">
        <f>VLOOKUP(irregulares[[#This Row],[Similar a]],padroes[],2,0)</f>
        <v>E-X-IR</v>
      </c>
      <c r="D2609" s="3"/>
    </row>
    <row r="2610" spans="1:4" x14ac:dyDescent="0.25">
      <c r="A2610" s="2" t="s">
        <v>2849</v>
      </c>
      <c r="B2610" s="2" t="s">
        <v>1717</v>
      </c>
      <c r="C2610" s="31" t="str">
        <f>VLOOKUP(irregulares[[#This Row],[Similar a]],padroes[],2,0)</f>
        <v>Defectivo 1</v>
      </c>
      <c r="D2610" s="3"/>
    </row>
    <row r="2611" spans="1:4" x14ac:dyDescent="0.25">
      <c r="A2611" s="2" t="s">
        <v>2850</v>
      </c>
      <c r="B2611" s="2" t="s">
        <v>60</v>
      </c>
      <c r="C2611" s="31" t="str">
        <f>VLOOKUP(irregulares[[#This Row],[Similar a]],padroes[],2,0)</f>
        <v>GAR</v>
      </c>
      <c r="D2611" s="3"/>
    </row>
    <row r="2612" spans="1:4" x14ac:dyDescent="0.25">
      <c r="A2612" s="2" t="s">
        <v>2851</v>
      </c>
      <c r="B2612" s="2" t="s">
        <v>49</v>
      </c>
      <c r="C2612" s="31" t="str">
        <f>VLOOKUP(irregulares[[#This Row],[Similar a]],padroes[],2,0)</f>
        <v>OAR</v>
      </c>
      <c r="D2612" s="3"/>
    </row>
    <row r="2613" spans="1:4" x14ac:dyDescent="0.25">
      <c r="A2613" s="2" t="s">
        <v>2852</v>
      </c>
      <c r="B2613" s="2" t="s">
        <v>53</v>
      </c>
      <c r="C2613" s="31" t="str">
        <f>VLOOKUP(irregulares[[#This Row],[Similar a]],padroes[],2,0)</f>
        <v>EAR</v>
      </c>
      <c r="D2613" s="3"/>
    </row>
    <row r="2614" spans="1:4" x14ac:dyDescent="0.25">
      <c r="A2614" s="2" t="s">
        <v>2853</v>
      </c>
      <c r="B2614" s="2" t="s">
        <v>42</v>
      </c>
      <c r="C2614" s="31" t="str">
        <f>VLOOKUP(irregulares[[#This Row],[Similar a]],padroes[],2,0)</f>
        <v>ÇAR</v>
      </c>
      <c r="D2614" s="3"/>
    </row>
    <row r="2615" spans="1:4" x14ac:dyDescent="0.25">
      <c r="A2615" s="2" t="s">
        <v>2854</v>
      </c>
      <c r="B2615" s="2" t="s">
        <v>53</v>
      </c>
      <c r="C2615" s="31" t="str">
        <f>VLOOKUP(irregulares[[#This Row],[Similar a]],padroes[],2,0)</f>
        <v>EAR</v>
      </c>
      <c r="D2615" s="3"/>
    </row>
    <row r="2616" spans="1:4" x14ac:dyDescent="0.25">
      <c r="A2616" s="2" t="s">
        <v>2855</v>
      </c>
      <c r="B2616" s="2" t="s">
        <v>53</v>
      </c>
      <c r="C2616" s="31" t="str">
        <f>VLOOKUP(irregulares[[#This Row],[Similar a]],padroes[],2,0)</f>
        <v>EAR</v>
      </c>
      <c r="D2616" s="3"/>
    </row>
    <row r="2617" spans="1:4" x14ac:dyDescent="0.25">
      <c r="A2617" s="2" t="s">
        <v>2856</v>
      </c>
      <c r="B2617" s="2" t="s">
        <v>55</v>
      </c>
      <c r="C2617" s="31" t="str">
        <f>VLOOKUP(irregulares[[#This Row],[Similar a]],padroes[],2,0)</f>
        <v>EJAR ô</v>
      </c>
      <c r="D2617" s="3"/>
    </row>
    <row r="2618" spans="1:4" x14ac:dyDescent="0.25">
      <c r="A2618" s="2" t="s">
        <v>2857</v>
      </c>
      <c r="B2618" s="2" t="s">
        <v>44</v>
      </c>
      <c r="C2618" s="31" t="str">
        <f>VLOOKUP(irregulares[[#This Row],[Similar a]],padroes[],2,0)</f>
        <v>CAR</v>
      </c>
      <c r="D2618" s="3"/>
    </row>
    <row r="2619" spans="1:4" x14ac:dyDescent="0.25">
      <c r="A2619" s="2" t="s">
        <v>2858</v>
      </c>
      <c r="B2619" s="2" t="s">
        <v>74</v>
      </c>
      <c r="C2619" s="31" t="str">
        <f>VLOOKUP(irregulares[[#This Row],[Similar a]],padroes[],2,0)</f>
        <v>GAR</v>
      </c>
      <c r="D2619" s="3"/>
    </row>
    <row r="2620" spans="1:4" x14ac:dyDescent="0.25">
      <c r="A2620" s="2" t="s">
        <v>2859</v>
      </c>
      <c r="B2620" s="2" t="s">
        <v>2859</v>
      </c>
      <c r="C2620" s="31" t="str">
        <f>VLOOKUP(irregulares[[#This Row],[Similar a]],padroes[],2,0)</f>
        <v>Defectivo 3</v>
      </c>
      <c r="D2620" s="3"/>
    </row>
    <row r="2621" spans="1:4" x14ac:dyDescent="0.25">
      <c r="A2621" s="2" t="s">
        <v>176</v>
      </c>
      <c r="B2621" s="2" t="s">
        <v>1717</v>
      </c>
      <c r="C2621" s="31" t="str">
        <f>VLOOKUP(irregulares[[#This Row],[Similar a]],padroes[],2,0)</f>
        <v>Defectivo 1</v>
      </c>
      <c r="D2621" s="3"/>
    </row>
    <row r="2622" spans="1:4" x14ac:dyDescent="0.25">
      <c r="A2622" s="2" t="s">
        <v>2860</v>
      </c>
      <c r="B2622" s="2" t="s">
        <v>2860</v>
      </c>
      <c r="C2622" s="31" t="str">
        <f>VLOOKUP(irregulares[[#This Row],[Similar a]],padroes[],2,0)</f>
        <v>Abundante</v>
      </c>
      <c r="D2622" s="3"/>
    </row>
    <row r="2623" spans="1:4" x14ac:dyDescent="0.25">
      <c r="A2623" s="2" t="s">
        <v>2861</v>
      </c>
      <c r="B2623" s="2" t="s">
        <v>267</v>
      </c>
      <c r="C2623" s="31" t="str">
        <f>VLOOKUP(irregulares[[#This Row],[Similar a]],padroes[],2,0)</f>
        <v>POR</v>
      </c>
      <c r="D2623" s="3"/>
    </row>
    <row r="2624" spans="1:4" x14ac:dyDescent="0.25">
      <c r="A2624" s="2" t="s">
        <v>2862</v>
      </c>
      <c r="B2624" s="2" t="s">
        <v>44</v>
      </c>
      <c r="C2624" s="31" t="str">
        <f>VLOOKUP(irregulares[[#This Row],[Similar a]],padroes[],2,0)</f>
        <v>CAR</v>
      </c>
      <c r="D2624" s="3"/>
    </row>
    <row r="2625" spans="1:4" x14ac:dyDescent="0.25">
      <c r="A2625" s="2" t="s">
        <v>2863</v>
      </c>
      <c r="B2625" s="2" t="s">
        <v>2249</v>
      </c>
      <c r="C2625" s="31" t="str">
        <f>VLOOKUP(irregulares[[#This Row],[Similar a]],padroes[],2,0)</f>
        <v>SABER</v>
      </c>
      <c r="D2625" s="3"/>
    </row>
    <row r="2626" spans="1:4" x14ac:dyDescent="0.25">
      <c r="A2626" s="2" t="s">
        <v>2864</v>
      </c>
      <c r="B2626" s="2" t="s">
        <v>2363</v>
      </c>
      <c r="C2626" s="31" t="str">
        <f>VLOOKUP(irregulares[[#This Row],[Similar a]],padroes[],2,0)</f>
        <v>Abundante</v>
      </c>
      <c r="D2626" s="3"/>
    </row>
    <row r="2627" spans="1:4" x14ac:dyDescent="0.25">
      <c r="A2627" s="2" t="s">
        <v>2865</v>
      </c>
      <c r="B2627" s="2" t="s">
        <v>53</v>
      </c>
      <c r="C2627" s="31" t="str">
        <f>VLOOKUP(irregulares[[#This Row],[Similar a]],padroes[],2,0)</f>
        <v>EAR</v>
      </c>
      <c r="D2627" s="3"/>
    </row>
    <row r="2628" spans="1:4" x14ac:dyDescent="0.25">
      <c r="A2628" s="2" t="s">
        <v>2725</v>
      </c>
      <c r="B2628" s="2" t="s">
        <v>958</v>
      </c>
      <c r="C2628" s="31" t="str">
        <f>VLOOKUP(irregulares[[#This Row],[Similar a]],padroes[],2,0)</f>
        <v>SENTIR</v>
      </c>
      <c r="D2628" s="3"/>
    </row>
    <row r="2629" spans="1:4" x14ac:dyDescent="0.25">
      <c r="A2629" s="2" t="s">
        <v>2866</v>
      </c>
      <c r="B2629" s="2" t="s">
        <v>267</v>
      </c>
      <c r="C2629" s="31" t="str">
        <f>VLOOKUP(irregulares[[#This Row],[Similar a]],padroes[],2,0)</f>
        <v>POR</v>
      </c>
      <c r="D2629" s="3"/>
    </row>
    <row r="2630" spans="1:4" x14ac:dyDescent="0.25">
      <c r="A2630" s="2" t="s">
        <v>2867</v>
      </c>
      <c r="B2630" s="2" t="s">
        <v>53</v>
      </c>
      <c r="C2630" s="31" t="str">
        <f>VLOOKUP(irregulares[[#This Row],[Similar a]],padroes[],2,0)</f>
        <v>EAR</v>
      </c>
      <c r="D2630" s="3"/>
    </row>
    <row r="2631" spans="1:4" x14ac:dyDescent="0.25">
      <c r="A2631" s="2" t="s">
        <v>2868</v>
      </c>
      <c r="B2631" s="2" t="s">
        <v>55</v>
      </c>
      <c r="C2631" s="31" t="str">
        <f>VLOOKUP(irregulares[[#This Row],[Similar a]],padroes[],2,0)</f>
        <v>EJAR ô</v>
      </c>
      <c r="D2631" s="3"/>
    </row>
    <row r="2632" spans="1:4" x14ac:dyDescent="0.25">
      <c r="A2632" s="2" t="s">
        <v>2869</v>
      </c>
      <c r="B2632" s="2" t="s">
        <v>183</v>
      </c>
      <c r="C2632" s="31" t="str">
        <f>VLOOKUP(irregulares[[#This Row],[Similar a]],padroes[],2,0)</f>
        <v>E-X-IR</v>
      </c>
      <c r="D2632" s="3"/>
    </row>
    <row r="2633" spans="1:4" x14ac:dyDescent="0.25">
      <c r="A2633" s="2" t="s">
        <v>2870</v>
      </c>
      <c r="B2633" s="2" t="s">
        <v>42</v>
      </c>
      <c r="C2633" s="31" t="str">
        <f>VLOOKUP(irregulares[[#This Row],[Similar a]],padroes[],2,0)</f>
        <v>ÇAR</v>
      </c>
      <c r="D2633" s="3"/>
    </row>
    <row r="2634" spans="1:4" x14ac:dyDescent="0.25">
      <c r="A2634" s="2" t="s">
        <v>2871</v>
      </c>
      <c r="B2634" s="2" t="s">
        <v>63</v>
      </c>
      <c r="C2634" s="31" t="str">
        <f>VLOOKUP(irregulares[[#This Row],[Similar a]],padroes[],2,0)</f>
        <v>CER</v>
      </c>
      <c r="D2634" s="3"/>
    </row>
    <row r="2635" spans="1:4" x14ac:dyDescent="0.25">
      <c r="A2635" s="2" t="s">
        <v>2873</v>
      </c>
      <c r="B2635" s="2" t="s">
        <v>2873</v>
      </c>
      <c r="C2635" s="31" t="str">
        <f>VLOOKUP(irregulares[[#This Row],[Similar a]],padroes[],2,0)</f>
        <v>PREVENIR</v>
      </c>
      <c r="D2635" s="3"/>
    </row>
    <row r="2636" spans="1:4" x14ac:dyDescent="0.25">
      <c r="A2636" s="2" t="s">
        <v>2874</v>
      </c>
      <c r="B2636" s="2" t="s">
        <v>250</v>
      </c>
      <c r="C2636" s="31" t="str">
        <f>VLOOKUP(irregulares[[#This Row],[Similar a]],padroes[],2,0)</f>
        <v>VER</v>
      </c>
      <c r="D2636" s="3"/>
    </row>
    <row r="2637" spans="1:4" x14ac:dyDescent="0.25">
      <c r="A2637" s="2" t="s">
        <v>2875</v>
      </c>
      <c r="B2637" s="2" t="s">
        <v>44</v>
      </c>
      <c r="C2637" s="31" t="str">
        <f>VLOOKUP(irregulares[[#This Row],[Similar a]],padroes[],2,0)</f>
        <v>CAR</v>
      </c>
      <c r="D2637" s="3"/>
    </row>
    <row r="2638" spans="1:4" x14ac:dyDescent="0.25">
      <c r="A2638" s="2" t="s">
        <v>2876</v>
      </c>
      <c r="B2638" s="2" t="s">
        <v>49</v>
      </c>
      <c r="C2638" s="31" t="str">
        <f>VLOOKUP(irregulares[[#This Row],[Similar a]],padroes[],2,0)</f>
        <v>OAR</v>
      </c>
      <c r="D2638" s="3"/>
    </row>
    <row r="2639" spans="1:4" x14ac:dyDescent="0.25">
      <c r="A2639" s="2" t="s">
        <v>2877</v>
      </c>
      <c r="B2639" s="2" t="s">
        <v>74</v>
      </c>
      <c r="C2639" s="31" t="str">
        <f>VLOOKUP(irregulares[[#This Row],[Similar a]],padroes[],2,0)</f>
        <v>GAR</v>
      </c>
      <c r="D2639" s="3"/>
    </row>
    <row r="2640" spans="1:4" x14ac:dyDescent="0.25">
      <c r="A2640" s="2" t="s">
        <v>2878</v>
      </c>
      <c r="B2640" s="2" t="s">
        <v>1887</v>
      </c>
      <c r="C2640" s="31" t="str">
        <f>VLOOKUP(irregulares[[#This Row],[Similar a]],padroes[],2,0)</f>
        <v>UZIR</v>
      </c>
      <c r="D2640" s="3"/>
    </row>
    <row r="2641" spans="1:4" x14ac:dyDescent="0.25">
      <c r="A2641" s="2" t="s">
        <v>2879</v>
      </c>
      <c r="B2641" s="2" t="s">
        <v>55</v>
      </c>
      <c r="C2641" s="31" t="str">
        <f>VLOOKUP(irregulares[[#This Row],[Similar a]],padroes[],2,0)</f>
        <v>EJAR ô</v>
      </c>
      <c r="D2641" s="3"/>
    </row>
    <row r="2642" spans="1:4" x14ac:dyDescent="0.25">
      <c r="A2642" s="2" t="s">
        <v>2880</v>
      </c>
      <c r="B2642" s="2" t="s">
        <v>183</v>
      </c>
      <c r="C2642" s="31" t="str">
        <f>VLOOKUP(irregulares[[#This Row],[Similar a]],padroes[],2,0)</f>
        <v>E-X-IR</v>
      </c>
      <c r="D2642" s="3"/>
    </row>
    <row r="2643" spans="1:4" x14ac:dyDescent="0.25">
      <c r="A2643" s="2" t="s">
        <v>2881</v>
      </c>
      <c r="B2643" s="2" t="s">
        <v>74</v>
      </c>
      <c r="C2643" s="31" t="str">
        <f>VLOOKUP(irregulares[[#This Row],[Similar a]],padroes[],2,0)</f>
        <v>GAR</v>
      </c>
      <c r="D2643" s="3"/>
    </row>
    <row r="2644" spans="1:4" x14ac:dyDescent="0.25">
      <c r="A2644" s="2" t="s">
        <v>2882</v>
      </c>
      <c r="B2644" s="2" t="s">
        <v>44</v>
      </c>
      <c r="C2644" s="31" t="str">
        <f>VLOOKUP(irregulares[[#This Row],[Similar a]],padroes[],2,0)</f>
        <v>CAR</v>
      </c>
      <c r="D2644" s="3"/>
    </row>
    <row r="2645" spans="1:4" x14ac:dyDescent="0.25">
      <c r="A2645" s="2" t="s">
        <v>2883</v>
      </c>
      <c r="B2645" s="2" t="s">
        <v>310</v>
      </c>
      <c r="C2645" s="31" t="str">
        <f>VLOOKUP(irregulares[[#This Row],[Similar a]],padroes[],2,0)</f>
        <v>GREDIR</v>
      </c>
      <c r="D2645" s="3"/>
    </row>
    <row r="2646" spans="1:4" x14ac:dyDescent="0.25">
      <c r="A2646" s="2" t="s">
        <v>2884</v>
      </c>
      <c r="B2646" s="2" t="s">
        <v>44</v>
      </c>
      <c r="C2646" s="31" t="str">
        <f>VLOOKUP(irregulares[[#This Row],[Similar a]],padroes[],2,0)</f>
        <v>CAR</v>
      </c>
      <c r="D2646" s="3"/>
    </row>
    <row r="2647" spans="1:4" x14ac:dyDescent="0.25">
      <c r="A2647" s="2" t="s">
        <v>2885</v>
      </c>
      <c r="B2647" s="2" t="s">
        <v>74</v>
      </c>
      <c r="C2647" s="31" t="str">
        <f>VLOOKUP(irregulares[[#This Row],[Similar a]],padroes[],2,0)</f>
        <v>GAR</v>
      </c>
      <c r="D2647" s="3"/>
    </row>
    <row r="2648" spans="1:4" x14ac:dyDescent="0.25">
      <c r="A2648" s="2" t="s">
        <v>2886</v>
      </c>
      <c r="B2648" s="2" t="s">
        <v>82</v>
      </c>
      <c r="C2648" s="31" t="str">
        <f>VLOOKUP(irregulares[[#This Row],[Similar a]],padroes[],2,0)</f>
        <v>UIR</v>
      </c>
      <c r="D2648" s="3"/>
    </row>
    <row r="2649" spans="1:4" x14ac:dyDescent="0.25">
      <c r="A2649" s="2" t="s">
        <v>2887</v>
      </c>
      <c r="B2649" s="2" t="s">
        <v>74</v>
      </c>
      <c r="C2649" s="31" t="str">
        <f>VLOOKUP(irregulares[[#This Row],[Similar a]],padroes[],2,0)</f>
        <v>GAR</v>
      </c>
      <c r="D2649" s="3"/>
    </row>
    <row r="2650" spans="1:4" x14ac:dyDescent="0.25">
      <c r="A2650" s="2" t="s">
        <v>2888</v>
      </c>
      <c r="B2650" s="2" t="s">
        <v>44</v>
      </c>
      <c r="C2650" s="31" t="str">
        <f>VLOOKUP(irregulares[[#This Row],[Similar a]],padroes[],2,0)</f>
        <v>CAR</v>
      </c>
      <c r="D2650" s="3"/>
    </row>
    <row r="2651" spans="1:4" x14ac:dyDescent="0.25">
      <c r="A2651" s="2" t="s">
        <v>2889</v>
      </c>
      <c r="B2651" s="2" t="s">
        <v>74</v>
      </c>
      <c r="C2651" s="31" t="str">
        <f>VLOOKUP(irregulares[[#This Row],[Similar a]],padroes[],2,0)</f>
        <v>GAR</v>
      </c>
      <c r="D2651" s="3"/>
    </row>
    <row r="2652" spans="1:4" x14ac:dyDescent="0.25">
      <c r="A2652" s="2" t="s">
        <v>2890</v>
      </c>
      <c r="B2652" s="2" t="s">
        <v>1999</v>
      </c>
      <c r="C2652" s="31" t="str">
        <f>VLOOKUP(irregulares[[#This Row],[Similar a]],padroes[],2,0)</f>
        <v>E-X-IR</v>
      </c>
      <c r="D2652" s="3"/>
    </row>
    <row r="2653" spans="1:4" x14ac:dyDescent="0.25">
      <c r="A2653" s="2" t="s">
        <v>2891</v>
      </c>
      <c r="B2653" s="2" t="s">
        <v>267</v>
      </c>
      <c r="C2653" s="31" t="str">
        <f>VLOOKUP(irregulares[[#This Row],[Similar a]],padroes[],2,0)</f>
        <v>POR</v>
      </c>
      <c r="D2653" s="3"/>
    </row>
    <row r="2654" spans="1:4" x14ac:dyDescent="0.25">
      <c r="A2654" s="2" t="s">
        <v>2892</v>
      </c>
      <c r="B2654" s="2" t="s">
        <v>74</v>
      </c>
      <c r="C2654" s="31" t="str">
        <f>VLOOKUP(irregulares[[#This Row],[Similar a]],padroes[],2,0)</f>
        <v>GAR</v>
      </c>
      <c r="D2654" s="3"/>
    </row>
    <row r="2655" spans="1:4" x14ac:dyDescent="0.25">
      <c r="A2655" s="2" t="s">
        <v>2893</v>
      </c>
      <c r="B2655" s="2" t="s">
        <v>2363</v>
      </c>
      <c r="C2655" s="31" t="str">
        <f>VLOOKUP(irregulares[[#This Row],[Similar a]],padroes[],2,0)</f>
        <v>Abundante</v>
      </c>
      <c r="D2655" s="3"/>
    </row>
    <row r="2656" spans="1:4" x14ac:dyDescent="0.25">
      <c r="A2656" s="2" t="s">
        <v>2894</v>
      </c>
      <c r="B2656" s="2" t="s">
        <v>53</v>
      </c>
      <c r="C2656" s="31" t="str">
        <f>VLOOKUP(irregulares[[#This Row],[Similar a]],padroes[],2,0)</f>
        <v>EAR</v>
      </c>
      <c r="D2656" s="3"/>
    </row>
    <row r="2657" spans="1:4" x14ac:dyDescent="0.25">
      <c r="A2657" s="2" t="s">
        <v>2895</v>
      </c>
      <c r="B2657" s="2" t="s">
        <v>2303</v>
      </c>
      <c r="C2657" s="31" t="str">
        <f>VLOOKUP(irregulares[[#This Row],[Similar a]],padroes[],2,0)</f>
        <v>E-X-IR</v>
      </c>
      <c r="D2657" s="3"/>
    </row>
    <row r="2658" spans="1:4" x14ac:dyDescent="0.25">
      <c r="A2658" s="2" t="s">
        <v>2896</v>
      </c>
      <c r="B2658" s="2" t="s">
        <v>82</v>
      </c>
      <c r="C2658" s="31" t="str">
        <f>VLOOKUP(irregulares[[#This Row],[Similar a]],padroes[],2,0)</f>
        <v>UIR</v>
      </c>
      <c r="D2658" s="3"/>
    </row>
    <row r="2659" spans="1:4" x14ac:dyDescent="0.25">
      <c r="A2659" s="2" t="s">
        <v>2897</v>
      </c>
      <c r="B2659" s="2" t="s">
        <v>121</v>
      </c>
      <c r="C2659" s="31" t="str">
        <f>VLOOKUP(irregulares[[#This Row],[Similar a]],padroes[],2,0)</f>
        <v>GER</v>
      </c>
      <c r="D2659" s="3"/>
    </row>
    <row r="2660" spans="1:4" x14ac:dyDescent="0.25">
      <c r="A2660" s="2" t="s">
        <v>2898</v>
      </c>
      <c r="B2660" s="2" t="s">
        <v>988</v>
      </c>
      <c r="C2660" s="31" t="str">
        <f>VLOOKUP(irregulares[[#This Row],[Similar a]],padroes[],2,0)</f>
        <v>AIR</v>
      </c>
      <c r="D2660" s="3"/>
    </row>
    <row r="2661" spans="1:4" x14ac:dyDescent="0.25">
      <c r="A2661" s="2" t="s">
        <v>2899</v>
      </c>
      <c r="B2661" s="2" t="s">
        <v>247</v>
      </c>
      <c r="C2661" s="31" t="str">
        <f>VLOOKUP(irregulares[[#This Row],[Similar a]],padroes[],2,0)</f>
        <v>VIR</v>
      </c>
      <c r="D2661" s="3"/>
    </row>
    <row r="2662" spans="1:4" x14ac:dyDescent="0.25">
      <c r="A2662" s="2" t="s">
        <v>2900</v>
      </c>
      <c r="B2662" s="2" t="s">
        <v>44</v>
      </c>
      <c r="C2662" s="31" t="str">
        <f>VLOOKUP(irregulares[[#This Row],[Similar a]],padroes[],2,0)</f>
        <v>CAR</v>
      </c>
      <c r="D2662" s="3"/>
    </row>
    <row r="2663" spans="1:4" x14ac:dyDescent="0.25">
      <c r="A2663" s="2" t="s">
        <v>2901</v>
      </c>
      <c r="B2663" s="2" t="s">
        <v>1717</v>
      </c>
      <c r="C2663" s="31" t="str">
        <f>VLOOKUP(irregulares[[#This Row],[Similar a]],padroes[],2,0)</f>
        <v>Defectivo 1</v>
      </c>
      <c r="D2663" s="3"/>
    </row>
    <row r="2664" spans="1:4" x14ac:dyDescent="0.25">
      <c r="A2664" s="2" t="s">
        <v>2902</v>
      </c>
      <c r="B2664" s="2" t="s">
        <v>1717</v>
      </c>
      <c r="C2664" s="31" t="str">
        <f>VLOOKUP(irregulares[[#This Row],[Similar a]],padroes[],2,0)</f>
        <v>Defectivo 1</v>
      </c>
      <c r="D2664" s="3"/>
    </row>
    <row r="2665" spans="1:4" x14ac:dyDescent="0.25">
      <c r="A2665" s="2" t="s">
        <v>2903</v>
      </c>
      <c r="B2665" s="2" t="s">
        <v>74</v>
      </c>
      <c r="C2665" s="31" t="str">
        <f>VLOOKUP(irregulares[[#This Row],[Similar a]],padroes[],2,0)</f>
        <v>GAR</v>
      </c>
      <c r="D2665" s="3"/>
    </row>
    <row r="2666" spans="1:4" x14ac:dyDescent="0.25">
      <c r="A2666" s="2" t="s">
        <v>2904</v>
      </c>
      <c r="B2666" s="2" t="s">
        <v>44</v>
      </c>
      <c r="C2666" s="31" t="str">
        <f>VLOOKUP(irregulares[[#This Row],[Similar a]],padroes[],2,0)</f>
        <v>CAR</v>
      </c>
      <c r="D2666" s="3"/>
    </row>
    <row r="2667" spans="1:4" x14ac:dyDescent="0.25">
      <c r="A2667" s="2" t="s">
        <v>2905</v>
      </c>
      <c r="B2667" s="2" t="s">
        <v>1717</v>
      </c>
      <c r="C2667" s="31" t="str">
        <f>VLOOKUP(irregulares[[#This Row],[Similar a]],padroes[],2,0)</f>
        <v>Defectivo 1</v>
      </c>
      <c r="D2667" s="3"/>
    </row>
    <row r="2668" spans="1:4" x14ac:dyDescent="0.25">
      <c r="A2668" s="2" t="s">
        <v>2906</v>
      </c>
      <c r="B2668" s="2" t="s">
        <v>53</v>
      </c>
      <c r="C2668" s="31" t="str">
        <f>VLOOKUP(irregulares[[#This Row],[Similar a]],padroes[],2,0)</f>
        <v>EAR</v>
      </c>
      <c r="D2668" s="3"/>
    </row>
    <row r="2669" spans="1:4" x14ac:dyDescent="0.25">
      <c r="A2669" s="2" t="s">
        <v>2907</v>
      </c>
      <c r="B2669" s="2" t="s">
        <v>42</v>
      </c>
      <c r="C2669" s="31" t="str">
        <f>VLOOKUP(irregulares[[#This Row],[Similar a]],padroes[],2,0)</f>
        <v>ÇAR</v>
      </c>
      <c r="D2669" s="3"/>
    </row>
    <row r="2670" spans="1:4" x14ac:dyDescent="0.25">
      <c r="A2670" s="2" t="s">
        <v>2908</v>
      </c>
      <c r="B2670" s="2" t="s">
        <v>1717</v>
      </c>
      <c r="C2670" s="31" t="str">
        <f>VLOOKUP(irregulares[[#This Row],[Similar a]],padroes[],2,0)</f>
        <v>Defectivo 1</v>
      </c>
      <c r="D2670" s="3"/>
    </row>
    <row r="2671" spans="1:4" x14ac:dyDescent="0.25">
      <c r="A2671" s="2" t="s">
        <v>2909</v>
      </c>
      <c r="B2671" s="2" t="s">
        <v>53</v>
      </c>
      <c r="C2671" s="31" t="str">
        <f>VLOOKUP(irregulares[[#This Row],[Similar a]],padroes[],2,0)</f>
        <v>EAR</v>
      </c>
      <c r="D2671" s="3"/>
    </row>
    <row r="2672" spans="1:4" x14ac:dyDescent="0.25">
      <c r="A2672" s="2" t="s">
        <v>2910</v>
      </c>
      <c r="B2672" s="2" t="s">
        <v>74</v>
      </c>
      <c r="C2672" s="31" t="str">
        <f>VLOOKUP(irregulares[[#This Row],[Similar a]],padroes[],2,0)</f>
        <v>GAR</v>
      </c>
      <c r="D2672" s="3"/>
    </row>
    <row r="2673" spans="1:4" x14ac:dyDescent="0.25">
      <c r="A2673" s="2" t="s">
        <v>2911</v>
      </c>
      <c r="B2673" s="2" t="s">
        <v>44</v>
      </c>
      <c r="C2673" s="31" t="str">
        <f>VLOOKUP(irregulares[[#This Row],[Similar a]],padroes[],2,0)</f>
        <v>CAR</v>
      </c>
      <c r="D2673" s="3"/>
    </row>
    <row r="2674" spans="1:4" x14ac:dyDescent="0.25">
      <c r="A2674" s="2" t="s">
        <v>2912</v>
      </c>
      <c r="B2674" s="2" t="s">
        <v>53</v>
      </c>
      <c r="C2674" s="31" t="str">
        <f>VLOOKUP(irregulares[[#This Row],[Similar a]],padroes[],2,0)</f>
        <v>EAR</v>
      </c>
      <c r="D2674" s="3"/>
    </row>
    <row r="2675" spans="1:4" x14ac:dyDescent="0.25">
      <c r="A2675" s="2" t="s">
        <v>2913</v>
      </c>
      <c r="B2675" s="2" t="s">
        <v>55</v>
      </c>
      <c r="C2675" s="31" t="str">
        <f>VLOOKUP(irregulares[[#This Row],[Similar a]],padroes[],2,0)</f>
        <v>EJAR ô</v>
      </c>
      <c r="D2675" s="3"/>
    </row>
    <row r="2676" spans="1:4" x14ac:dyDescent="0.25">
      <c r="A2676" s="2" t="s">
        <v>2914</v>
      </c>
      <c r="B2676" s="2" t="s">
        <v>53</v>
      </c>
      <c r="C2676" s="31" t="str">
        <f>VLOOKUP(irregulares[[#This Row],[Similar a]],padroes[],2,0)</f>
        <v>EAR</v>
      </c>
      <c r="D2676" s="3"/>
    </row>
    <row r="2677" spans="1:4" x14ac:dyDescent="0.25">
      <c r="A2677" s="2" t="s">
        <v>2915</v>
      </c>
      <c r="B2677" s="2" t="s">
        <v>44</v>
      </c>
      <c r="C2677" s="31" t="str">
        <f>VLOOKUP(irregulares[[#This Row],[Similar a]],padroes[],2,0)</f>
        <v>CAR</v>
      </c>
      <c r="D2677" s="3"/>
    </row>
    <row r="2678" spans="1:4" x14ac:dyDescent="0.25">
      <c r="A2678" s="2" t="s">
        <v>1355</v>
      </c>
      <c r="B2678" s="2" t="s">
        <v>44</v>
      </c>
      <c r="C2678" s="31" t="str">
        <f>VLOOKUP(irregulares[[#This Row],[Similar a]],padroes[],2,0)</f>
        <v>CAR</v>
      </c>
      <c r="D2678" s="3"/>
    </row>
    <row r="2679" spans="1:4" x14ac:dyDescent="0.25">
      <c r="A2679" s="2" t="s">
        <v>1356</v>
      </c>
      <c r="B2679" s="2" t="s">
        <v>44</v>
      </c>
      <c r="C2679" s="31" t="str">
        <f>VLOOKUP(irregulares[[#This Row],[Similar a]],padroes[],2,0)</f>
        <v>CAR</v>
      </c>
      <c r="D2679" s="3"/>
    </row>
    <row r="2680" spans="1:4" x14ac:dyDescent="0.25">
      <c r="A2680" s="2" t="s">
        <v>1357</v>
      </c>
      <c r="B2680" s="2" t="s">
        <v>53</v>
      </c>
      <c r="C2680" s="31" t="str">
        <f>VLOOKUP(irregulares[[#This Row],[Similar a]],padroes[],2,0)</f>
        <v>EAR</v>
      </c>
      <c r="D2680" s="3"/>
    </row>
    <row r="2681" spans="1:4" x14ac:dyDescent="0.25">
      <c r="A2681" s="2" t="s">
        <v>1358</v>
      </c>
      <c r="B2681" s="2" t="s">
        <v>55</v>
      </c>
      <c r="C2681" s="31" t="str">
        <f>VLOOKUP(irregulares[[#This Row],[Similar a]],padroes[],2,0)</f>
        <v>EJAR ô</v>
      </c>
      <c r="D2681" s="3"/>
    </row>
    <row r="2682" spans="1:4" x14ac:dyDescent="0.25">
      <c r="A2682" s="2" t="s">
        <v>1359</v>
      </c>
      <c r="B2682" s="2" t="s">
        <v>1359</v>
      </c>
      <c r="C2682" s="31" t="str">
        <f>VLOOKUP(irregulares[[#This Row],[Similar a]],padroes[],2,0)</f>
        <v>QUERER</v>
      </c>
      <c r="D2682" s="3"/>
    </row>
    <row r="2683" spans="1:4" x14ac:dyDescent="0.25">
      <c r="A2683" s="2" t="s">
        <v>1360</v>
      </c>
      <c r="B2683" s="2" t="s">
        <v>44</v>
      </c>
      <c r="C2683" s="31" t="str">
        <f>VLOOKUP(irregulares[[#This Row],[Similar a]],padroes[],2,0)</f>
        <v>CAR</v>
      </c>
      <c r="D2683" s="3"/>
    </row>
    <row r="2684" spans="1:4" x14ac:dyDescent="0.25">
      <c r="A2684" s="2" t="s">
        <v>1361</v>
      </c>
      <c r="B2684" s="2" t="s">
        <v>44</v>
      </c>
      <c r="C2684" s="31" t="str">
        <f>VLOOKUP(irregulares[[#This Row],[Similar a]],padroes[],2,0)</f>
        <v>CAR</v>
      </c>
      <c r="D2684" s="3"/>
    </row>
    <row r="2685" spans="1:4" x14ac:dyDescent="0.25">
      <c r="A2685" s="2" t="s">
        <v>1362</v>
      </c>
      <c r="B2685" s="2" t="s">
        <v>44</v>
      </c>
      <c r="C2685" s="31" t="str">
        <f>VLOOKUP(irregulares[[#This Row],[Similar a]],padroes[],2,0)</f>
        <v>CAR</v>
      </c>
      <c r="D2685" s="3"/>
    </row>
    <row r="2686" spans="1:4" x14ac:dyDescent="0.25">
      <c r="A2686" s="2" t="s">
        <v>1363</v>
      </c>
      <c r="B2686" s="2" t="s">
        <v>49</v>
      </c>
      <c r="C2686" s="31" t="str">
        <f>VLOOKUP(irregulares[[#This Row],[Similar a]],padroes[],2,0)</f>
        <v>OAR</v>
      </c>
      <c r="D2686" s="3"/>
    </row>
    <row r="2687" spans="1:4" x14ac:dyDescent="0.25">
      <c r="A2687" s="2" t="s">
        <v>1364</v>
      </c>
      <c r="B2687" s="2" t="s">
        <v>44</v>
      </c>
      <c r="C2687" s="31" t="str">
        <f>VLOOKUP(irregulares[[#This Row],[Similar a]],padroes[],2,0)</f>
        <v>CAR</v>
      </c>
      <c r="D2687" s="3"/>
    </row>
    <row r="2688" spans="1:4" x14ac:dyDescent="0.25">
      <c r="A2688" s="2" t="s">
        <v>1365</v>
      </c>
      <c r="B2688" s="2" t="s">
        <v>53</v>
      </c>
      <c r="C2688" s="31" t="str">
        <f>VLOOKUP(irregulares[[#This Row],[Similar a]],padroes[],2,0)</f>
        <v>EAR</v>
      </c>
      <c r="D2688" s="3"/>
    </row>
    <row r="2689" spans="1:4" x14ac:dyDescent="0.25">
      <c r="A2689" s="2" t="s">
        <v>3520</v>
      </c>
      <c r="B2689" s="2" t="s">
        <v>53</v>
      </c>
      <c r="C2689" s="31" t="str">
        <f>VLOOKUP(irregulares[[#This Row],[Similar a]],padroes[],2,0)</f>
        <v>EAR</v>
      </c>
      <c r="D2689" s="3"/>
    </row>
    <row r="2690" spans="1:4" x14ac:dyDescent="0.25">
      <c r="A2690" s="2" t="s">
        <v>3709</v>
      </c>
      <c r="B2690" s="2" t="s">
        <v>55</v>
      </c>
      <c r="C2690" s="31" t="str">
        <f>VLOOKUP(irregulares[[#This Row],[Similar a]],padroes[],2,0)</f>
        <v>EJAR ô</v>
      </c>
      <c r="D2690" s="3"/>
    </row>
    <row r="2691" spans="1:4" x14ac:dyDescent="0.25">
      <c r="A2691" s="2" t="s">
        <v>3579</v>
      </c>
      <c r="B2691" s="2" t="s">
        <v>44</v>
      </c>
      <c r="C2691" s="31" t="str">
        <f>VLOOKUP(irregulares[[#This Row],[Similar a]],padroes[],2,0)</f>
        <v>CAR</v>
      </c>
      <c r="D2691" s="3"/>
    </row>
    <row r="2692" spans="1:4" x14ac:dyDescent="0.25">
      <c r="A2692" s="2" t="s">
        <v>3521</v>
      </c>
      <c r="B2692" s="2" t="s">
        <v>53</v>
      </c>
      <c r="C2692" s="31" t="str">
        <f>VLOOKUP(irregulares[[#This Row],[Similar a]],padroes[],2,0)</f>
        <v>EAR</v>
      </c>
      <c r="D2692" s="3"/>
    </row>
    <row r="2693" spans="1:4" x14ac:dyDescent="0.25">
      <c r="A2693" s="2" t="s">
        <v>3710</v>
      </c>
      <c r="B2693" s="2" t="s">
        <v>55</v>
      </c>
      <c r="C2693" s="31" t="str">
        <f>VLOOKUP(irregulares[[#This Row],[Similar a]],padroes[],2,0)</f>
        <v>EJAR ô</v>
      </c>
      <c r="D2693" s="3"/>
    </row>
    <row r="2694" spans="1:4" x14ac:dyDescent="0.25">
      <c r="A2694" s="2" t="s">
        <v>3580</v>
      </c>
      <c r="B2694" s="2" t="s">
        <v>44</v>
      </c>
      <c r="C2694" s="31" t="str">
        <f>VLOOKUP(irregulares[[#This Row],[Similar a]],padroes[],2,0)</f>
        <v>CAR</v>
      </c>
      <c r="D2694" s="3"/>
    </row>
    <row r="2695" spans="1:4" x14ac:dyDescent="0.25">
      <c r="A2695" s="2" t="s">
        <v>3581</v>
      </c>
      <c r="B2695" s="2" t="s">
        <v>44</v>
      </c>
      <c r="C2695" s="31" t="str">
        <f>VLOOKUP(irregulares[[#This Row],[Similar a]],padroes[],2,0)</f>
        <v>CAR</v>
      </c>
      <c r="D2695" s="3"/>
    </row>
    <row r="2696" spans="1:4" x14ac:dyDescent="0.25">
      <c r="A2696" s="2" t="s">
        <v>3711</v>
      </c>
      <c r="B2696" s="2" t="s">
        <v>55</v>
      </c>
      <c r="C2696" s="31" t="str">
        <f>VLOOKUP(irregulares[[#This Row],[Similar a]],padroes[],2,0)</f>
        <v>EJAR ô</v>
      </c>
      <c r="D2696" s="3"/>
    </row>
    <row r="2697" spans="1:4" x14ac:dyDescent="0.25">
      <c r="A2697" s="2" t="s">
        <v>3731</v>
      </c>
      <c r="B2697" s="2" t="s">
        <v>63</v>
      </c>
      <c r="C2697" s="31" t="str">
        <f>VLOOKUP(irregulares[[#This Row],[Similar a]],padroes[],2,0)</f>
        <v>CER</v>
      </c>
      <c r="D2697" s="3"/>
    </row>
    <row r="2698" spans="1:4" x14ac:dyDescent="0.25">
      <c r="A2698" s="2" t="s">
        <v>3523</v>
      </c>
      <c r="B2698" s="2" t="s">
        <v>53</v>
      </c>
      <c r="C2698" s="31" t="str">
        <f>VLOOKUP(irregulares[[#This Row],[Similar a]],padroes[],2,0)</f>
        <v>EAR</v>
      </c>
      <c r="D2698" s="3"/>
    </row>
    <row r="2699" spans="1:4" x14ac:dyDescent="0.25">
      <c r="A2699" s="2" t="s">
        <v>3524</v>
      </c>
      <c r="B2699" s="2" t="s">
        <v>53</v>
      </c>
      <c r="C2699" s="31" t="str">
        <f>VLOOKUP(irregulares[[#This Row],[Similar a]],padroes[],2,0)</f>
        <v>EAR</v>
      </c>
      <c r="D2699" s="3"/>
    </row>
    <row r="2700" spans="1:4" x14ac:dyDescent="0.25">
      <c r="A2700" s="2" t="s">
        <v>3582</v>
      </c>
      <c r="B2700" s="2" t="s">
        <v>44</v>
      </c>
      <c r="C2700" s="31" t="str">
        <f>VLOOKUP(irregulares[[#This Row],[Similar a]],padroes[],2,0)</f>
        <v>CAR</v>
      </c>
      <c r="D2700" s="3"/>
    </row>
    <row r="2701" spans="1:4" x14ac:dyDescent="0.25">
      <c r="A2701" s="2" t="s">
        <v>3525</v>
      </c>
      <c r="B2701" s="2" t="s">
        <v>53</v>
      </c>
      <c r="C2701" s="31" t="str">
        <f>VLOOKUP(irregulares[[#This Row],[Similar a]],padroes[],2,0)</f>
        <v>EAR</v>
      </c>
      <c r="D2701" s="3"/>
    </row>
    <row r="2702" spans="1:4" x14ac:dyDescent="0.25">
      <c r="A2702" s="2" t="s">
        <v>3583</v>
      </c>
      <c r="B2702" s="2" t="s">
        <v>42</v>
      </c>
      <c r="C2702" s="31" t="str">
        <f>VLOOKUP(irregulares[[#This Row],[Similar a]],padroes[],2,0)</f>
        <v>ÇAR</v>
      </c>
      <c r="D2702" s="3"/>
    </row>
    <row r="2703" spans="1:4" x14ac:dyDescent="0.25">
      <c r="A2703" s="2" t="s">
        <v>3732</v>
      </c>
      <c r="B2703" s="2" t="s">
        <v>63</v>
      </c>
      <c r="C2703" s="31" t="str">
        <f>VLOOKUP(irregulares[[#This Row],[Similar a]],padroes[],2,0)</f>
        <v>CER</v>
      </c>
      <c r="D2703" s="3"/>
    </row>
    <row r="2704" spans="1:4" x14ac:dyDescent="0.25">
      <c r="A2704" s="2" t="s">
        <v>3578</v>
      </c>
      <c r="B2704" s="2" t="s">
        <v>44</v>
      </c>
      <c r="C2704" s="31" t="str">
        <f>VLOOKUP(irregulares[[#This Row],[Similar a]],padroes[],2,0)</f>
        <v>CAR</v>
      </c>
      <c r="D2704" s="3"/>
    </row>
    <row r="2705" spans="1:4" x14ac:dyDescent="0.25">
      <c r="A2705" s="2" t="s">
        <v>3665</v>
      </c>
      <c r="B2705" s="2" t="s">
        <v>74</v>
      </c>
      <c r="C2705" s="31" t="str">
        <f>VLOOKUP(irregulares[[#This Row],[Similar a]],padroes[],2,0)</f>
        <v>GAR</v>
      </c>
      <c r="D2705" s="3"/>
    </row>
    <row r="2706" spans="1:4" x14ac:dyDescent="0.25">
      <c r="A2706" s="2" t="s">
        <v>3272</v>
      </c>
      <c r="B2706" s="2" t="s">
        <v>110</v>
      </c>
      <c r="C2706" s="31" t="str">
        <f>VLOOKUP(irregulares[[#This Row],[Similar a]],padroes[],2,0)</f>
        <v>ANGER</v>
      </c>
      <c r="D2706" s="3"/>
    </row>
    <row r="2707" spans="1:4" x14ac:dyDescent="0.25">
      <c r="A2707" s="2" t="s">
        <v>3757</v>
      </c>
      <c r="B2707" s="2" t="s">
        <v>154</v>
      </c>
      <c r="C2707" s="31" t="str">
        <f>VLOOKUP(irregulares[[#This Row],[Similar a]],padroes[],2,0)</f>
        <v>GIR</v>
      </c>
      <c r="D2707" s="3"/>
    </row>
    <row r="2708" spans="1:4" x14ac:dyDescent="0.25">
      <c r="A2708" s="2" t="s">
        <v>3526</v>
      </c>
      <c r="B2708" s="2" t="s">
        <v>53</v>
      </c>
      <c r="C2708" s="31" t="str">
        <f>VLOOKUP(irregulares[[#This Row],[Similar a]],padroes[],2,0)</f>
        <v>EAR</v>
      </c>
      <c r="D2708" s="3"/>
    </row>
    <row r="2709" spans="1:4" x14ac:dyDescent="0.25">
      <c r="A2709" s="2" t="s">
        <v>3527</v>
      </c>
      <c r="B2709" s="2" t="s">
        <v>53</v>
      </c>
      <c r="C2709" s="31" t="str">
        <f>VLOOKUP(irregulares[[#This Row],[Similar a]],padroes[],2,0)</f>
        <v>EAR</v>
      </c>
      <c r="D2709" s="3"/>
    </row>
    <row r="2710" spans="1:4" x14ac:dyDescent="0.25">
      <c r="A2710" s="2" t="s">
        <v>3758</v>
      </c>
      <c r="B2710" s="2" t="s">
        <v>859</v>
      </c>
      <c r="C2710" s="31" t="str">
        <f>VLOOKUP(irregulares[[#This Row],[Similar a]],padroes[],2,0)</f>
        <v>FAZER</v>
      </c>
      <c r="D2710" s="3"/>
    </row>
    <row r="2711" spans="1:4" x14ac:dyDescent="0.25">
      <c r="A2711" s="2" t="s">
        <v>3584</v>
      </c>
      <c r="B2711" s="2" t="s">
        <v>44</v>
      </c>
      <c r="C2711" s="31" t="str">
        <f>VLOOKUP(irregulares[[#This Row],[Similar a]],padroes[],2,0)</f>
        <v>CAR</v>
      </c>
      <c r="D2711" s="3"/>
    </row>
    <row r="2712" spans="1:4" x14ac:dyDescent="0.25">
      <c r="A2712" s="2" t="s">
        <v>3666</v>
      </c>
      <c r="B2712" s="2" t="s">
        <v>74</v>
      </c>
      <c r="C2712" s="31" t="str">
        <f>VLOOKUP(irregulares[[#This Row],[Similar a]],padroes[],2,0)</f>
        <v>GAR</v>
      </c>
      <c r="D2712" s="3"/>
    </row>
    <row r="2713" spans="1:4" x14ac:dyDescent="0.25">
      <c r="A2713" s="2" t="s">
        <v>3528</v>
      </c>
      <c r="B2713" s="2" t="s">
        <v>53</v>
      </c>
      <c r="C2713" s="31" t="str">
        <f>VLOOKUP(irregulares[[#This Row],[Similar a]],padroes[],2,0)</f>
        <v>EAR</v>
      </c>
      <c r="D2713" s="3"/>
    </row>
    <row r="2714" spans="1:4" x14ac:dyDescent="0.25">
      <c r="A2714" s="2" t="s">
        <v>3529</v>
      </c>
      <c r="B2714" s="2" t="s">
        <v>53</v>
      </c>
      <c r="C2714" s="31" t="str">
        <f>VLOOKUP(irregulares[[#This Row],[Similar a]],padroes[],2,0)</f>
        <v>EAR</v>
      </c>
      <c r="D2714" s="3"/>
    </row>
    <row r="2715" spans="1:4" x14ac:dyDescent="0.25">
      <c r="A2715" s="2" t="s">
        <v>3712</v>
      </c>
      <c r="B2715" s="2" t="s">
        <v>55</v>
      </c>
      <c r="C2715" s="31" t="str">
        <f>VLOOKUP(irregulares[[#This Row],[Similar a]],padroes[],2,0)</f>
        <v>EJAR ô</v>
      </c>
      <c r="D2715" s="3"/>
    </row>
    <row r="2716" spans="1:4" x14ac:dyDescent="0.25">
      <c r="A2716" s="2" t="s">
        <v>3530</v>
      </c>
      <c r="B2716" s="2" t="s">
        <v>53</v>
      </c>
      <c r="C2716" s="31" t="str">
        <f>VLOOKUP(irregulares[[#This Row],[Similar a]],padroes[],2,0)</f>
        <v>EAR</v>
      </c>
      <c r="D2716" s="3"/>
    </row>
    <row r="2717" spans="1:4" x14ac:dyDescent="0.25">
      <c r="A2717" s="2" t="s">
        <v>3531</v>
      </c>
      <c r="B2717" s="2" t="s">
        <v>53</v>
      </c>
      <c r="C2717" s="31" t="str">
        <f>VLOOKUP(irregulares[[#This Row],[Similar a]],padroes[],2,0)</f>
        <v>EAR</v>
      </c>
      <c r="D2717" s="3"/>
    </row>
    <row r="2718" spans="1:4" x14ac:dyDescent="0.25">
      <c r="A2718" s="2" t="s">
        <v>3585</v>
      </c>
      <c r="B2718" s="2" t="s">
        <v>44</v>
      </c>
      <c r="C2718" s="31" t="str">
        <f>VLOOKUP(irregulares[[#This Row],[Similar a]],padroes[],2,0)</f>
        <v>CAR</v>
      </c>
      <c r="D2718" s="3"/>
    </row>
    <row r="2719" spans="1:4" x14ac:dyDescent="0.25">
      <c r="A2719" s="2" t="s">
        <v>3532</v>
      </c>
      <c r="B2719" s="2" t="s">
        <v>53</v>
      </c>
      <c r="C2719" s="31" t="str">
        <f>VLOOKUP(irregulares[[#This Row],[Similar a]],padroes[],2,0)</f>
        <v>EAR</v>
      </c>
      <c r="D2719" s="3"/>
    </row>
    <row r="2720" spans="1:4" x14ac:dyDescent="0.25">
      <c r="A2720" s="2" t="s">
        <v>3720</v>
      </c>
      <c r="B2720" s="2" t="s">
        <v>49</v>
      </c>
      <c r="C2720" s="31" t="str">
        <f>VLOOKUP(irregulares[[#This Row],[Similar a]],padroes[],2,0)</f>
        <v>OAR</v>
      </c>
      <c r="D2720" s="3"/>
    </row>
    <row r="2721" spans="1:4" x14ac:dyDescent="0.25">
      <c r="A2721" s="2" t="s">
        <v>3733</v>
      </c>
      <c r="B2721" s="2" t="s">
        <v>63</v>
      </c>
      <c r="C2721" s="31" t="str">
        <f>VLOOKUP(irregulares[[#This Row],[Similar a]],padroes[],2,0)</f>
        <v>CER</v>
      </c>
      <c r="D2721" s="3"/>
    </row>
    <row r="2722" spans="1:4" x14ac:dyDescent="0.25">
      <c r="A2722" s="2" t="s">
        <v>3721</v>
      </c>
      <c r="B2722" s="2" t="s">
        <v>49</v>
      </c>
      <c r="C2722" s="31" t="str">
        <f>VLOOKUP(irregulares[[#This Row],[Similar a]],padroes[],2,0)</f>
        <v>OAR</v>
      </c>
      <c r="D2722" s="3"/>
    </row>
    <row r="2723" spans="1:4" x14ac:dyDescent="0.25">
      <c r="A2723" s="2" t="s">
        <v>3759</v>
      </c>
      <c r="B2723" s="2" t="s">
        <v>115</v>
      </c>
      <c r="C2723" s="31" t="str">
        <f>VLOOKUP(irregulares[[#This Row],[Similar a]],padroes[],2,0)</f>
        <v>Abundante</v>
      </c>
      <c r="D2723" s="3"/>
    </row>
    <row r="2724" spans="1:4" x14ac:dyDescent="0.25">
      <c r="A2724" s="2" t="s">
        <v>3760</v>
      </c>
      <c r="B2724" s="2" t="s">
        <v>180</v>
      </c>
      <c r="C2724" s="31" t="str">
        <f>VLOOKUP(irregulares[[#This Row],[Similar a]],padroes[],2,0)</f>
        <v>Defectivo 2</v>
      </c>
      <c r="D2724" s="3"/>
    </row>
    <row r="2725" spans="1:4" x14ac:dyDescent="0.25">
      <c r="A2725" s="2" t="s">
        <v>3734</v>
      </c>
      <c r="B2725" s="2" t="s">
        <v>63</v>
      </c>
      <c r="C2725" s="31" t="str">
        <f>VLOOKUP(irregulares[[#This Row],[Similar a]],padroes[],2,0)</f>
        <v>CER</v>
      </c>
      <c r="D2725" s="3"/>
    </row>
    <row r="2726" spans="1:4" x14ac:dyDescent="0.25">
      <c r="A2726" s="2" t="s">
        <v>3761</v>
      </c>
      <c r="B2726" s="2" t="s">
        <v>154</v>
      </c>
      <c r="C2726" s="31" t="str">
        <f>VLOOKUP(irregulares[[#This Row],[Similar a]],padroes[],2,0)</f>
        <v>GIR</v>
      </c>
      <c r="D2726" s="3"/>
    </row>
    <row r="2727" spans="1:4" x14ac:dyDescent="0.25">
      <c r="A2727" s="2" t="s">
        <v>3586</v>
      </c>
      <c r="B2727" s="2" t="s">
        <v>42</v>
      </c>
      <c r="C2727" s="31" t="str">
        <f>VLOOKUP(irregulares[[#This Row],[Similar a]],padroes[],2,0)</f>
        <v>ÇAR</v>
      </c>
      <c r="D2727" s="3"/>
    </row>
    <row r="2728" spans="1:4" x14ac:dyDescent="0.25">
      <c r="A2728" s="2" t="s">
        <v>3713</v>
      </c>
      <c r="B2728" s="2" t="s">
        <v>55</v>
      </c>
      <c r="C2728" s="31" t="str">
        <f>VLOOKUP(irregulares[[#This Row],[Similar a]],padroes[],2,0)</f>
        <v>EJAR ô</v>
      </c>
      <c r="D2728" s="3"/>
    </row>
    <row r="2729" spans="1:4" x14ac:dyDescent="0.25">
      <c r="A2729" s="2" t="s">
        <v>3587</v>
      </c>
      <c r="B2729" s="2" t="s">
        <v>44</v>
      </c>
      <c r="C2729" s="31" t="str">
        <f>VLOOKUP(irregulares[[#This Row],[Similar a]],padroes[],2,0)</f>
        <v>CAR</v>
      </c>
      <c r="D2729" s="3"/>
    </row>
    <row r="2730" spans="1:4" x14ac:dyDescent="0.25">
      <c r="A2730" s="2" t="s">
        <v>3735</v>
      </c>
      <c r="B2730" s="2" t="s">
        <v>63</v>
      </c>
      <c r="C2730" s="31" t="str">
        <f>VLOOKUP(irregulares[[#This Row],[Similar a]],padroes[],2,0)</f>
        <v>CER</v>
      </c>
      <c r="D2730" s="3"/>
    </row>
    <row r="2731" spans="1:4" x14ac:dyDescent="0.25">
      <c r="A2731" s="2" t="s">
        <v>3736</v>
      </c>
      <c r="B2731" s="2" t="s">
        <v>63</v>
      </c>
      <c r="C2731" s="31" t="str">
        <f>VLOOKUP(irregulares[[#This Row],[Similar a]],padroes[],2,0)</f>
        <v>CER</v>
      </c>
      <c r="D2731" s="3"/>
    </row>
    <row r="2732" spans="1:4" x14ac:dyDescent="0.25">
      <c r="A2732" s="2" t="s">
        <v>3588</v>
      </c>
      <c r="B2732" s="2" t="s">
        <v>44</v>
      </c>
      <c r="C2732" s="31" t="str">
        <f>VLOOKUP(irregulares[[#This Row],[Similar a]],padroes[],2,0)</f>
        <v>CAR</v>
      </c>
      <c r="D2732" s="3"/>
    </row>
    <row r="2733" spans="1:4" x14ac:dyDescent="0.25">
      <c r="A2733" s="2" t="s">
        <v>3737</v>
      </c>
      <c r="B2733" s="2" t="s">
        <v>63</v>
      </c>
      <c r="C2733" s="31" t="str">
        <f>VLOOKUP(irregulares[[#This Row],[Similar a]],padroes[],2,0)</f>
        <v>CER</v>
      </c>
      <c r="D2733" s="3"/>
    </row>
    <row r="2734" spans="1:4" x14ac:dyDescent="0.25">
      <c r="A2734" s="2" t="s">
        <v>3762</v>
      </c>
      <c r="B2734" s="2" t="s">
        <v>3762</v>
      </c>
      <c r="C2734" s="31" t="str">
        <f>VLOOKUP(irregulares[[#This Row],[Similar a]],padroes[],2,0)</f>
        <v>Defectivo 2</v>
      </c>
      <c r="D2734" s="3"/>
    </row>
    <row r="2735" spans="1:4" x14ac:dyDescent="0.25">
      <c r="A2735" s="2" t="s">
        <v>3533</v>
      </c>
      <c r="B2735" s="2" t="s">
        <v>53</v>
      </c>
      <c r="C2735" s="31" t="str">
        <f>VLOOKUP(irregulares[[#This Row],[Similar a]],padroes[],2,0)</f>
        <v>EAR</v>
      </c>
      <c r="D2735" s="3"/>
    </row>
    <row r="2736" spans="1:4" x14ac:dyDescent="0.25">
      <c r="A2736" s="2" t="s">
        <v>3589</v>
      </c>
      <c r="B2736" s="2" t="s">
        <v>44</v>
      </c>
      <c r="C2736" s="31" t="str">
        <f>VLOOKUP(irregulares[[#This Row],[Similar a]],padroes[],2,0)</f>
        <v>CAR</v>
      </c>
      <c r="D2736" s="3"/>
    </row>
    <row r="2737" spans="1:4" x14ac:dyDescent="0.25">
      <c r="A2737" s="2" t="s">
        <v>3722</v>
      </c>
      <c r="B2737" s="2" t="s">
        <v>49</v>
      </c>
      <c r="C2737" s="31" t="str">
        <f>VLOOKUP(irregulares[[#This Row],[Similar a]],padroes[],2,0)</f>
        <v>OAR</v>
      </c>
      <c r="D2737" s="3"/>
    </row>
    <row r="2738" spans="1:4" x14ac:dyDescent="0.25">
      <c r="A2738" s="2" t="s">
        <v>3591</v>
      </c>
      <c r="B2738" s="2" t="s">
        <v>44</v>
      </c>
      <c r="C2738" s="31" t="str">
        <f>VLOOKUP(irregulares[[#This Row],[Similar a]],padroes[],2,0)</f>
        <v>CAR</v>
      </c>
      <c r="D2738" s="3"/>
    </row>
    <row r="2739" spans="1:4" x14ac:dyDescent="0.25">
      <c r="A2739" s="2" t="s">
        <v>3590</v>
      </c>
      <c r="B2739" s="2" t="s">
        <v>42</v>
      </c>
      <c r="C2739" s="31" t="str">
        <f>VLOOKUP(irregulares[[#This Row],[Similar a]],padroes[],2,0)</f>
        <v>ÇAR</v>
      </c>
      <c r="D2739" s="3"/>
    </row>
    <row r="2740" spans="1:4" x14ac:dyDescent="0.25">
      <c r="A2740" s="2" t="s">
        <v>3763</v>
      </c>
      <c r="B2740" s="2" t="s">
        <v>1220</v>
      </c>
      <c r="C2740" s="31" t="str">
        <f>VLOOKUP(irregulares[[#This Row],[Similar a]],padroes[],2,0)</f>
        <v>O-X-IR</v>
      </c>
      <c r="D2740" s="3"/>
    </row>
    <row r="2741" spans="1:4" x14ac:dyDescent="0.25">
      <c r="A2741" s="2" t="s">
        <v>3592</v>
      </c>
      <c r="B2741" s="2" t="s">
        <v>42</v>
      </c>
      <c r="C2741" s="31" t="str">
        <f>VLOOKUP(irregulares[[#This Row],[Similar a]],padroes[],2,0)</f>
        <v>ÇAR</v>
      </c>
      <c r="D2741" s="3"/>
    </row>
    <row r="2742" spans="1:4" x14ac:dyDescent="0.25">
      <c r="A2742" s="2" t="s">
        <v>3764</v>
      </c>
      <c r="B2742" s="2" t="s">
        <v>1220</v>
      </c>
      <c r="C2742" s="31" t="str">
        <f>VLOOKUP(irregulares[[#This Row],[Similar a]],padroes[],2,0)</f>
        <v>O-X-IR</v>
      </c>
      <c r="D2742" s="3"/>
    </row>
    <row r="2743" spans="1:4" x14ac:dyDescent="0.25">
      <c r="A2743" s="2" t="s">
        <v>3593</v>
      </c>
      <c r="B2743" s="2" t="s">
        <v>44</v>
      </c>
      <c r="C2743" s="31" t="str">
        <f>VLOOKUP(irregulares[[#This Row],[Similar a]],padroes[],2,0)</f>
        <v>CAR</v>
      </c>
      <c r="D2743" s="3"/>
    </row>
    <row r="2744" spans="1:4" x14ac:dyDescent="0.25">
      <c r="A2744" s="2" t="s">
        <v>3765</v>
      </c>
      <c r="B2744" s="2" t="s">
        <v>988</v>
      </c>
      <c r="C2744" s="31" t="str">
        <f>VLOOKUP(irregulares[[#This Row],[Similar a]],padroes[],2,0)</f>
        <v>AIR</v>
      </c>
      <c r="D2744" s="3"/>
    </row>
    <row r="2745" spans="1:4" x14ac:dyDescent="0.25">
      <c r="A2745" s="2" t="s">
        <v>3594</v>
      </c>
      <c r="B2745" s="2" t="s">
        <v>44</v>
      </c>
      <c r="C2745" s="31" t="str">
        <f>VLOOKUP(irregulares[[#This Row],[Similar a]],padroes[],2,0)</f>
        <v>CAR</v>
      </c>
      <c r="D2745" s="3"/>
    </row>
    <row r="2746" spans="1:4" x14ac:dyDescent="0.25">
      <c r="A2746" s="2" t="s">
        <v>3534</v>
      </c>
      <c r="B2746" s="2" t="s">
        <v>53</v>
      </c>
      <c r="C2746" s="31" t="str">
        <f>VLOOKUP(irregulares[[#This Row],[Similar a]],padroes[],2,0)</f>
        <v>EAR</v>
      </c>
      <c r="D2746" s="3"/>
    </row>
    <row r="2747" spans="1:4" x14ac:dyDescent="0.25">
      <c r="A2747" s="2" t="s">
        <v>3667</v>
      </c>
      <c r="B2747" s="2" t="s">
        <v>74</v>
      </c>
      <c r="C2747" s="31" t="str">
        <f>VLOOKUP(irregulares[[#This Row],[Similar a]],padroes[],2,0)</f>
        <v>GAR</v>
      </c>
      <c r="D2747" s="3"/>
    </row>
    <row r="2748" spans="1:4" x14ac:dyDescent="0.25">
      <c r="A2748" s="2" t="s">
        <v>3668</v>
      </c>
      <c r="B2748" s="2" t="s">
        <v>60</v>
      </c>
      <c r="C2748" s="31" t="str">
        <f>VLOOKUP(irregulares[[#This Row],[Similar a]],padroes[],2,0)</f>
        <v>GAR</v>
      </c>
      <c r="D2748" s="3"/>
    </row>
    <row r="2749" spans="1:4" x14ac:dyDescent="0.25">
      <c r="A2749" s="2" t="s">
        <v>3669</v>
      </c>
      <c r="B2749" s="2" t="s">
        <v>74</v>
      </c>
      <c r="C2749" s="31" t="str">
        <f>VLOOKUP(irregulares[[#This Row],[Similar a]],padroes[],2,0)</f>
        <v>GAR</v>
      </c>
      <c r="D2749" s="3"/>
    </row>
    <row r="2750" spans="1:4" x14ac:dyDescent="0.25">
      <c r="A2750" s="2" t="s">
        <v>3522</v>
      </c>
      <c r="B2750" s="2" t="s">
        <v>53</v>
      </c>
      <c r="C2750" s="31" t="str">
        <f>VLOOKUP(irregulares[[#This Row],[Similar a]],padroes[],2,0)</f>
        <v>EAR</v>
      </c>
      <c r="D2750" s="3"/>
    </row>
    <row r="2751" spans="1:4" x14ac:dyDescent="0.25">
      <c r="A2751" s="2" t="s">
        <v>3535</v>
      </c>
      <c r="B2751" s="2" t="s">
        <v>53</v>
      </c>
      <c r="C2751" s="31" t="str">
        <f>VLOOKUP(irregulares[[#This Row],[Similar a]],padroes[],2,0)</f>
        <v>EAR</v>
      </c>
      <c r="D2751" s="3"/>
    </row>
    <row r="2752" spans="1:4" x14ac:dyDescent="0.25">
      <c r="A2752" s="2" t="s">
        <v>3595</v>
      </c>
      <c r="B2752" s="2" t="s">
        <v>42</v>
      </c>
      <c r="C2752" s="31" t="str">
        <f>VLOOKUP(irregulares[[#This Row],[Similar a]],padroes[],2,0)</f>
        <v>ÇAR</v>
      </c>
      <c r="D2752" s="3"/>
    </row>
    <row r="2753" spans="1:4" x14ac:dyDescent="0.25">
      <c r="A2753" s="2" t="s">
        <v>3536</v>
      </c>
      <c r="B2753" s="2" t="s">
        <v>53</v>
      </c>
      <c r="C2753" s="31" t="str">
        <f>VLOOKUP(irregulares[[#This Row],[Similar a]],padroes[],2,0)</f>
        <v>EAR</v>
      </c>
      <c r="D2753" s="3"/>
    </row>
    <row r="2754" spans="1:4" x14ac:dyDescent="0.25">
      <c r="A2754" s="2" t="s">
        <v>3664</v>
      </c>
      <c r="B2754" s="2" t="s">
        <v>161</v>
      </c>
      <c r="C2754" s="31" t="str">
        <f>VLOOKUP(irregulares[[#This Row],[Similar a]],padroes[],2,0)</f>
        <v>GAR</v>
      </c>
      <c r="D2754" s="3"/>
    </row>
    <row r="2755" spans="1:4" x14ac:dyDescent="0.25">
      <c r="A2755" s="2" t="s">
        <v>3766</v>
      </c>
      <c r="B2755" s="2" t="s">
        <v>154</v>
      </c>
      <c r="C2755" s="31" t="str">
        <f>VLOOKUP(irregulares[[#This Row],[Similar a]],padroes[],2,0)</f>
        <v>GIR</v>
      </c>
      <c r="D2755" s="3"/>
    </row>
    <row r="2756" spans="1:4" x14ac:dyDescent="0.25">
      <c r="A2756" s="2" t="s">
        <v>3596</v>
      </c>
      <c r="B2756" s="2" t="s">
        <v>44</v>
      </c>
      <c r="C2756" s="31" t="str">
        <f>VLOOKUP(irregulares[[#This Row],[Similar a]],padroes[],2,0)</f>
        <v>CAR</v>
      </c>
      <c r="D2756" s="3"/>
    </row>
    <row r="2757" spans="1:4" x14ac:dyDescent="0.25">
      <c r="A2757" s="2" t="s">
        <v>3597</v>
      </c>
      <c r="B2757" s="2" t="s">
        <v>44</v>
      </c>
      <c r="C2757" s="31" t="str">
        <f>VLOOKUP(irregulares[[#This Row],[Similar a]],padroes[],2,0)</f>
        <v>CAR</v>
      </c>
      <c r="D2757" s="3"/>
    </row>
    <row r="2758" spans="1:4" x14ac:dyDescent="0.25">
      <c r="A2758" s="2" t="s">
        <v>3767</v>
      </c>
      <c r="B2758" s="2" t="s">
        <v>82</v>
      </c>
      <c r="C2758" s="31" t="str">
        <f>VLOOKUP(irregulares[[#This Row],[Similar a]],padroes[],2,0)</f>
        <v>UIR</v>
      </c>
      <c r="D2758" s="3"/>
    </row>
    <row r="2759" spans="1:4" x14ac:dyDescent="0.25">
      <c r="A2759" s="2" t="s">
        <v>3768</v>
      </c>
      <c r="B2759" s="2" t="s">
        <v>3237</v>
      </c>
      <c r="C2759" s="31" t="str">
        <f>VLOOKUP(irregulares[[#This Row],[Similar a]],padroes[],2,0)</f>
        <v>COBRIR</v>
      </c>
      <c r="D2759" s="3"/>
    </row>
    <row r="2760" spans="1:4" x14ac:dyDescent="0.25">
      <c r="A2760" s="2" t="s">
        <v>3598</v>
      </c>
      <c r="B2760" s="2" t="s">
        <v>44</v>
      </c>
      <c r="C2760" s="31" t="str">
        <f>VLOOKUP(irregulares[[#This Row],[Similar a]],padroes[],2,0)</f>
        <v>CAR</v>
      </c>
      <c r="D2760" s="3"/>
    </row>
    <row r="2761" spans="1:4" x14ac:dyDescent="0.25">
      <c r="A2761" s="2" t="s">
        <v>3599</v>
      </c>
      <c r="B2761" s="2" t="s">
        <v>42</v>
      </c>
      <c r="C2761" s="31" t="str">
        <f>VLOOKUP(irregulares[[#This Row],[Similar a]],padroes[],2,0)</f>
        <v>ÇAR</v>
      </c>
      <c r="D2761" s="3"/>
    </row>
    <row r="2762" spans="1:4" x14ac:dyDescent="0.25">
      <c r="A2762" s="2" t="s">
        <v>3769</v>
      </c>
      <c r="B2762" s="2" t="s">
        <v>267</v>
      </c>
      <c r="C2762" s="31" t="str">
        <f>VLOOKUP(irregulares[[#This Row],[Similar a]],padroes[],2,0)</f>
        <v>POR</v>
      </c>
      <c r="D2762" s="3"/>
    </row>
    <row r="2763" spans="1:4" x14ac:dyDescent="0.25">
      <c r="A2763" s="2" t="s">
        <v>3770</v>
      </c>
      <c r="B2763" s="2" t="s">
        <v>1887</v>
      </c>
      <c r="C2763" s="31" t="str">
        <f>VLOOKUP(irregulares[[#This Row],[Similar a]],padroes[],2,0)</f>
        <v>UZIR</v>
      </c>
      <c r="D2763" s="3"/>
    </row>
    <row r="2764" spans="1:4" x14ac:dyDescent="0.25">
      <c r="A2764" s="2" t="s">
        <v>3600</v>
      </c>
      <c r="B2764" s="2" t="s">
        <v>42</v>
      </c>
      <c r="C2764" s="31" t="str">
        <f>VLOOKUP(irregulares[[#This Row],[Similar a]],padroes[],2,0)</f>
        <v>ÇAR</v>
      </c>
      <c r="D2764" s="3"/>
    </row>
    <row r="2765" spans="1:4" x14ac:dyDescent="0.25">
      <c r="A2765" s="2" t="s">
        <v>3738</v>
      </c>
      <c r="B2765" s="2" t="s">
        <v>63</v>
      </c>
      <c r="C2765" s="31" t="str">
        <f>VLOOKUP(irregulares[[#This Row],[Similar a]],padroes[],2,0)</f>
        <v>CER</v>
      </c>
      <c r="D2765" s="3"/>
    </row>
    <row r="2766" spans="1:4" x14ac:dyDescent="0.25">
      <c r="A2766" s="2" t="s">
        <v>3771</v>
      </c>
      <c r="B2766" s="2" t="s">
        <v>82</v>
      </c>
      <c r="C2766" s="31" t="str">
        <f>VLOOKUP(irregulares[[#This Row],[Similar a]],padroes[],2,0)</f>
        <v>UIR</v>
      </c>
      <c r="D2766" s="3"/>
    </row>
    <row r="2767" spans="1:4" x14ac:dyDescent="0.25">
      <c r="A2767" s="2" t="s">
        <v>3772</v>
      </c>
      <c r="B2767" s="2" t="s">
        <v>82</v>
      </c>
      <c r="C2767" s="31" t="str">
        <f>VLOOKUP(irregulares[[#This Row],[Similar a]],padroes[],2,0)</f>
        <v>UIR</v>
      </c>
      <c r="D2767" s="3"/>
    </row>
    <row r="2768" spans="1:4" x14ac:dyDescent="0.25">
      <c r="A2768" s="2" t="s">
        <v>3739</v>
      </c>
      <c r="B2768" s="2" t="s">
        <v>63</v>
      </c>
      <c r="C2768" s="31" t="str">
        <f>VLOOKUP(irregulares[[#This Row],[Similar a]],padroes[],2,0)</f>
        <v>CER</v>
      </c>
      <c r="D2768" s="3"/>
    </row>
    <row r="2769" spans="1:4" x14ac:dyDescent="0.25">
      <c r="A2769" s="2" t="s">
        <v>3773</v>
      </c>
      <c r="B2769" s="2" t="s">
        <v>247</v>
      </c>
      <c r="C2769" s="31" t="str">
        <f>VLOOKUP(irregulares[[#This Row],[Similar a]],padroes[],2,0)</f>
        <v>VIR</v>
      </c>
      <c r="D2769" s="3"/>
    </row>
    <row r="2770" spans="1:4" x14ac:dyDescent="0.25">
      <c r="A2770" s="2" t="s">
        <v>3601</v>
      </c>
      <c r="B2770" s="2" t="s">
        <v>44</v>
      </c>
      <c r="C2770" s="31" t="str">
        <f>VLOOKUP(irregulares[[#This Row],[Similar a]],padroes[],2,0)</f>
        <v>CAR</v>
      </c>
      <c r="D2770" s="3"/>
    </row>
    <row r="2771" spans="1:4" x14ac:dyDescent="0.25">
      <c r="A2771" s="2" t="s">
        <v>3723</v>
      </c>
      <c r="B2771" s="2" t="s">
        <v>49</v>
      </c>
      <c r="C2771" s="31" t="str">
        <f>VLOOKUP(irregulares[[#This Row],[Similar a]],padroes[],2,0)</f>
        <v>OAR</v>
      </c>
      <c r="D2771" s="3"/>
    </row>
    <row r="2772" spans="1:4" x14ac:dyDescent="0.25">
      <c r="A2772" s="2" t="s">
        <v>3774</v>
      </c>
      <c r="B2772" s="2" t="s">
        <v>154</v>
      </c>
      <c r="C2772" s="31" t="str">
        <f>VLOOKUP(irregulares[[#This Row],[Similar a]],padroes[],2,0)</f>
        <v>GIR</v>
      </c>
      <c r="D2772" s="3"/>
    </row>
    <row r="2773" spans="1:4" x14ac:dyDescent="0.25">
      <c r="A2773" s="2" t="s">
        <v>3537</v>
      </c>
      <c r="B2773" s="2" t="s">
        <v>53</v>
      </c>
      <c r="C2773" s="31" t="str">
        <f>VLOOKUP(irregulares[[#This Row],[Similar a]],padroes[],2,0)</f>
        <v>EAR</v>
      </c>
      <c r="D2773" s="3"/>
    </row>
    <row r="2774" spans="1:4" x14ac:dyDescent="0.25">
      <c r="A2774" s="2" t="s">
        <v>3740</v>
      </c>
      <c r="B2774" s="2" t="s">
        <v>63</v>
      </c>
      <c r="C2774" s="31" t="str">
        <f>VLOOKUP(irregulares[[#This Row],[Similar a]],padroes[],2,0)</f>
        <v>CER</v>
      </c>
      <c r="D2774" s="3"/>
    </row>
    <row r="2775" spans="1:4" x14ac:dyDescent="0.25">
      <c r="A2775" s="2" t="s">
        <v>3602</v>
      </c>
      <c r="B2775" s="2" t="s">
        <v>44</v>
      </c>
      <c r="C2775" s="31" t="str">
        <f>VLOOKUP(irregulares[[#This Row],[Similar a]],padroes[],2,0)</f>
        <v>CAR</v>
      </c>
      <c r="D2775" s="3"/>
    </row>
    <row r="2776" spans="1:4" x14ac:dyDescent="0.25">
      <c r="A2776" s="2" t="s">
        <v>3741</v>
      </c>
      <c r="B2776" s="2" t="s">
        <v>63</v>
      </c>
      <c r="C2776" s="31" t="str">
        <f>VLOOKUP(irregulares[[#This Row],[Similar a]],padroes[],2,0)</f>
        <v>CER</v>
      </c>
      <c r="D2776" s="3"/>
    </row>
    <row r="2777" spans="1:4" x14ac:dyDescent="0.25">
      <c r="A2777" s="2" t="s">
        <v>3603</v>
      </c>
      <c r="B2777" s="2" t="s">
        <v>44</v>
      </c>
      <c r="C2777" s="31" t="str">
        <f>VLOOKUP(irregulares[[#This Row],[Similar a]],padroes[],2,0)</f>
        <v>CAR</v>
      </c>
      <c r="D2777" s="3"/>
    </row>
    <row r="2778" spans="1:4" x14ac:dyDescent="0.25">
      <c r="A2778" s="2" t="s">
        <v>3775</v>
      </c>
      <c r="B2778" s="2" t="s">
        <v>2295</v>
      </c>
      <c r="C2778" s="31" t="str">
        <f>VLOOKUP(irregulares[[#This Row],[Similar a]],padroes[],2,0)</f>
        <v>DAR</v>
      </c>
      <c r="D2778" s="3"/>
    </row>
    <row r="2779" spans="1:4" x14ac:dyDescent="0.25">
      <c r="A2779" s="2" t="s">
        <v>3776</v>
      </c>
      <c r="B2779" s="2" t="s">
        <v>913</v>
      </c>
      <c r="C2779" s="31" t="str">
        <f>VLOOKUP(irregulares[[#This Row],[Similar a]],padroes[],2,0)</f>
        <v>ARGUIR</v>
      </c>
      <c r="D2779" s="3"/>
    </row>
    <row r="2780" spans="1:4" x14ac:dyDescent="0.25">
      <c r="A2780" s="2" t="s">
        <v>3777</v>
      </c>
      <c r="B2780" s="2" t="s">
        <v>154</v>
      </c>
      <c r="C2780" s="31" t="str">
        <f>VLOOKUP(irregulares[[#This Row],[Similar a]],padroes[],2,0)</f>
        <v>GIR</v>
      </c>
      <c r="D2780" s="3"/>
    </row>
    <row r="2781" spans="1:4" x14ac:dyDescent="0.25">
      <c r="A2781" s="2" t="s">
        <v>3778</v>
      </c>
      <c r="B2781" s="2" t="s">
        <v>82</v>
      </c>
      <c r="C2781" s="31" t="str">
        <f>VLOOKUP(irregulares[[#This Row],[Similar a]],padroes[],2,0)</f>
        <v>UIR</v>
      </c>
      <c r="D2781" s="3"/>
    </row>
    <row r="2782" spans="1:4" x14ac:dyDescent="0.25">
      <c r="A2782" s="2" t="s">
        <v>3779</v>
      </c>
      <c r="B2782" s="2" t="s">
        <v>419</v>
      </c>
      <c r="C2782" s="31" t="str">
        <f>VLOOKUP(irregulares[[#This Row],[Similar a]],padroes[],2,0)</f>
        <v>DIZER</v>
      </c>
      <c r="D2782" s="3"/>
    </row>
    <row r="2783" spans="1:4" x14ac:dyDescent="0.25">
      <c r="A2783" s="2" t="s">
        <v>3538</v>
      </c>
      <c r="B2783" s="2" t="s">
        <v>53</v>
      </c>
      <c r="C2783" s="31" t="str">
        <f>VLOOKUP(irregulares[[#This Row],[Similar a]],padroes[],2,0)</f>
        <v>EAR</v>
      </c>
      <c r="D2783" s="3"/>
    </row>
    <row r="2784" spans="1:4" x14ac:dyDescent="0.25">
      <c r="A2784" s="2" t="s">
        <v>3539</v>
      </c>
      <c r="B2784" s="2" t="s">
        <v>53</v>
      </c>
      <c r="C2784" s="31" t="str">
        <f>VLOOKUP(irregulares[[#This Row],[Similar a]],padroes[],2,0)</f>
        <v>EAR</v>
      </c>
      <c r="D2784" s="3"/>
    </row>
    <row r="2785" spans="1:4" x14ac:dyDescent="0.25">
      <c r="A2785" s="2" t="s">
        <v>3604</v>
      </c>
      <c r="B2785" s="2" t="s">
        <v>44</v>
      </c>
      <c r="C2785" s="31" t="str">
        <f>VLOOKUP(irregulares[[#This Row],[Similar a]],padroes[],2,0)</f>
        <v>CAR</v>
      </c>
      <c r="D2785" s="3"/>
    </row>
    <row r="2786" spans="1:4" x14ac:dyDescent="0.25">
      <c r="A2786" s="2" t="s">
        <v>3780</v>
      </c>
      <c r="B2786" s="2" t="s">
        <v>1887</v>
      </c>
      <c r="C2786" s="31" t="str">
        <f>VLOOKUP(irregulares[[#This Row],[Similar a]],padroes[],2,0)</f>
        <v>UZIR</v>
      </c>
      <c r="D2786" s="3"/>
    </row>
    <row r="2787" spans="1:4" x14ac:dyDescent="0.25">
      <c r="A2787" s="2" t="s">
        <v>3605</v>
      </c>
      <c r="B2787" s="2" t="s">
        <v>44</v>
      </c>
      <c r="C2787" s="31" t="str">
        <f>VLOOKUP(irregulares[[#This Row],[Similar a]],padroes[],2,0)</f>
        <v>CAR</v>
      </c>
      <c r="D2787" s="3"/>
    </row>
    <row r="2788" spans="1:4" x14ac:dyDescent="0.25">
      <c r="A2788" s="2" t="s">
        <v>3606</v>
      </c>
      <c r="B2788" s="2" t="s">
        <v>44</v>
      </c>
      <c r="C2788" s="31" t="str">
        <f>VLOOKUP(irregulares[[#This Row],[Similar a]],padroes[],2,0)</f>
        <v>CAR</v>
      </c>
      <c r="D2788" s="3"/>
    </row>
    <row r="2789" spans="1:4" x14ac:dyDescent="0.25">
      <c r="A2789" s="2" t="s">
        <v>3782</v>
      </c>
      <c r="B2789" s="2" t="s">
        <v>3781</v>
      </c>
      <c r="C2789" s="31" t="str">
        <f>VLOOKUP(irregulares[[#This Row],[Similar a]],padroes[],2,0)</f>
        <v>GER</v>
      </c>
      <c r="D2789" s="3"/>
    </row>
    <row r="2790" spans="1:4" x14ac:dyDescent="0.25">
      <c r="A2790" s="2" t="s">
        <v>3607</v>
      </c>
      <c r="B2790" s="2" t="s">
        <v>44</v>
      </c>
      <c r="C2790" s="31" t="str">
        <f>VLOOKUP(irregulares[[#This Row],[Similar a]],padroes[],2,0)</f>
        <v>CAR</v>
      </c>
      <c r="D2790" s="3"/>
    </row>
    <row r="2791" spans="1:4" x14ac:dyDescent="0.25">
      <c r="A2791" s="2" t="s">
        <v>3670</v>
      </c>
      <c r="B2791" s="2" t="s">
        <v>74</v>
      </c>
      <c r="C2791" s="31" t="str">
        <f>VLOOKUP(irregulares[[#This Row],[Similar a]],padroes[],2,0)</f>
        <v>GAR</v>
      </c>
      <c r="D2791" s="3"/>
    </row>
    <row r="2792" spans="1:4" x14ac:dyDescent="0.25">
      <c r="A2792" s="2" t="s">
        <v>3608</v>
      </c>
      <c r="B2792" s="2" t="s">
        <v>42</v>
      </c>
      <c r="C2792" s="31" t="str">
        <f>VLOOKUP(irregulares[[#This Row],[Similar a]],padroes[],2,0)</f>
        <v>ÇAR</v>
      </c>
      <c r="D2792" s="3"/>
    </row>
    <row r="2793" spans="1:4" x14ac:dyDescent="0.25">
      <c r="A2793" s="2" t="s">
        <v>3609</v>
      </c>
      <c r="B2793" s="2" t="s">
        <v>42</v>
      </c>
      <c r="C2793" s="31" t="str">
        <f>VLOOKUP(irregulares[[#This Row],[Similar a]],padroes[],2,0)</f>
        <v>ÇAR</v>
      </c>
      <c r="D2793" s="3"/>
    </row>
    <row r="2794" spans="1:4" x14ac:dyDescent="0.25">
      <c r="A2794" s="2" t="s">
        <v>3784</v>
      </c>
      <c r="B2794" s="2" t="s">
        <v>2356</v>
      </c>
      <c r="C2794" s="31" t="str">
        <f>VLOOKUP(irregulares[[#This Row],[Similar a]],padroes[],2,0)</f>
        <v>ERGUER</v>
      </c>
      <c r="D2794" s="3"/>
    </row>
    <row r="2795" spans="1:4" x14ac:dyDescent="0.25">
      <c r="A2795" s="2" t="s">
        <v>3785</v>
      </c>
      <c r="B2795" s="2" t="s">
        <v>2363</v>
      </c>
      <c r="C2795" s="31" t="str">
        <f>VLOOKUP(irregulares[[#This Row],[Similar a]],padroes[],2,0)</f>
        <v>Abundante</v>
      </c>
      <c r="D2795" s="3"/>
    </row>
    <row r="2796" spans="1:4" x14ac:dyDescent="0.25">
      <c r="A2796" s="2" t="s">
        <v>3786</v>
      </c>
      <c r="B2796" s="2" t="s">
        <v>1998</v>
      </c>
      <c r="C2796" s="31" t="str">
        <f>VLOOKUP(irregulares[[#This Row],[Similar a]],padroes[],2,0)</f>
        <v>PEDIR</v>
      </c>
      <c r="D2796" s="3"/>
    </row>
    <row r="2797" spans="1:4" x14ac:dyDescent="0.25">
      <c r="A2797" s="2" t="s">
        <v>3540</v>
      </c>
      <c r="B2797" s="2" t="s">
        <v>53</v>
      </c>
      <c r="C2797" s="31" t="str">
        <f>VLOOKUP(irregulares[[#This Row],[Similar a]],padroes[],2,0)</f>
        <v>EAR</v>
      </c>
      <c r="D2797" s="3"/>
    </row>
    <row r="2798" spans="1:4" x14ac:dyDescent="0.25">
      <c r="A2798" s="2" t="s">
        <v>3787</v>
      </c>
      <c r="B2798" s="2" t="s">
        <v>859</v>
      </c>
      <c r="C2798" s="31" t="str">
        <f>VLOOKUP(irregulares[[#This Row],[Similar a]],padroes[],2,0)</f>
        <v>FAZER</v>
      </c>
      <c r="D2798" s="3"/>
    </row>
    <row r="2799" spans="1:4" x14ac:dyDescent="0.25">
      <c r="A2799" s="2" t="s">
        <v>3742</v>
      </c>
      <c r="B2799" s="2" t="s">
        <v>63</v>
      </c>
      <c r="C2799" s="31" t="str">
        <f>VLOOKUP(irregulares[[#This Row],[Similar a]],padroes[],2,0)</f>
        <v>CER</v>
      </c>
      <c r="D2799" s="3"/>
    </row>
    <row r="2800" spans="1:4" x14ac:dyDescent="0.25">
      <c r="A2800" s="2" t="s">
        <v>3671</v>
      </c>
      <c r="B2800" s="2" t="s">
        <v>60</v>
      </c>
      <c r="C2800" s="31" t="str">
        <f>VLOOKUP(irregulares[[#This Row],[Similar a]],padroes[],2,0)</f>
        <v>GAR</v>
      </c>
      <c r="D2800" s="3"/>
    </row>
    <row r="2801" spans="1:4" x14ac:dyDescent="0.25">
      <c r="A2801" s="2" t="s">
        <v>3788</v>
      </c>
      <c r="B2801" s="2" t="s">
        <v>183</v>
      </c>
      <c r="C2801" s="31" t="str">
        <f>VLOOKUP(irregulares[[#This Row],[Similar a]],padroes[],2,0)</f>
        <v>E-X-IR</v>
      </c>
      <c r="D2801" s="3"/>
    </row>
    <row r="2802" spans="1:4" x14ac:dyDescent="0.25">
      <c r="A2802" s="2" t="s">
        <v>3610</v>
      </c>
      <c r="B2802" s="2" t="s">
        <v>44</v>
      </c>
      <c r="C2802" s="31" t="str">
        <f>VLOOKUP(irregulares[[#This Row],[Similar a]],padroes[],2,0)</f>
        <v>CAR</v>
      </c>
      <c r="D2802" s="3"/>
    </row>
    <row r="2803" spans="1:4" x14ac:dyDescent="0.25">
      <c r="A2803" s="2" t="s">
        <v>3789</v>
      </c>
      <c r="B2803" s="2" t="s">
        <v>3249</v>
      </c>
      <c r="C2803" s="31" t="str">
        <f>VLOOKUP(irregulares[[#This Row],[Similar a]],padroes[],2,0)</f>
        <v>E-X-IR</v>
      </c>
      <c r="D2803" s="3"/>
    </row>
    <row r="2804" spans="1:4" x14ac:dyDescent="0.25">
      <c r="A2804" s="2" t="s">
        <v>3743</v>
      </c>
      <c r="B2804" s="2" t="s">
        <v>63</v>
      </c>
      <c r="C2804" s="31" t="str">
        <f>VLOOKUP(irregulares[[#This Row],[Similar a]],padroes[],2,0)</f>
        <v>CER</v>
      </c>
      <c r="D2804" s="3"/>
    </row>
    <row r="2805" spans="1:4" x14ac:dyDescent="0.25">
      <c r="A2805" s="2" t="s">
        <v>3790</v>
      </c>
      <c r="B2805" s="2" t="s">
        <v>82</v>
      </c>
      <c r="C2805" s="31" t="str">
        <f>VLOOKUP(irregulares[[#This Row],[Similar a]],padroes[],2,0)</f>
        <v>UIR</v>
      </c>
      <c r="D2805" s="3"/>
    </row>
    <row r="2806" spans="1:4" x14ac:dyDescent="0.25">
      <c r="A2806" s="2" t="s">
        <v>3672</v>
      </c>
      <c r="B2806" s="2" t="s">
        <v>74</v>
      </c>
      <c r="C2806" s="31" t="str">
        <f>VLOOKUP(irregulares[[#This Row],[Similar a]],padroes[],2,0)</f>
        <v>GAR</v>
      </c>
      <c r="D2806" s="3"/>
    </row>
    <row r="2807" spans="1:4" x14ac:dyDescent="0.25">
      <c r="A2807" s="2" t="s">
        <v>3673</v>
      </c>
      <c r="B2807" s="2" t="s">
        <v>74</v>
      </c>
      <c r="C2807" s="31" t="str">
        <f>VLOOKUP(irregulares[[#This Row],[Similar a]],padroes[],2,0)</f>
        <v>GAR</v>
      </c>
      <c r="D2807" s="3"/>
    </row>
    <row r="2808" spans="1:4" x14ac:dyDescent="0.25">
      <c r="A2808" s="2" t="s">
        <v>3611</v>
      </c>
      <c r="B2808" s="2" t="s">
        <v>42</v>
      </c>
      <c r="C2808" s="31" t="str">
        <f>VLOOKUP(irregulares[[#This Row],[Similar a]],padroes[],2,0)</f>
        <v>ÇAR</v>
      </c>
      <c r="D2808" s="3"/>
    </row>
    <row r="2809" spans="1:4" x14ac:dyDescent="0.25">
      <c r="A2809" s="2" t="s">
        <v>3612</v>
      </c>
      <c r="B2809" s="2" t="s">
        <v>44</v>
      </c>
      <c r="C2809" s="31" t="str">
        <f>VLOOKUP(irregulares[[#This Row],[Similar a]],padroes[],2,0)</f>
        <v>CAR</v>
      </c>
      <c r="D2809" s="3"/>
    </row>
    <row r="2810" spans="1:4" x14ac:dyDescent="0.25">
      <c r="A2810" s="2" t="s">
        <v>3791</v>
      </c>
      <c r="B2810" s="2" t="s">
        <v>110</v>
      </c>
      <c r="C2810" s="31" t="str">
        <f>VLOOKUP(irregulares[[#This Row],[Similar a]],padroes[],2,0)</f>
        <v>ANGER</v>
      </c>
      <c r="D2810" s="3"/>
    </row>
    <row r="2811" spans="1:4" x14ac:dyDescent="0.25">
      <c r="A2811" s="2" t="s">
        <v>3541</v>
      </c>
      <c r="B2811" s="2" t="s">
        <v>53</v>
      </c>
      <c r="C2811" s="31" t="str">
        <f>VLOOKUP(irregulares[[#This Row],[Similar a]],padroes[],2,0)</f>
        <v>EAR</v>
      </c>
      <c r="D2811" s="3"/>
    </row>
    <row r="2812" spans="1:4" x14ac:dyDescent="0.25">
      <c r="A2812" s="2" t="s">
        <v>3542</v>
      </c>
      <c r="B2812" s="2" t="s">
        <v>53</v>
      </c>
      <c r="C2812" s="31" t="str">
        <f>VLOOKUP(irregulares[[#This Row],[Similar a]],padroes[],2,0)</f>
        <v>EAR</v>
      </c>
      <c r="D2812" s="3"/>
    </row>
    <row r="2813" spans="1:4" x14ac:dyDescent="0.25">
      <c r="A2813" s="2" t="s">
        <v>3674</v>
      </c>
      <c r="B2813" s="2" t="s">
        <v>74</v>
      </c>
      <c r="C2813" s="31" t="str">
        <f>VLOOKUP(irregulares[[#This Row],[Similar a]],padroes[],2,0)</f>
        <v>GAR</v>
      </c>
      <c r="D2813" s="3"/>
    </row>
    <row r="2814" spans="1:4" x14ac:dyDescent="0.25">
      <c r="A2814" s="2" t="s">
        <v>3613</v>
      </c>
      <c r="B2814" s="2" t="s">
        <v>44</v>
      </c>
      <c r="C2814" s="31" t="str">
        <f>VLOOKUP(irregulares[[#This Row],[Similar a]],padroes[],2,0)</f>
        <v>CAR</v>
      </c>
      <c r="D2814" s="3"/>
    </row>
    <row r="2815" spans="1:4" x14ac:dyDescent="0.25">
      <c r="A2815" s="2" t="s">
        <v>3675</v>
      </c>
      <c r="B2815" s="2" t="s">
        <v>74</v>
      </c>
      <c r="C2815" s="31" t="str">
        <f>VLOOKUP(irregulares[[#This Row],[Similar a]],padroes[],2,0)</f>
        <v>GAR</v>
      </c>
      <c r="D2815" s="3"/>
    </row>
    <row r="2816" spans="1:4" x14ac:dyDescent="0.25">
      <c r="A2816" s="2" t="s">
        <v>3792</v>
      </c>
      <c r="B2816" s="2" t="s">
        <v>1785</v>
      </c>
      <c r="C2816" s="31" t="str">
        <f>VLOOKUP(irregulares[[#This Row],[Similar a]],padroes[],2,0)</f>
        <v>FUGIR</v>
      </c>
      <c r="D2816" s="3"/>
    </row>
    <row r="2817" spans="1:4" x14ac:dyDescent="0.25">
      <c r="A2817" s="2" t="s">
        <v>3793</v>
      </c>
      <c r="B2817" s="2" t="s">
        <v>154</v>
      </c>
      <c r="C2817" s="31" t="str">
        <f>VLOOKUP(irregulares[[#This Row],[Similar a]],padroes[],2,0)</f>
        <v>GIR</v>
      </c>
      <c r="D2817" s="3"/>
    </row>
    <row r="2818" spans="1:4" x14ac:dyDescent="0.25">
      <c r="A2818" s="2" t="s">
        <v>3614</v>
      </c>
      <c r="B2818" s="2" t="s">
        <v>42</v>
      </c>
      <c r="C2818" s="31" t="str">
        <f>VLOOKUP(irregulares[[#This Row],[Similar a]],padroes[],2,0)</f>
        <v>ÇAR</v>
      </c>
      <c r="D2818" s="3"/>
    </row>
    <row r="2819" spans="1:4" x14ac:dyDescent="0.25">
      <c r="A2819" s="2" t="s">
        <v>3724</v>
      </c>
      <c r="B2819" s="2" t="s">
        <v>49</v>
      </c>
      <c r="C2819" s="31" t="str">
        <f>VLOOKUP(irregulares[[#This Row],[Similar a]],padroes[],2,0)</f>
        <v>OAR</v>
      </c>
      <c r="D2819" s="3"/>
    </row>
    <row r="2820" spans="1:4" x14ac:dyDescent="0.25">
      <c r="A2820" s="2" t="s">
        <v>60</v>
      </c>
      <c r="B2820" s="2" t="s">
        <v>60</v>
      </c>
      <c r="C2820" s="2" t="str">
        <f>VLOOKUP(irregulares[[#This Row],[Similar a]],padroes[],2,0)</f>
        <v>GAR</v>
      </c>
      <c r="D2820" s="3"/>
    </row>
    <row r="2821" spans="1:4" x14ac:dyDescent="0.25">
      <c r="A2821" s="2" t="s">
        <v>3543</v>
      </c>
      <c r="B2821" s="2" t="s">
        <v>53</v>
      </c>
      <c r="C2821" s="31" t="str">
        <f>VLOOKUP(irregulares[[#This Row],[Similar a]],padroes[],2,0)</f>
        <v>EAR</v>
      </c>
      <c r="D2821" s="3"/>
    </row>
    <row r="2822" spans="1:4" x14ac:dyDescent="0.25">
      <c r="A2822" s="2" t="s">
        <v>121</v>
      </c>
      <c r="B2822" s="2" t="s">
        <v>121</v>
      </c>
      <c r="C2822" s="31" t="str">
        <f>VLOOKUP(irregulares[[#This Row],[Similar a]],padroes[],2,0)</f>
        <v>GER</v>
      </c>
      <c r="D2822" s="3"/>
    </row>
    <row r="2823" spans="1:4" x14ac:dyDescent="0.25">
      <c r="A2823" s="2" t="s">
        <v>3725</v>
      </c>
      <c r="B2823" s="2" t="s">
        <v>49</v>
      </c>
      <c r="C2823" s="31" t="str">
        <f>VLOOKUP(irregulares[[#This Row],[Similar a]],padroes[],2,0)</f>
        <v>OAR</v>
      </c>
      <c r="D2823" s="3"/>
    </row>
    <row r="2824" spans="1:4" x14ac:dyDescent="0.25">
      <c r="A2824" s="2" t="s">
        <v>3544</v>
      </c>
      <c r="B2824" s="2" t="s">
        <v>53</v>
      </c>
      <c r="C2824" s="31" t="str">
        <f>VLOOKUP(irregulares[[#This Row],[Similar a]],padroes[],2,0)</f>
        <v>EAR</v>
      </c>
      <c r="D2824" s="3"/>
    </row>
    <row r="2825" spans="1:4" x14ac:dyDescent="0.25">
      <c r="A2825" s="2" t="s">
        <v>3676</v>
      </c>
      <c r="B2825" s="2" t="s">
        <v>74</v>
      </c>
      <c r="C2825" s="31" t="str">
        <f>VLOOKUP(irregulares[[#This Row],[Similar a]],padroes[],2,0)</f>
        <v>GAR</v>
      </c>
      <c r="D2825" s="3"/>
    </row>
    <row r="2826" spans="1:4" x14ac:dyDescent="0.25">
      <c r="A2826" s="2" t="s">
        <v>3794</v>
      </c>
      <c r="B2826" s="2" t="s">
        <v>310</v>
      </c>
      <c r="C2826" s="31" t="str">
        <f>VLOOKUP(irregulares[[#This Row],[Similar a]],padroes[],2,0)</f>
        <v>GREDIR</v>
      </c>
      <c r="D2826" s="3"/>
    </row>
    <row r="2827" spans="1:4" x14ac:dyDescent="0.25">
      <c r="A2827" s="2" t="s">
        <v>3677</v>
      </c>
      <c r="B2827" s="2" t="s">
        <v>74</v>
      </c>
      <c r="C2827" s="31" t="str">
        <f>VLOOKUP(irregulares[[#This Row],[Similar a]],padroes[],2,0)</f>
        <v>GAR</v>
      </c>
      <c r="D2827" s="3"/>
    </row>
    <row r="2828" spans="1:4" x14ac:dyDescent="0.25">
      <c r="A2828" s="2" t="s">
        <v>3795</v>
      </c>
      <c r="B2828" s="2" t="s">
        <v>267</v>
      </c>
      <c r="C2828" s="31" t="str">
        <f>VLOOKUP(irregulares[[#This Row],[Similar a]],padroes[],2,0)</f>
        <v>POR</v>
      </c>
      <c r="D2828" s="3"/>
    </row>
    <row r="2829" spans="1:4" x14ac:dyDescent="0.25">
      <c r="A2829" s="2" t="s">
        <v>3796</v>
      </c>
      <c r="B2829" s="2" t="s">
        <v>2363</v>
      </c>
      <c r="C2829" s="31" t="str">
        <f>VLOOKUP(irregulares[[#This Row],[Similar a]],padroes[],2,0)</f>
        <v>Abundante</v>
      </c>
      <c r="D2829" s="3"/>
    </row>
    <row r="2830" spans="1:4" x14ac:dyDescent="0.25">
      <c r="A2830" s="2" t="s">
        <v>3797</v>
      </c>
      <c r="B2830" s="2" t="s">
        <v>183</v>
      </c>
      <c r="C2830" s="31" t="str">
        <f>VLOOKUP(irregulares[[#This Row],[Similar a]],padroes[],2,0)</f>
        <v>E-X-IR</v>
      </c>
      <c r="D2830" s="3"/>
    </row>
    <row r="2831" spans="1:4" x14ac:dyDescent="0.25">
      <c r="A2831" s="2" t="s">
        <v>3798</v>
      </c>
      <c r="B2831" s="2" t="s">
        <v>1887</v>
      </c>
      <c r="C2831" s="31" t="str">
        <f>VLOOKUP(irregulares[[#This Row],[Similar a]],padroes[],2,0)</f>
        <v>UZIR</v>
      </c>
      <c r="D2831" s="3"/>
    </row>
    <row r="2832" spans="1:4" x14ac:dyDescent="0.25">
      <c r="A2832" s="2" t="s">
        <v>3799</v>
      </c>
      <c r="B2832" s="2" t="s">
        <v>2069</v>
      </c>
      <c r="C2832" s="31" t="str">
        <f>VLOOKUP(irregulares[[#This Row],[Similar a]],padroes[],2,0)</f>
        <v>E-X-IR</v>
      </c>
      <c r="D2832" s="3"/>
    </row>
    <row r="2833" spans="1:4" x14ac:dyDescent="0.25">
      <c r="A2833" s="2" t="s">
        <v>3616</v>
      </c>
      <c r="B2833" s="2" t="s">
        <v>44</v>
      </c>
      <c r="C2833" s="31" t="str">
        <f>VLOOKUP(irregulares[[#This Row],[Similar a]],padroes[],2,0)</f>
        <v>CAR</v>
      </c>
      <c r="D2833" s="3"/>
    </row>
    <row r="2834" spans="1:4" x14ac:dyDescent="0.25">
      <c r="A2834" s="2" t="s">
        <v>3730</v>
      </c>
      <c r="B2834" s="2" t="s">
        <v>63</v>
      </c>
      <c r="C2834" s="31" t="str">
        <f>VLOOKUP(irregulares[[#This Row],[Similar a]],padroes[],2,0)</f>
        <v>CER</v>
      </c>
      <c r="D2834" s="3"/>
    </row>
    <row r="2835" spans="1:4" x14ac:dyDescent="0.25">
      <c r="A2835" s="2" t="s">
        <v>3517</v>
      </c>
      <c r="B2835" s="2" t="s">
        <v>1494</v>
      </c>
      <c r="C2835" s="31" t="str">
        <f>VLOOKUP(irregulares[[#This Row],[Similar a]],padroes[],2,0)</f>
        <v>Defectivo 4</v>
      </c>
      <c r="D2835" s="3"/>
    </row>
    <row r="2836" spans="1:4" x14ac:dyDescent="0.25">
      <c r="A2836" s="2" t="s">
        <v>3705</v>
      </c>
      <c r="B2836" s="2" t="s">
        <v>1494</v>
      </c>
      <c r="C2836" s="31" t="str">
        <f>VLOOKUP(irregulares[[#This Row],[Similar a]],padroes[],2,0)</f>
        <v>Defectivo 4</v>
      </c>
      <c r="D2836" s="3"/>
    </row>
    <row r="2837" spans="1:4" x14ac:dyDescent="0.25">
      <c r="A2837" s="2" t="s">
        <v>3518</v>
      </c>
      <c r="B2837" s="2" t="s">
        <v>1494</v>
      </c>
      <c r="C2837" s="31" t="str">
        <f>VLOOKUP(irregulares[[#This Row],[Similar a]],padroes[],2,0)</f>
        <v>Defectivo 4</v>
      </c>
      <c r="D2837" s="3"/>
    </row>
    <row r="2838" spans="1:4" x14ac:dyDescent="0.25">
      <c r="A2838" s="2" t="s">
        <v>3519</v>
      </c>
      <c r="B2838" s="2" t="s">
        <v>1494</v>
      </c>
      <c r="C2838" s="31" t="str">
        <f>VLOOKUP(irregulares[[#This Row],[Similar a]],padroes[],2,0)</f>
        <v>Defectivo 4</v>
      </c>
      <c r="D2838" s="3"/>
    </row>
    <row r="2839" spans="1:4" x14ac:dyDescent="0.25">
      <c r="A2839" s="2" t="s">
        <v>3706</v>
      </c>
      <c r="B2839" s="2" t="s">
        <v>1494</v>
      </c>
      <c r="C2839" s="31" t="str">
        <f>VLOOKUP(irregulares[[#This Row],[Similar a]],padroes[],2,0)</f>
        <v>Defectivo 4</v>
      </c>
      <c r="D2839" s="3"/>
    </row>
    <row r="2840" spans="1:4" x14ac:dyDescent="0.25">
      <c r="A2840" s="2" t="s">
        <v>3617</v>
      </c>
      <c r="B2840" s="2" t="s">
        <v>42</v>
      </c>
      <c r="C2840" s="31" t="str">
        <f>VLOOKUP(irregulares[[#This Row],[Similar a]],padroes[],2,0)</f>
        <v>ÇAR</v>
      </c>
      <c r="D2840" s="3"/>
    </row>
    <row r="2841" spans="1:4" x14ac:dyDescent="0.25">
      <c r="A2841" s="2" t="s">
        <v>3545</v>
      </c>
      <c r="B2841" s="2" t="s">
        <v>53</v>
      </c>
      <c r="C2841" s="31" t="str">
        <f>VLOOKUP(irregulares[[#This Row],[Similar a]],padroes[],2,0)</f>
        <v>EAR</v>
      </c>
      <c r="D2841" s="3"/>
    </row>
    <row r="2842" spans="1:4" x14ac:dyDescent="0.25">
      <c r="A2842" s="2" t="s">
        <v>3678</v>
      </c>
      <c r="B2842" s="2" t="s">
        <v>74</v>
      </c>
      <c r="C2842" s="31" t="str">
        <f>VLOOKUP(irregulares[[#This Row],[Similar a]],padroes[],2,0)</f>
        <v>GAR</v>
      </c>
      <c r="D2842" s="3"/>
    </row>
    <row r="2843" spans="1:4" x14ac:dyDescent="0.25">
      <c r="A2843" s="2" t="s">
        <v>3679</v>
      </c>
      <c r="B2843" s="2" t="s">
        <v>60</v>
      </c>
      <c r="C2843" s="31" t="str">
        <f>VLOOKUP(irregulares[[#This Row],[Similar a]],padroes[],2,0)</f>
        <v>GAR</v>
      </c>
      <c r="D2843" s="3"/>
    </row>
    <row r="2844" spans="1:4" x14ac:dyDescent="0.25">
      <c r="A2844" s="2" t="s">
        <v>3800</v>
      </c>
      <c r="B2844" s="2" t="s">
        <v>1607</v>
      </c>
      <c r="C2844" s="31" t="str">
        <f>VLOOKUP(irregulares[[#This Row],[Similar a]],padroes[],2,0)</f>
        <v>CRER</v>
      </c>
      <c r="D2844" s="3"/>
    </row>
    <row r="2845" spans="1:4" x14ac:dyDescent="0.25">
      <c r="A2845" s="2" t="s">
        <v>3680</v>
      </c>
      <c r="B2845" s="2" t="s">
        <v>74</v>
      </c>
      <c r="C2845" s="31" t="str">
        <f>VLOOKUP(irregulares[[#This Row],[Similar a]],padroes[],2,0)</f>
        <v>GAR</v>
      </c>
      <c r="D2845" s="3"/>
    </row>
    <row r="2846" spans="1:4" x14ac:dyDescent="0.25">
      <c r="A2846" s="2" t="s">
        <v>3801</v>
      </c>
      <c r="B2846" s="2" t="s">
        <v>1542</v>
      </c>
      <c r="C2846" s="31" t="str">
        <f>VLOOKUP(irregulares[[#This Row],[Similar a]],padroes[],2,0)</f>
        <v>Defectivo 3</v>
      </c>
      <c r="D2846" s="3"/>
    </row>
    <row r="2847" spans="1:4" x14ac:dyDescent="0.25">
      <c r="A2847" s="2" t="s">
        <v>3618</v>
      </c>
      <c r="B2847" s="2" t="s">
        <v>44</v>
      </c>
      <c r="C2847" s="31" t="str">
        <f>VLOOKUP(irregulares[[#This Row],[Similar a]],padroes[],2,0)</f>
        <v>CAR</v>
      </c>
      <c r="D2847" s="3"/>
    </row>
    <row r="2848" spans="1:4" x14ac:dyDescent="0.25">
      <c r="A2848" s="2" t="s">
        <v>3546</v>
      </c>
      <c r="B2848" s="2" t="s">
        <v>53</v>
      </c>
      <c r="C2848" s="31" t="str">
        <f>VLOOKUP(irregulares[[#This Row],[Similar a]],padroes[],2,0)</f>
        <v>EAR</v>
      </c>
      <c r="D2848" s="3"/>
    </row>
    <row r="2849" spans="1:4" x14ac:dyDescent="0.25">
      <c r="A2849" s="2" t="s">
        <v>3547</v>
      </c>
      <c r="B2849" s="2" t="s">
        <v>53</v>
      </c>
      <c r="C2849" s="31" t="str">
        <f>VLOOKUP(irregulares[[#This Row],[Similar a]],padroes[],2,0)</f>
        <v>EAR</v>
      </c>
      <c r="D2849" s="3"/>
    </row>
    <row r="2850" spans="1:4" x14ac:dyDescent="0.25">
      <c r="A2850" s="2" t="s">
        <v>3802</v>
      </c>
      <c r="B2850" s="2" t="s">
        <v>2859</v>
      </c>
      <c r="C2850" s="31" t="str">
        <f>VLOOKUP(irregulares[[#This Row],[Similar a]],padroes[],2,0)</f>
        <v>Defectivo 3</v>
      </c>
      <c r="D2850" s="3"/>
    </row>
    <row r="2851" spans="1:4" x14ac:dyDescent="0.25">
      <c r="A2851" s="2" t="s">
        <v>3707</v>
      </c>
      <c r="B2851" s="2" t="s">
        <v>1604</v>
      </c>
      <c r="C2851" s="31" t="str">
        <f>VLOOKUP(irregulares[[#This Row],[Similar a]],padroes[],2,0)</f>
        <v>Defectivo 3</v>
      </c>
      <c r="D2851" s="3"/>
    </row>
    <row r="2852" spans="1:4" x14ac:dyDescent="0.25">
      <c r="A2852" s="2" t="s">
        <v>3548</v>
      </c>
      <c r="B2852" s="2" t="s">
        <v>53</v>
      </c>
      <c r="C2852" s="31" t="str">
        <f>VLOOKUP(irregulares[[#This Row],[Similar a]],padroes[],2,0)</f>
        <v>EAR</v>
      </c>
      <c r="D2852" s="3"/>
    </row>
    <row r="2853" spans="1:4" x14ac:dyDescent="0.25">
      <c r="A2853" s="2" t="s">
        <v>3714</v>
      </c>
      <c r="B2853" s="2" t="s">
        <v>55</v>
      </c>
      <c r="C2853" s="31" t="str">
        <f>VLOOKUP(irregulares[[#This Row],[Similar a]],padroes[],2,0)</f>
        <v>EJAR ô</v>
      </c>
      <c r="D2853" s="3"/>
    </row>
    <row r="2854" spans="1:4" x14ac:dyDescent="0.25">
      <c r="A2854" s="2" t="s">
        <v>3744</v>
      </c>
      <c r="B2854" s="2" t="s">
        <v>63</v>
      </c>
      <c r="C2854" s="31" t="str">
        <f>VLOOKUP(irregulares[[#This Row],[Similar a]],padroes[],2,0)</f>
        <v>CER</v>
      </c>
      <c r="D2854" s="3"/>
    </row>
    <row r="2855" spans="1:4" x14ac:dyDescent="0.25">
      <c r="A2855" s="2" t="s">
        <v>3681</v>
      </c>
      <c r="B2855" s="2" t="s">
        <v>74</v>
      </c>
      <c r="C2855" s="31" t="str">
        <f>VLOOKUP(irregulares[[#This Row],[Similar a]],padroes[],2,0)</f>
        <v>GAR</v>
      </c>
      <c r="D2855" s="3"/>
    </row>
    <row r="2856" spans="1:4" x14ac:dyDescent="0.25">
      <c r="A2856" s="2" t="s">
        <v>3619</v>
      </c>
      <c r="B2856" s="2" t="s">
        <v>44</v>
      </c>
      <c r="C2856" s="31" t="str">
        <f>VLOOKUP(irregulares[[#This Row],[Similar a]],padroes[],2,0)</f>
        <v>CAR</v>
      </c>
      <c r="D2856" s="3"/>
    </row>
    <row r="2857" spans="1:4" x14ac:dyDescent="0.25">
      <c r="A2857" s="2" t="s">
        <v>3549</v>
      </c>
      <c r="B2857" s="2" t="s">
        <v>53</v>
      </c>
      <c r="C2857" s="31" t="str">
        <f>VLOOKUP(irregulares[[#This Row],[Similar a]],padroes[],2,0)</f>
        <v>EAR</v>
      </c>
      <c r="D2857" s="3"/>
    </row>
    <row r="2858" spans="1:4" x14ac:dyDescent="0.25">
      <c r="A2858" s="2" t="s">
        <v>3550</v>
      </c>
      <c r="B2858" s="2" t="s">
        <v>53</v>
      </c>
      <c r="C2858" s="31" t="str">
        <f>VLOOKUP(irregulares[[#This Row],[Similar a]],padroes[],2,0)</f>
        <v>EAR</v>
      </c>
      <c r="D2858" s="3"/>
    </row>
    <row r="2859" spans="1:4" x14ac:dyDescent="0.25">
      <c r="A2859" s="2" t="s">
        <v>3620</v>
      </c>
      <c r="B2859" s="2" t="s">
        <v>44</v>
      </c>
      <c r="C2859" s="31" t="str">
        <f>VLOOKUP(irregulares[[#This Row],[Similar a]],padroes[],2,0)</f>
        <v>CAR</v>
      </c>
      <c r="D2859" s="3"/>
    </row>
    <row r="2860" spans="1:4" x14ac:dyDescent="0.25">
      <c r="A2860" s="2" t="s">
        <v>3682</v>
      </c>
      <c r="B2860" s="2" t="s">
        <v>74</v>
      </c>
      <c r="C2860" s="31" t="str">
        <f>VLOOKUP(irregulares[[#This Row],[Similar a]],padroes[],2,0)</f>
        <v>GAR</v>
      </c>
      <c r="D2860" s="3"/>
    </row>
    <row r="2861" spans="1:4" x14ac:dyDescent="0.25">
      <c r="A2861" s="2" t="s">
        <v>3803</v>
      </c>
      <c r="B2861" s="2" t="s">
        <v>417</v>
      </c>
      <c r="C2861" s="31" t="str">
        <f>VLOOKUP(irregulares[[#This Row],[Similar a]],padroes[],2,0)</f>
        <v>IAR</v>
      </c>
      <c r="D2861" s="3"/>
    </row>
    <row r="2862" spans="1:4" x14ac:dyDescent="0.25">
      <c r="A2862" s="2" t="s">
        <v>3804</v>
      </c>
      <c r="B2862" s="2" t="s">
        <v>1998</v>
      </c>
      <c r="C2862" s="31" t="str">
        <f>VLOOKUP(irregulares[[#This Row],[Similar a]],padroes[],2,0)</f>
        <v>PEDIR</v>
      </c>
      <c r="D2862" s="3"/>
    </row>
    <row r="2863" spans="1:4" x14ac:dyDescent="0.25">
      <c r="A2863" s="2" t="s">
        <v>3551</v>
      </c>
      <c r="B2863" s="2" t="s">
        <v>53</v>
      </c>
      <c r="C2863" s="31" t="str">
        <f>VLOOKUP(irregulares[[#This Row],[Similar a]],padroes[],2,0)</f>
        <v>EAR</v>
      </c>
      <c r="D2863" s="3"/>
    </row>
    <row r="2864" spans="1:4" x14ac:dyDescent="0.25">
      <c r="A2864" s="2" t="s">
        <v>3621</v>
      </c>
      <c r="B2864" s="2" t="s">
        <v>44</v>
      </c>
      <c r="C2864" s="31" t="str">
        <f>VLOOKUP(irregulares[[#This Row],[Similar a]],padroes[],2,0)</f>
        <v>CAR</v>
      </c>
      <c r="D2864" s="3"/>
    </row>
    <row r="2865" spans="1:4" x14ac:dyDescent="0.25">
      <c r="A2865" s="2" t="s">
        <v>3745</v>
      </c>
      <c r="B2865" s="2" t="s">
        <v>63</v>
      </c>
      <c r="C2865" s="31" t="str">
        <f>VLOOKUP(irregulares[[#This Row],[Similar a]],padroes[],2,0)</f>
        <v>CER</v>
      </c>
      <c r="D2865" s="3"/>
    </row>
    <row r="2866" spans="1:4" x14ac:dyDescent="0.25">
      <c r="A2866" s="2" t="s">
        <v>3805</v>
      </c>
      <c r="B2866" s="2" t="s">
        <v>185</v>
      </c>
      <c r="C2866" s="31" t="str">
        <f>VLOOKUP(irregulares[[#This Row],[Similar a]],padroes[],2,0)</f>
        <v>Defectivo 2</v>
      </c>
      <c r="D2866" s="3"/>
    </row>
    <row r="2867" spans="1:4" x14ac:dyDescent="0.25">
      <c r="A2867" s="2" t="s">
        <v>3622</v>
      </c>
      <c r="B2867" s="2" t="s">
        <v>44</v>
      </c>
      <c r="C2867" s="31" t="str">
        <f>VLOOKUP(irregulares[[#This Row],[Similar a]],padroes[],2,0)</f>
        <v>CAR</v>
      </c>
      <c r="D2867" s="3"/>
    </row>
    <row r="2868" spans="1:4" x14ac:dyDescent="0.25">
      <c r="A2868" s="2" t="s">
        <v>3623</v>
      </c>
      <c r="B2868" s="2" t="s">
        <v>42</v>
      </c>
      <c r="C2868" s="31" t="str">
        <f>VLOOKUP(irregulares[[#This Row],[Similar a]],padroes[],2,0)</f>
        <v>ÇAR</v>
      </c>
      <c r="D2868" s="3"/>
    </row>
    <row r="2869" spans="1:4" x14ac:dyDescent="0.25">
      <c r="A2869" s="2" t="s">
        <v>3806</v>
      </c>
      <c r="B2869" s="2" t="s">
        <v>3259</v>
      </c>
      <c r="C2869" s="31" t="str">
        <f>VLOOKUP(irregulares[[#This Row],[Similar a]],padroes[],2,0)</f>
        <v>OER</v>
      </c>
      <c r="D2869" s="3"/>
    </row>
    <row r="2870" spans="1:4" x14ac:dyDescent="0.25">
      <c r="A2870" s="2" t="s">
        <v>3552</v>
      </c>
      <c r="B2870" s="2" t="s">
        <v>53</v>
      </c>
      <c r="C2870" s="31" t="str">
        <f>VLOOKUP(irregulares[[#This Row],[Similar a]],padroes[],2,0)</f>
        <v>EAR</v>
      </c>
      <c r="D2870" s="3"/>
    </row>
    <row r="2871" spans="1:4" x14ac:dyDescent="0.25">
      <c r="A2871" s="2" t="s">
        <v>3746</v>
      </c>
      <c r="B2871" s="2" t="s">
        <v>63</v>
      </c>
      <c r="C2871" s="31" t="str">
        <f>VLOOKUP(irregulares[[#This Row],[Similar a]],padroes[],2,0)</f>
        <v>CER</v>
      </c>
      <c r="D2871" s="3"/>
    </row>
    <row r="2872" spans="1:4" x14ac:dyDescent="0.25">
      <c r="A2872" s="2" t="s">
        <v>3683</v>
      </c>
      <c r="B2872" s="2" t="s">
        <v>60</v>
      </c>
      <c r="C2872" s="31" t="str">
        <f>VLOOKUP(irregulares[[#This Row],[Similar a]],padroes[],2,0)</f>
        <v>GAR</v>
      </c>
      <c r="D2872" s="3"/>
    </row>
    <row r="2873" spans="1:4" x14ac:dyDescent="0.25">
      <c r="A2873" s="2" t="s">
        <v>3684</v>
      </c>
      <c r="B2873" s="2" t="s">
        <v>60</v>
      </c>
      <c r="C2873" s="31" t="str">
        <f>VLOOKUP(irregulares[[#This Row],[Similar a]],padroes[],2,0)</f>
        <v>GAR</v>
      </c>
      <c r="D2873" s="3"/>
    </row>
    <row r="2874" spans="1:4" x14ac:dyDescent="0.25">
      <c r="A2874" s="2" t="s">
        <v>3553</v>
      </c>
      <c r="B2874" s="2" t="s">
        <v>53</v>
      </c>
      <c r="C2874" s="31" t="str">
        <f>VLOOKUP(irregulares[[#This Row],[Similar a]],padroes[],2,0)</f>
        <v>EAR</v>
      </c>
      <c r="D2874" s="3"/>
    </row>
    <row r="2875" spans="1:4" x14ac:dyDescent="0.25">
      <c r="A2875" s="2" t="s">
        <v>3807</v>
      </c>
      <c r="B2875" s="2" t="s">
        <v>185</v>
      </c>
      <c r="C2875" s="31" t="str">
        <f>VLOOKUP(irregulares[[#This Row],[Similar a]],padroes[],2,0)</f>
        <v>Defectivo 2</v>
      </c>
      <c r="D2875" s="3"/>
    </row>
    <row r="2876" spans="1:4" x14ac:dyDescent="0.25">
      <c r="A2876" s="2" t="s">
        <v>3554</v>
      </c>
      <c r="B2876" s="2" t="s">
        <v>53</v>
      </c>
      <c r="C2876" s="31" t="str">
        <f>VLOOKUP(irregulares[[#This Row],[Similar a]],padroes[],2,0)</f>
        <v>EAR</v>
      </c>
      <c r="D2876" s="3"/>
    </row>
    <row r="2877" spans="1:4" x14ac:dyDescent="0.25">
      <c r="A2877" s="2" t="s">
        <v>3808</v>
      </c>
      <c r="B2877" s="2" t="s">
        <v>82</v>
      </c>
      <c r="C2877" s="31" t="str">
        <f>VLOOKUP(irregulares[[#This Row],[Similar a]],padroes[],2,0)</f>
        <v>UIR</v>
      </c>
      <c r="D2877" s="3"/>
    </row>
    <row r="2878" spans="1:4" x14ac:dyDescent="0.25">
      <c r="A2878" s="2" t="s">
        <v>3809</v>
      </c>
      <c r="B2878" s="2" t="s">
        <v>1998</v>
      </c>
      <c r="C2878" s="31" t="str">
        <f>VLOOKUP(irregulares[[#This Row],[Similar a]],padroes[],2,0)</f>
        <v>PEDIR</v>
      </c>
      <c r="D2878" s="3"/>
    </row>
    <row r="2879" spans="1:4" x14ac:dyDescent="0.25">
      <c r="A2879" s="2" t="s">
        <v>3685</v>
      </c>
      <c r="B2879" s="2" t="s">
        <v>74</v>
      </c>
      <c r="C2879" s="31" t="str">
        <f>VLOOKUP(irregulares[[#This Row],[Similar a]],padroes[],2,0)</f>
        <v>GAR</v>
      </c>
      <c r="D2879" s="3"/>
    </row>
    <row r="2880" spans="1:4" x14ac:dyDescent="0.25">
      <c r="A2880" s="2" t="s">
        <v>3747</v>
      </c>
      <c r="B2880" s="2" t="s">
        <v>63</v>
      </c>
      <c r="C2880" s="31" t="str">
        <f>VLOOKUP(irregulares[[#This Row],[Similar a]],padroes[],2,0)</f>
        <v>CER</v>
      </c>
      <c r="D2880" s="3"/>
    </row>
    <row r="2881" spans="1:4" x14ac:dyDescent="0.25">
      <c r="A2881" s="2" t="s">
        <v>3748</v>
      </c>
      <c r="B2881" s="2" t="s">
        <v>63</v>
      </c>
      <c r="C2881" s="31" t="str">
        <f>VLOOKUP(irregulares[[#This Row],[Similar a]],padroes[],2,0)</f>
        <v>CER</v>
      </c>
      <c r="D2881" s="3"/>
    </row>
    <row r="2882" spans="1:4" x14ac:dyDescent="0.25">
      <c r="A2882" s="2" t="s">
        <v>3810</v>
      </c>
      <c r="B2882" s="2" t="s">
        <v>1122</v>
      </c>
      <c r="C2882" s="31" t="str">
        <f>VLOOKUP(irregulares[[#This Row],[Similar a]],padroes[],2,0)</f>
        <v>ECHAR ê</v>
      </c>
      <c r="D2882" s="3"/>
    </row>
    <row r="2883" spans="1:4" x14ac:dyDescent="0.25">
      <c r="A2883" s="2" t="s">
        <v>3811</v>
      </c>
      <c r="B2883" s="2" t="s">
        <v>1998</v>
      </c>
      <c r="C2883" s="31" t="str">
        <f>VLOOKUP(irregulares[[#This Row],[Similar a]],padroes[],2,0)</f>
        <v>PEDIR</v>
      </c>
      <c r="D2883" s="3"/>
    </row>
    <row r="2884" spans="1:4" x14ac:dyDescent="0.25">
      <c r="A2884" s="2" t="s">
        <v>3812</v>
      </c>
      <c r="B2884" s="2" t="s">
        <v>1999</v>
      </c>
      <c r="C2884" s="31" t="str">
        <f>VLOOKUP(irregulares[[#This Row],[Similar a]],padroes[],2,0)</f>
        <v>E-X-IR</v>
      </c>
      <c r="D2884" s="3"/>
    </row>
    <row r="2885" spans="1:4" x14ac:dyDescent="0.25">
      <c r="A2885" s="2" t="s">
        <v>3624</v>
      </c>
      <c r="B2885" s="2" t="s">
        <v>44</v>
      </c>
      <c r="C2885" s="31" t="str">
        <f>VLOOKUP(irregulares[[#This Row],[Similar a]],padroes[],2,0)</f>
        <v>CAR</v>
      </c>
      <c r="D2885" s="3"/>
    </row>
    <row r="2886" spans="1:4" x14ac:dyDescent="0.25">
      <c r="A2886" s="2" t="s">
        <v>3813</v>
      </c>
      <c r="B2886" s="2" t="s">
        <v>3249</v>
      </c>
      <c r="C2886" s="31" t="str">
        <f>VLOOKUP(irregulares[[#This Row],[Similar a]],padroes[],2,0)</f>
        <v>E-X-IR</v>
      </c>
      <c r="D2886" s="3"/>
    </row>
    <row r="2887" spans="1:4" x14ac:dyDescent="0.25">
      <c r="A2887" s="2" t="s">
        <v>3625</v>
      </c>
      <c r="B2887" s="2" t="s">
        <v>44</v>
      </c>
      <c r="C2887" s="31" t="str">
        <f>VLOOKUP(irregulares[[#This Row],[Similar a]],padroes[],2,0)</f>
        <v>CAR</v>
      </c>
      <c r="D2887" s="3"/>
    </row>
    <row r="2888" spans="1:4" x14ac:dyDescent="0.25">
      <c r="A2888" s="2" t="s">
        <v>3626</v>
      </c>
      <c r="B2888" s="2" t="s">
        <v>44</v>
      </c>
      <c r="C2888" s="31" t="str">
        <f>VLOOKUP(irregulares[[#This Row],[Similar a]],padroes[],2,0)</f>
        <v>CAR</v>
      </c>
      <c r="D2888" s="3"/>
    </row>
    <row r="2889" spans="1:4" x14ac:dyDescent="0.25">
      <c r="A2889" s="2" t="s">
        <v>3715</v>
      </c>
      <c r="B2889" s="2" t="s">
        <v>55</v>
      </c>
      <c r="C2889" s="31" t="str">
        <f>VLOOKUP(irregulares[[#This Row],[Similar a]],padroes[],2,0)</f>
        <v>EJAR ô</v>
      </c>
      <c r="D2889" s="3"/>
    </row>
    <row r="2890" spans="1:4" x14ac:dyDescent="0.25">
      <c r="A2890" s="2" t="s">
        <v>3627</v>
      </c>
      <c r="B2890" s="2" t="s">
        <v>44</v>
      </c>
      <c r="C2890" s="31" t="str">
        <f>VLOOKUP(irregulares[[#This Row],[Similar a]],padroes[],2,0)</f>
        <v>CAR</v>
      </c>
      <c r="D2890" s="3"/>
    </row>
    <row r="2891" spans="1:4" x14ac:dyDescent="0.25">
      <c r="A2891" s="2" t="s">
        <v>3686</v>
      </c>
      <c r="B2891" s="2" t="s">
        <v>60</v>
      </c>
      <c r="C2891" s="31" t="str">
        <f>VLOOKUP(irregulares[[#This Row],[Similar a]],padroes[],2,0)</f>
        <v>GAR</v>
      </c>
      <c r="D2891" s="3"/>
    </row>
    <row r="2892" spans="1:4" x14ac:dyDescent="0.25">
      <c r="A2892" s="2" t="s">
        <v>3687</v>
      </c>
      <c r="B2892" s="2" t="s">
        <v>74</v>
      </c>
      <c r="C2892" s="31" t="str">
        <f>VLOOKUP(irregulares[[#This Row],[Similar a]],padroes[],2,0)</f>
        <v>GAR</v>
      </c>
      <c r="D2892" s="3"/>
    </row>
    <row r="2893" spans="1:4" x14ac:dyDescent="0.25">
      <c r="A2893" s="2" t="s">
        <v>3814</v>
      </c>
      <c r="B2893" s="2" t="s">
        <v>2805</v>
      </c>
      <c r="C2893" s="31" t="str">
        <f>VLOOKUP(irregulares[[#This Row],[Similar a]],padroes[],2,0)</f>
        <v>POLIR</v>
      </c>
      <c r="D2893" s="3"/>
    </row>
    <row r="2894" spans="1:4" x14ac:dyDescent="0.25">
      <c r="A2894" s="2" t="s">
        <v>3815</v>
      </c>
      <c r="B2894" s="2" t="s">
        <v>267</v>
      </c>
      <c r="C2894" s="31" t="str">
        <f>VLOOKUP(irregulares[[#This Row],[Similar a]],padroes[],2,0)</f>
        <v>POR</v>
      </c>
      <c r="D2894" s="3"/>
    </row>
    <row r="2895" spans="1:4" x14ac:dyDescent="0.25">
      <c r="A2895" s="2" t="s">
        <v>3816</v>
      </c>
      <c r="B2895" s="2" t="s">
        <v>82</v>
      </c>
      <c r="C2895" s="31" t="str">
        <f>VLOOKUP(irregulares[[#This Row],[Similar a]],padroes[],2,0)</f>
        <v>UIR</v>
      </c>
      <c r="D2895" s="3"/>
    </row>
    <row r="2896" spans="1:4" x14ac:dyDescent="0.25">
      <c r="A2896" s="2" t="s">
        <v>3726</v>
      </c>
      <c r="B2896" s="2" t="s">
        <v>49</v>
      </c>
      <c r="C2896" s="31" t="str">
        <f>VLOOKUP(irregulares[[#This Row],[Similar a]],padroes[],2,0)</f>
        <v>OAR</v>
      </c>
      <c r="D2896" s="3"/>
    </row>
    <row r="2897" spans="1:4" x14ac:dyDescent="0.25">
      <c r="A2897" s="2" t="s">
        <v>3688</v>
      </c>
      <c r="B2897" s="2" t="s">
        <v>60</v>
      </c>
      <c r="C2897" s="31" t="str">
        <f>VLOOKUP(irregulares[[#This Row],[Similar a]],padroes[],2,0)</f>
        <v>GAR</v>
      </c>
      <c r="D2897" s="3"/>
    </row>
    <row r="2898" spans="1:4" x14ac:dyDescent="0.25">
      <c r="A2898" s="2" t="s">
        <v>3555</v>
      </c>
      <c r="B2898" s="2" t="s">
        <v>53</v>
      </c>
      <c r="C2898" s="31" t="str">
        <f>VLOOKUP(irregulares[[#This Row],[Similar a]],padroes[],2,0)</f>
        <v>EAR</v>
      </c>
      <c r="D2898" s="3"/>
    </row>
    <row r="2899" spans="1:4" x14ac:dyDescent="0.25">
      <c r="A2899" s="2" t="s">
        <v>3817</v>
      </c>
      <c r="B2899" s="2" t="s">
        <v>1887</v>
      </c>
      <c r="C2899" s="31" t="str">
        <f>VLOOKUP(irregulares[[#This Row],[Similar a]],padroes[],2,0)</f>
        <v>UZIR</v>
      </c>
      <c r="D2899" s="3"/>
    </row>
    <row r="2900" spans="1:4" x14ac:dyDescent="0.25">
      <c r="A2900" s="2" t="s">
        <v>3818</v>
      </c>
      <c r="B2900" s="2" t="s">
        <v>267</v>
      </c>
      <c r="C2900" s="31" t="str">
        <f>VLOOKUP(irregulares[[#This Row],[Similar a]],padroes[],2,0)</f>
        <v>POR</v>
      </c>
      <c r="D2900" s="3"/>
    </row>
    <row r="2901" spans="1:4" x14ac:dyDescent="0.25">
      <c r="A2901" s="2" t="s">
        <v>3819</v>
      </c>
      <c r="B2901" s="2" t="s">
        <v>1717</v>
      </c>
      <c r="C2901" s="31" t="str">
        <f>VLOOKUP(irregulares[[#This Row],[Similar a]],padroes[],2,0)</f>
        <v>Defectivo 1</v>
      </c>
      <c r="D2901" s="3"/>
    </row>
    <row r="2902" spans="1:4" x14ac:dyDescent="0.25">
      <c r="A2902" s="2" t="s">
        <v>3628</v>
      </c>
      <c r="B2902" s="2" t="s">
        <v>44</v>
      </c>
      <c r="C2902" s="31" t="str">
        <f>VLOOKUP(irregulares[[#This Row],[Similar a]],padroes[],2,0)</f>
        <v>CAR</v>
      </c>
      <c r="D2902" s="3"/>
    </row>
    <row r="2903" spans="1:4" x14ac:dyDescent="0.25">
      <c r="A2903" s="2" t="s">
        <v>3689</v>
      </c>
      <c r="B2903" s="2" t="s">
        <v>74</v>
      </c>
      <c r="C2903" s="31" t="str">
        <f>VLOOKUP(irregulares[[#This Row],[Similar a]],padroes[],2,0)</f>
        <v>GAR</v>
      </c>
      <c r="D2903" s="3"/>
    </row>
    <row r="2904" spans="1:4" x14ac:dyDescent="0.25">
      <c r="A2904" s="2" t="s">
        <v>3629</v>
      </c>
      <c r="B2904" s="2" t="s">
        <v>44</v>
      </c>
      <c r="C2904" s="31" t="str">
        <f>VLOOKUP(irregulares[[#This Row],[Similar a]],padroes[],2,0)</f>
        <v>CAR</v>
      </c>
      <c r="D2904" s="3"/>
    </row>
    <row r="2905" spans="1:4" x14ac:dyDescent="0.25">
      <c r="A2905" s="2" t="s">
        <v>3820</v>
      </c>
      <c r="B2905" s="2" t="s">
        <v>3820</v>
      </c>
      <c r="C2905" s="31" t="str">
        <f>VLOOKUP(irregulares[[#This Row],[Similar a]],padroes[],2,0)</f>
        <v>REQUERER</v>
      </c>
      <c r="D2905" s="3"/>
    </row>
    <row r="2906" spans="1:4" x14ac:dyDescent="0.25">
      <c r="A2906" s="2" t="s">
        <v>3821</v>
      </c>
      <c r="B2906" s="2" t="s">
        <v>121</v>
      </c>
      <c r="C2906" s="31" t="str">
        <f>VLOOKUP(irregulares[[#This Row],[Similar a]],padroes[],2,0)</f>
        <v>GER</v>
      </c>
      <c r="D2906" s="3"/>
    </row>
    <row r="2907" spans="1:4" x14ac:dyDescent="0.25">
      <c r="A2907" s="2" t="s">
        <v>3630</v>
      </c>
      <c r="B2907" s="2" t="s">
        <v>44</v>
      </c>
      <c r="C2907" s="31" t="str">
        <f>VLOOKUP(irregulares[[#This Row],[Similar a]],padroes[],2,0)</f>
        <v>CAR</v>
      </c>
      <c r="D2907" s="3"/>
    </row>
    <row r="2908" spans="1:4" x14ac:dyDescent="0.25">
      <c r="A2908" s="2" t="s">
        <v>3822</v>
      </c>
      <c r="B2908" s="2" t="s">
        <v>2363</v>
      </c>
      <c r="C2908" s="31" t="str">
        <f>VLOOKUP(irregulares[[#This Row],[Similar a]],padroes[],2,0)</f>
        <v>Abundante</v>
      </c>
      <c r="D2908" s="3"/>
    </row>
    <row r="2909" spans="1:4" x14ac:dyDescent="0.25">
      <c r="A2909" s="2" t="s">
        <v>1939</v>
      </c>
      <c r="B2909" s="2" t="s">
        <v>1939</v>
      </c>
      <c r="C2909" s="31" t="str">
        <f>VLOOKUP(irregulares[[#This Row],[Similar a]],padroes[],2,0)</f>
        <v>RESFOLEGAR</v>
      </c>
      <c r="D2909" s="3"/>
    </row>
    <row r="2910" spans="1:4" x14ac:dyDescent="0.25">
      <c r="A2910" s="2" t="s">
        <v>3690</v>
      </c>
      <c r="B2910" s="2" t="s">
        <v>74</v>
      </c>
      <c r="C2910" s="31" t="str">
        <f>VLOOKUP(irregulares[[#This Row],[Similar a]],padroes[],2,0)</f>
        <v>GAR</v>
      </c>
      <c r="D2910" s="3"/>
    </row>
    <row r="2911" spans="1:4" x14ac:dyDescent="0.25">
      <c r="A2911" s="2" t="s">
        <v>3631</v>
      </c>
      <c r="B2911" s="2" t="s">
        <v>44</v>
      </c>
      <c r="C2911" s="31" t="str">
        <f>VLOOKUP(irregulares[[#This Row],[Similar a]],padroes[],2,0)</f>
        <v>CAR</v>
      </c>
      <c r="D2911" s="3"/>
    </row>
    <row r="2912" spans="1:4" x14ac:dyDescent="0.25">
      <c r="A2912" s="2" t="s">
        <v>3691</v>
      </c>
      <c r="B2912" s="2" t="s">
        <v>74</v>
      </c>
      <c r="C2912" s="31" t="str">
        <f>VLOOKUP(irregulares[[#This Row],[Similar a]],padroes[],2,0)</f>
        <v>GAR</v>
      </c>
      <c r="D2912" s="3"/>
    </row>
    <row r="2913" spans="1:4" x14ac:dyDescent="0.25">
      <c r="A2913" s="2" t="s">
        <v>3823</v>
      </c>
      <c r="B2913" s="2" t="s">
        <v>3259</v>
      </c>
      <c r="C2913" s="31" t="str">
        <f>VLOOKUP(irregulares[[#This Row],[Similar a]],padroes[],2,0)</f>
        <v>OER</v>
      </c>
      <c r="D2913" s="3"/>
    </row>
    <row r="2914" spans="1:4" x14ac:dyDescent="0.25">
      <c r="A2914" s="2" t="s">
        <v>3556</v>
      </c>
      <c r="B2914" s="2" t="s">
        <v>53</v>
      </c>
      <c r="C2914" s="31" t="str">
        <f>VLOOKUP(irregulares[[#This Row],[Similar a]],padroes[],2,0)</f>
        <v>EAR</v>
      </c>
      <c r="D2914" s="3"/>
    </row>
    <row r="2915" spans="1:4" x14ac:dyDescent="0.25">
      <c r="A2915" s="2" t="s">
        <v>3692</v>
      </c>
      <c r="B2915" s="2" t="s">
        <v>74</v>
      </c>
      <c r="C2915" s="31" t="str">
        <f>VLOOKUP(irregulares[[#This Row],[Similar a]],padroes[],2,0)</f>
        <v>GAR</v>
      </c>
      <c r="D2915" s="3"/>
    </row>
    <row r="2916" spans="1:4" x14ac:dyDescent="0.25">
      <c r="A2916" s="2" t="s">
        <v>3632</v>
      </c>
      <c r="B2916" s="2" t="s">
        <v>42</v>
      </c>
      <c r="C2916" s="31" t="str">
        <f>VLOOKUP(irregulares[[#This Row],[Similar a]],padroes[],2,0)</f>
        <v>ÇAR</v>
      </c>
      <c r="D2916" s="3"/>
    </row>
    <row r="2917" spans="1:4" x14ac:dyDescent="0.25">
      <c r="A2917" s="2" t="s">
        <v>3693</v>
      </c>
      <c r="B2917" s="2" t="s">
        <v>74</v>
      </c>
      <c r="C2917" s="31" t="str">
        <f>VLOOKUP(irregulares[[#This Row],[Similar a]],padroes[],2,0)</f>
        <v>GAR</v>
      </c>
      <c r="D2917" s="3"/>
    </row>
    <row r="2918" spans="1:4" x14ac:dyDescent="0.25">
      <c r="A2918" s="2" t="s">
        <v>3694</v>
      </c>
      <c r="B2918" s="2" t="s">
        <v>74</v>
      </c>
      <c r="C2918" s="31" t="str">
        <f>VLOOKUP(irregulares[[#This Row],[Similar a]],padroes[],2,0)</f>
        <v>GAR</v>
      </c>
      <c r="D2918" s="3"/>
    </row>
    <row r="2919" spans="1:4" x14ac:dyDescent="0.25">
      <c r="A2919" s="2" t="s">
        <v>3749</v>
      </c>
      <c r="B2919" s="2" t="s">
        <v>63</v>
      </c>
      <c r="C2919" s="31" t="str">
        <f>VLOOKUP(irregulares[[#This Row],[Similar a]],padroes[],2,0)</f>
        <v>CER</v>
      </c>
      <c r="D2919" s="3"/>
    </row>
    <row r="2920" spans="1:4" x14ac:dyDescent="0.25">
      <c r="A2920" s="2" t="s">
        <v>3750</v>
      </c>
      <c r="B2920" s="2" t="s">
        <v>63</v>
      </c>
      <c r="C2920" s="31" t="str">
        <f>VLOOKUP(irregulares[[#This Row],[Similar a]],padroes[],2,0)</f>
        <v>CER</v>
      </c>
      <c r="D2920" s="3"/>
    </row>
    <row r="2921" spans="1:4" x14ac:dyDescent="0.25">
      <c r="A2921" s="2" t="s">
        <v>3824</v>
      </c>
      <c r="B2921" s="2" t="s">
        <v>2249</v>
      </c>
      <c r="C2921" s="31" t="str">
        <f>VLOOKUP(irregulares[[#This Row],[Similar a]],padroes[],2,0)</f>
        <v>SABER</v>
      </c>
      <c r="D2921" s="3"/>
    </row>
    <row r="2922" spans="1:4" x14ac:dyDescent="0.25">
      <c r="A2922" s="2" t="s">
        <v>3633</v>
      </c>
      <c r="B2922" s="2" t="s">
        <v>44</v>
      </c>
      <c r="C2922" s="31" t="str">
        <f>VLOOKUP(irregulares[[#This Row],[Similar a]],padroes[],2,0)</f>
        <v>CAR</v>
      </c>
      <c r="D2922" s="3"/>
    </row>
    <row r="2923" spans="1:4" x14ac:dyDescent="0.25">
      <c r="A2923" s="2" t="s">
        <v>3825</v>
      </c>
      <c r="B2923" s="2" t="s">
        <v>988</v>
      </c>
      <c r="C2923" s="31" t="str">
        <f>VLOOKUP(irregulares[[#This Row],[Similar a]],padroes[],2,0)</f>
        <v>AIR</v>
      </c>
      <c r="D2923" s="3"/>
    </row>
    <row r="2924" spans="1:4" x14ac:dyDescent="0.25">
      <c r="A2924" s="2" t="s">
        <v>3695</v>
      </c>
      <c r="B2924" s="2" t="s">
        <v>74</v>
      </c>
      <c r="C2924" s="31" t="str">
        <f>VLOOKUP(irregulares[[#This Row],[Similar a]],padroes[],2,0)</f>
        <v>GAR</v>
      </c>
      <c r="D2924" s="3"/>
    </row>
    <row r="2925" spans="1:4" x14ac:dyDescent="0.25">
      <c r="A2925" s="2" t="s">
        <v>3557</v>
      </c>
      <c r="B2925" s="2" t="s">
        <v>53</v>
      </c>
      <c r="C2925" s="31" t="str">
        <f>VLOOKUP(irregulares[[#This Row],[Similar a]],padroes[],2,0)</f>
        <v>EAR</v>
      </c>
      <c r="D2925" s="3"/>
    </row>
    <row r="2926" spans="1:4" x14ac:dyDescent="0.25">
      <c r="A2926" s="2" t="s">
        <v>3826</v>
      </c>
      <c r="B2926" s="2" t="s">
        <v>185</v>
      </c>
      <c r="C2926" s="31" t="str">
        <f>VLOOKUP(irregulares[[#This Row],[Similar a]],padroes[],2,0)</f>
        <v>Defectivo 2</v>
      </c>
      <c r="D2926" s="3"/>
    </row>
    <row r="2927" spans="1:4" x14ac:dyDescent="0.25">
      <c r="A2927" s="2" t="s">
        <v>3827</v>
      </c>
      <c r="B2927" s="2" t="s">
        <v>47</v>
      </c>
      <c r="C2927" s="31" t="str">
        <f>VLOOKUP(irregulares[[#This Row],[Similar a]],padroes[],2,0)</f>
        <v>Ú-X-AR</v>
      </c>
      <c r="D2927" s="3"/>
    </row>
    <row r="2928" spans="1:4" x14ac:dyDescent="0.25">
      <c r="A2928" s="2" t="s">
        <v>3696</v>
      </c>
      <c r="B2928" s="2" t="s">
        <v>60</v>
      </c>
      <c r="C2928" s="31" t="str">
        <f>VLOOKUP(irregulares[[#This Row],[Similar a]],padroes[],2,0)</f>
        <v>GAR</v>
      </c>
      <c r="D2928" s="3"/>
    </row>
    <row r="2929" spans="1:4" x14ac:dyDescent="0.25">
      <c r="A2929" s="2" t="s">
        <v>3558</v>
      </c>
      <c r="B2929" s="2" t="s">
        <v>53</v>
      </c>
      <c r="C2929" s="31" t="str">
        <f>VLOOKUP(irregulares[[#This Row],[Similar a]],padroes[],2,0)</f>
        <v>EAR</v>
      </c>
      <c r="D2929" s="3"/>
    </row>
    <row r="2930" spans="1:4" x14ac:dyDescent="0.25">
      <c r="A2930" s="2" t="s">
        <v>3828</v>
      </c>
      <c r="B2930" s="2" t="s">
        <v>958</v>
      </c>
      <c r="C2930" s="31" t="str">
        <f>VLOOKUP(irregulares[[#This Row],[Similar a]],padroes[],2,0)</f>
        <v>SENTIR</v>
      </c>
      <c r="D2930" s="3"/>
    </row>
    <row r="2931" spans="1:4" x14ac:dyDescent="0.25">
      <c r="A2931" s="2" t="s">
        <v>3829</v>
      </c>
      <c r="B2931" s="2" t="s">
        <v>185</v>
      </c>
      <c r="C2931" s="31" t="str">
        <f>VLOOKUP(irregulares[[#This Row],[Similar a]],padroes[],2,0)</f>
        <v>Defectivo 2</v>
      </c>
      <c r="D2931" s="3"/>
    </row>
    <row r="2932" spans="1:4" x14ac:dyDescent="0.25">
      <c r="A2932" s="2" t="s">
        <v>3830</v>
      </c>
      <c r="B2932" s="2" t="s">
        <v>2322</v>
      </c>
      <c r="C2932" s="31" t="str">
        <f>VLOOKUP(irregulares[[#This Row],[Similar a]],padroes[],2,0)</f>
        <v>E-X-IR</v>
      </c>
      <c r="D2932" s="3"/>
    </row>
    <row r="2933" spans="1:4" x14ac:dyDescent="0.25">
      <c r="A2933" s="2" t="s">
        <v>3634</v>
      </c>
      <c r="B2933" s="2" t="s">
        <v>44</v>
      </c>
      <c r="C2933" s="31" t="str">
        <f>VLOOKUP(irregulares[[#This Row],[Similar a]],padroes[],2,0)</f>
        <v>CAR</v>
      </c>
      <c r="D2933" s="3"/>
    </row>
    <row r="2934" spans="1:4" x14ac:dyDescent="0.25">
      <c r="A2934" s="2" t="s">
        <v>3727</v>
      </c>
      <c r="B2934" s="2" t="s">
        <v>49</v>
      </c>
      <c r="C2934" s="31" t="str">
        <f>VLOOKUP(irregulares[[#This Row],[Similar a]],padroes[],2,0)</f>
        <v>OAR</v>
      </c>
      <c r="D2934" s="3"/>
    </row>
    <row r="2935" spans="1:4" x14ac:dyDescent="0.25">
      <c r="A2935" s="2" t="s">
        <v>3831</v>
      </c>
      <c r="B2935" s="2" t="s">
        <v>2406</v>
      </c>
      <c r="C2935" s="31" t="str">
        <f>VLOOKUP(irregulares[[#This Row],[Similar a]],padroes[],2,0)</f>
        <v>RIR</v>
      </c>
      <c r="D2935" s="3"/>
    </row>
    <row r="2936" spans="1:4" x14ac:dyDescent="0.25">
      <c r="A2936" s="2" t="s">
        <v>3635</v>
      </c>
      <c r="B2936" s="2" t="s">
        <v>44</v>
      </c>
      <c r="C2936" s="31" t="str">
        <f>VLOOKUP(irregulares[[#This Row],[Similar a]],padroes[],2,0)</f>
        <v>CAR</v>
      </c>
      <c r="D2936" s="3"/>
    </row>
    <row r="2937" spans="1:4" x14ac:dyDescent="0.25">
      <c r="A2937" s="2" t="s">
        <v>3832</v>
      </c>
      <c r="B2937" s="2" t="s">
        <v>154</v>
      </c>
      <c r="C2937" s="31" t="str">
        <f>VLOOKUP(irregulares[[#This Row],[Similar a]],padroes[],2,0)</f>
        <v>GIR</v>
      </c>
      <c r="D2937" s="3"/>
    </row>
    <row r="2938" spans="1:4" x14ac:dyDescent="0.25">
      <c r="A2938" s="2" t="s">
        <v>3751</v>
      </c>
      <c r="B2938" s="2" t="s">
        <v>63</v>
      </c>
      <c r="C2938" s="31" t="str">
        <f>VLOOKUP(irregulares[[#This Row],[Similar a]],padroes[],2,0)</f>
        <v>CER</v>
      </c>
      <c r="D2938" s="3"/>
    </row>
    <row r="2939" spans="1:4" x14ac:dyDescent="0.25">
      <c r="A2939" s="2" t="s">
        <v>3833</v>
      </c>
      <c r="B2939" s="2" t="s">
        <v>3834</v>
      </c>
      <c r="C2939" s="31" t="str">
        <f>VLOOKUP(irregulares[[#This Row],[Similar a]],padroes[],2,0)</f>
        <v>EXTINGUIR</v>
      </c>
      <c r="D2939" s="3"/>
    </row>
    <row r="2940" spans="1:4" x14ac:dyDescent="0.25">
      <c r="A2940" s="2" t="s">
        <v>3835</v>
      </c>
      <c r="B2940" s="2" t="s">
        <v>82</v>
      </c>
      <c r="C2940" s="31" t="str">
        <f>VLOOKUP(irregulares[[#This Row],[Similar a]],padroes[],2,0)</f>
        <v>UIR</v>
      </c>
      <c r="D2940" s="3"/>
    </row>
    <row r="2941" spans="1:4" x14ac:dyDescent="0.25">
      <c r="A2941" s="2" t="s">
        <v>3836</v>
      </c>
      <c r="B2941" s="2" t="s">
        <v>154</v>
      </c>
      <c r="C2941" s="31" t="str">
        <f>VLOOKUP(irregulares[[#This Row],[Similar a]],padroes[],2,0)</f>
        <v>GIR</v>
      </c>
      <c r="D2941" s="3"/>
    </row>
    <row r="2942" spans="1:4" x14ac:dyDescent="0.25">
      <c r="A2942" s="2" t="s">
        <v>3837</v>
      </c>
      <c r="B2942" s="2" t="s">
        <v>1444</v>
      </c>
      <c r="C2942" s="31" t="str">
        <f>VLOOKUP(irregulares[[#This Row],[Similar a]],padroes[],2,0)</f>
        <v>Defectivo 3</v>
      </c>
      <c r="D2942" s="3"/>
    </row>
    <row r="2943" spans="1:4" x14ac:dyDescent="0.25">
      <c r="A2943" s="2" t="s">
        <v>3636</v>
      </c>
      <c r="B2943" s="2" t="s">
        <v>44</v>
      </c>
      <c r="C2943" s="31" t="str">
        <f>VLOOKUP(irregulares[[#This Row],[Similar a]],padroes[],2,0)</f>
        <v>CAR</v>
      </c>
      <c r="D2943" s="3"/>
    </row>
    <row r="2944" spans="1:4" x14ac:dyDescent="0.25">
      <c r="A2944" s="2" t="s">
        <v>3838</v>
      </c>
      <c r="B2944" s="2" t="s">
        <v>157</v>
      </c>
      <c r="C2944" s="31" t="str">
        <f>VLOOKUP(irregulares[[#This Row],[Similar a]],padroes[],2,0)</f>
        <v>ELHAR</v>
      </c>
      <c r="D2944" s="3"/>
    </row>
    <row r="2945" spans="1:4" x14ac:dyDescent="0.25">
      <c r="A2945" s="2" t="s">
        <v>3839</v>
      </c>
      <c r="B2945" s="2" t="s">
        <v>1</v>
      </c>
      <c r="C2945" s="31" t="str">
        <f>VLOOKUP(irregulares[[#This Row],[Similar a]],padroes[],2,0)</f>
        <v>TER</v>
      </c>
      <c r="D2945" s="3"/>
    </row>
    <row r="2946" spans="1:4" x14ac:dyDescent="0.25">
      <c r="A2946" s="2" t="s">
        <v>3615</v>
      </c>
      <c r="B2946" s="2" t="s">
        <v>44</v>
      </c>
      <c r="C2946" s="31" t="str">
        <f>VLOOKUP(irregulares[[#This Row],[Similar a]],padroes[],2,0)</f>
        <v>CAR</v>
      </c>
      <c r="D2946" s="3"/>
    </row>
    <row r="2947" spans="1:4" x14ac:dyDescent="0.25">
      <c r="A2947" s="2" t="s">
        <v>3840</v>
      </c>
      <c r="B2947" s="2" t="s">
        <v>154</v>
      </c>
      <c r="C2947" s="31" t="str">
        <f>VLOOKUP(irregulares[[#This Row],[Similar a]],padroes[],2,0)</f>
        <v>GIR</v>
      </c>
      <c r="D2947" s="3"/>
    </row>
    <row r="2948" spans="1:4" x14ac:dyDescent="0.25">
      <c r="A2948" s="2" t="s">
        <v>3637</v>
      </c>
      <c r="B2948" s="2" t="s">
        <v>44</v>
      </c>
      <c r="C2948" s="31" t="str">
        <f>VLOOKUP(irregulares[[#This Row],[Similar a]],padroes[],2,0)</f>
        <v>CAR</v>
      </c>
      <c r="D2948" s="3"/>
    </row>
    <row r="2949" spans="1:4" x14ac:dyDescent="0.25">
      <c r="A2949" s="2" t="s">
        <v>3638</v>
      </c>
      <c r="B2949" s="2" t="s">
        <v>42</v>
      </c>
      <c r="C2949" s="31" t="str">
        <f>VLOOKUP(irregulares[[#This Row],[Similar a]],padroes[],2,0)</f>
        <v>ÇAR</v>
      </c>
      <c r="D2949" s="3"/>
    </row>
    <row r="2950" spans="1:4" x14ac:dyDescent="0.25">
      <c r="A2950" s="2" t="s">
        <v>3752</v>
      </c>
      <c r="B2950" s="2" t="s">
        <v>63</v>
      </c>
      <c r="C2950" s="31" t="str">
        <f>VLOOKUP(irregulares[[#This Row],[Similar a]],padroes[],2,0)</f>
        <v>CER</v>
      </c>
      <c r="D2950" s="3"/>
    </row>
    <row r="2951" spans="1:4" x14ac:dyDescent="0.25">
      <c r="A2951" s="2" t="s">
        <v>3639</v>
      </c>
      <c r="B2951" s="2" t="s">
        <v>44</v>
      </c>
      <c r="C2951" s="31" t="str">
        <f>VLOOKUP(irregulares[[#This Row],[Similar a]],padroes[],2,0)</f>
        <v>CAR</v>
      </c>
      <c r="D2951" s="3"/>
    </row>
    <row r="2952" spans="1:4" x14ac:dyDescent="0.25">
      <c r="A2952" s="2" t="s">
        <v>3841</v>
      </c>
      <c r="B2952" s="2" t="s">
        <v>1717</v>
      </c>
      <c r="C2952" s="31" t="str">
        <f>VLOOKUP(irregulares[[#This Row],[Similar a]],padroes[],2,0)</f>
        <v>Defectivo 1</v>
      </c>
      <c r="D2952" s="3"/>
    </row>
    <row r="2953" spans="1:4" x14ac:dyDescent="0.25">
      <c r="A2953" s="2" t="s">
        <v>3640</v>
      </c>
      <c r="B2953" s="2" t="s">
        <v>44</v>
      </c>
      <c r="C2953" s="31" t="str">
        <f>VLOOKUP(irregulares[[#This Row],[Similar a]],padroes[],2,0)</f>
        <v>CAR</v>
      </c>
      <c r="D2953" s="3"/>
    </row>
    <row r="2954" spans="1:4" x14ac:dyDescent="0.25">
      <c r="A2954" s="2" t="s">
        <v>3641</v>
      </c>
      <c r="B2954" s="2" t="s">
        <v>42</v>
      </c>
      <c r="C2954" s="31" t="str">
        <f>VLOOKUP(irregulares[[#This Row],[Similar a]],padroes[],2,0)</f>
        <v>ÇAR</v>
      </c>
      <c r="D2954" s="3"/>
    </row>
    <row r="2955" spans="1:4" x14ac:dyDescent="0.25">
      <c r="A2955" s="2" t="s">
        <v>3642</v>
      </c>
      <c r="B2955" s="2" t="s">
        <v>42</v>
      </c>
      <c r="C2955" s="31" t="str">
        <f>VLOOKUP(irregulares[[#This Row],[Similar a]],padroes[],2,0)</f>
        <v>ÇAR</v>
      </c>
      <c r="D2955" s="3"/>
    </row>
    <row r="2956" spans="1:4" x14ac:dyDescent="0.25">
      <c r="A2956" s="2" t="s">
        <v>3842</v>
      </c>
      <c r="B2956" s="2" t="s">
        <v>1887</v>
      </c>
      <c r="C2956" s="31" t="str">
        <f>VLOOKUP(irregulares[[#This Row],[Similar a]],padroes[],2,0)</f>
        <v>UZIR</v>
      </c>
      <c r="D2956" s="3"/>
    </row>
    <row r="2957" spans="1:4" x14ac:dyDescent="0.25">
      <c r="A2957" s="2" t="s">
        <v>3843</v>
      </c>
      <c r="B2957" s="2" t="s">
        <v>988</v>
      </c>
      <c r="C2957" s="31" t="str">
        <f>VLOOKUP(irregulares[[#This Row],[Similar a]],padroes[],2,0)</f>
        <v>AIR</v>
      </c>
      <c r="D2957" s="3"/>
    </row>
    <row r="2958" spans="1:4" x14ac:dyDescent="0.25">
      <c r="A2958" s="2" t="s">
        <v>3643</v>
      </c>
      <c r="B2958" s="2" t="s">
        <v>44</v>
      </c>
      <c r="C2958" s="31" t="str">
        <f>VLOOKUP(irregulares[[#This Row],[Similar a]],padroes[],2,0)</f>
        <v>CAR</v>
      </c>
      <c r="D2958" s="3"/>
    </row>
    <row r="2959" spans="1:4" x14ac:dyDescent="0.25">
      <c r="A2959" s="2" t="s">
        <v>3844</v>
      </c>
      <c r="B2959" s="2" t="s">
        <v>82</v>
      </c>
      <c r="C2959" s="31" t="str">
        <f>VLOOKUP(irregulares[[#This Row],[Similar a]],padroes[],2,0)</f>
        <v>UIR</v>
      </c>
      <c r="D2959" s="3"/>
    </row>
    <row r="2960" spans="1:4" x14ac:dyDescent="0.25">
      <c r="A2960" s="2" t="s">
        <v>3644</v>
      </c>
      <c r="B2960" s="2" t="s">
        <v>44</v>
      </c>
      <c r="C2960" s="31" t="str">
        <f>VLOOKUP(irregulares[[#This Row],[Similar a]],padroes[],2,0)</f>
        <v>CAR</v>
      </c>
      <c r="D2960" s="3"/>
    </row>
    <row r="2961" spans="1:4" x14ac:dyDescent="0.25">
      <c r="A2961" s="2" t="s">
        <v>3845</v>
      </c>
      <c r="B2961" s="2" t="s">
        <v>154</v>
      </c>
      <c r="C2961" s="31" t="str">
        <f>VLOOKUP(irregulares[[#This Row],[Similar a]],padroes[],2,0)</f>
        <v>GIR</v>
      </c>
      <c r="D2961" s="3"/>
    </row>
    <row r="2962" spans="1:4" x14ac:dyDescent="0.25">
      <c r="A2962" s="2" t="s">
        <v>3728</v>
      </c>
      <c r="B2962" s="2" t="s">
        <v>49</v>
      </c>
      <c r="C2962" s="31" t="str">
        <f>VLOOKUP(irregulares[[#This Row],[Similar a]],padroes[],2,0)</f>
        <v>OAR</v>
      </c>
      <c r="D2962" s="3"/>
    </row>
    <row r="2963" spans="1:4" x14ac:dyDescent="0.25">
      <c r="A2963" s="2" t="s">
        <v>3846</v>
      </c>
      <c r="B2963" s="2" t="s">
        <v>2303</v>
      </c>
      <c r="C2963" s="31" t="str">
        <f>VLOOKUP(irregulares[[#This Row],[Similar a]],padroes[],2,0)</f>
        <v>E-X-IR</v>
      </c>
      <c r="D2963" s="3"/>
    </row>
    <row r="2964" spans="1:4" x14ac:dyDescent="0.25">
      <c r="A2964" s="2" t="s">
        <v>3847</v>
      </c>
      <c r="B2964" s="2" t="s">
        <v>988</v>
      </c>
      <c r="C2964" s="31" t="str">
        <f>VLOOKUP(irregulares[[#This Row],[Similar a]],padroes[],2,0)</f>
        <v>AIR</v>
      </c>
      <c r="D2964" s="3"/>
    </row>
    <row r="2965" spans="1:4" x14ac:dyDescent="0.25">
      <c r="A2965" s="2" t="s">
        <v>3645</v>
      </c>
      <c r="B2965" s="2" t="s">
        <v>44</v>
      </c>
      <c r="C2965" s="31" t="str">
        <f>VLOOKUP(irregulares[[#This Row],[Similar a]],padroes[],2,0)</f>
        <v>CAR</v>
      </c>
      <c r="D2965" s="3"/>
    </row>
    <row r="2966" spans="1:4" x14ac:dyDescent="0.25">
      <c r="A2966" s="2" t="s">
        <v>3646</v>
      </c>
      <c r="B2966" s="2" t="s">
        <v>44</v>
      </c>
      <c r="C2966" s="31" t="str">
        <f>VLOOKUP(irregulares[[#This Row],[Similar a]],padroes[],2,0)</f>
        <v>CAR</v>
      </c>
      <c r="D2966" s="3"/>
    </row>
    <row r="2967" spans="1:4" x14ac:dyDescent="0.25">
      <c r="A2967" s="2" t="s">
        <v>3848</v>
      </c>
      <c r="B2967" s="2" t="s">
        <v>3848</v>
      </c>
      <c r="C2967" s="31" t="str">
        <f>VLOOKUP(irregulares[[#This Row],[Similar a]],padroes[],2,0)</f>
        <v>REUNIR</v>
      </c>
      <c r="D2967" s="3"/>
    </row>
    <row r="2968" spans="1:4" x14ac:dyDescent="0.25">
      <c r="A2968" s="2" t="s">
        <v>3849</v>
      </c>
      <c r="B2968" s="2" t="s">
        <v>1999</v>
      </c>
      <c r="C2968" s="31" t="str">
        <f>VLOOKUP(irregulares[[#This Row],[Similar a]],padroes[],2,0)</f>
        <v>E-X-IR</v>
      </c>
      <c r="D2968" s="3"/>
    </row>
    <row r="2969" spans="1:4" x14ac:dyDescent="0.25">
      <c r="A2969" s="2" t="s">
        <v>3850</v>
      </c>
      <c r="B2969" s="2" t="s">
        <v>250</v>
      </c>
      <c r="C2969" s="31" t="str">
        <f>VLOOKUP(irregulares[[#This Row],[Similar a]],padroes[],2,0)</f>
        <v>VER</v>
      </c>
      <c r="D2969" s="3"/>
    </row>
    <row r="2970" spans="1:4" x14ac:dyDescent="0.25">
      <c r="A2970" s="2" t="s">
        <v>3753</v>
      </c>
      <c r="B2970" s="2" t="s">
        <v>63</v>
      </c>
      <c r="C2970" s="31" t="str">
        <f>VLOOKUP(irregulares[[#This Row],[Similar a]],padroes[],2,0)</f>
        <v>CER</v>
      </c>
      <c r="D2970" s="3"/>
    </row>
    <row r="2971" spans="1:4" x14ac:dyDescent="0.25">
      <c r="A2971" s="2" t="s">
        <v>3708</v>
      </c>
      <c r="B2971" s="2" t="s">
        <v>1604</v>
      </c>
      <c r="C2971" s="31" t="str">
        <f>VLOOKUP(irregulares[[#This Row],[Similar a]],padroes[],2,0)</f>
        <v>Defectivo 3</v>
      </c>
      <c r="D2971" s="3"/>
    </row>
    <row r="2972" spans="1:4" x14ac:dyDescent="0.25">
      <c r="A2972" s="2" t="s">
        <v>3647</v>
      </c>
      <c r="B2972" s="2" t="s">
        <v>44</v>
      </c>
      <c r="C2972" s="31" t="str">
        <f>VLOOKUP(irregulares[[#This Row],[Similar a]],padroes[],2,0)</f>
        <v>CAR</v>
      </c>
      <c r="D2972" s="3"/>
    </row>
    <row r="2973" spans="1:4" x14ac:dyDescent="0.25">
      <c r="A2973" s="2" t="s">
        <v>3851</v>
      </c>
      <c r="B2973" s="2" t="s">
        <v>2069</v>
      </c>
      <c r="C2973" s="31" t="str">
        <f>VLOOKUP(irregulares[[#This Row],[Similar a]],padroes[],2,0)</f>
        <v>E-X-IR</v>
      </c>
      <c r="D2973" s="3"/>
    </row>
    <row r="2974" spans="1:4" x14ac:dyDescent="0.25">
      <c r="A2974" s="2" t="s">
        <v>3648</v>
      </c>
      <c r="B2974" s="2" t="s">
        <v>42</v>
      </c>
      <c r="C2974" s="31" t="str">
        <f>VLOOKUP(irregulares[[#This Row],[Similar a]],padroes[],2,0)</f>
        <v>ÇAR</v>
      </c>
      <c r="D2974" s="3"/>
    </row>
    <row r="2975" spans="1:4" x14ac:dyDescent="0.25">
      <c r="A2975" s="2" t="s">
        <v>3697</v>
      </c>
      <c r="B2975" s="2" t="s">
        <v>74</v>
      </c>
      <c r="C2975" s="31" t="str">
        <f>VLOOKUP(irregulares[[#This Row],[Similar a]],padroes[],2,0)</f>
        <v>GAR</v>
      </c>
      <c r="D2975" s="3"/>
    </row>
    <row r="2976" spans="1:4" x14ac:dyDescent="0.25">
      <c r="A2976" s="2" t="s">
        <v>3852</v>
      </c>
      <c r="B2976" s="2" t="s">
        <v>247</v>
      </c>
      <c r="C2976" s="31" t="str">
        <f>VLOOKUP(irregulares[[#This Row],[Similar a]],padroes[],2,0)</f>
        <v>VIR</v>
      </c>
      <c r="D2976" s="3"/>
    </row>
    <row r="2977" spans="1:4" x14ac:dyDescent="0.25">
      <c r="A2977" s="2" t="s">
        <v>3559</v>
      </c>
      <c r="B2977" s="2" t="s">
        <v>53</v>
      </c>
      <c r="C2977" s="31" t="str">
        <f>VLOOKUP(irregulares[[#This Row],[Similar a]],padroes[],2,0)</f>
        <v>EAR</v>
      </c>
      <c r="D2977" s="3"/>
    </row>
    <row r="2978" spans="1:4" x14ac:dyDescent="0.25">
      <c r="A2978" s="2" t="s">
        <v>3649</v>
      </c>
      <c r="B2978" s="2" t="s">
        <v>44</v>
      </c>
      <c r="C2978" s="31" t="str">
        <f>VLOOKUP(irregulares[[#This Row],[Similar a]],padroes[],2,0)</f>
        <v>CAR</v>
      </c>
      <c r="D2978" s="3"/>
    </row>
    <row r="2979" spans="1:4" x14ac:dyDescent="0.25">
      <c r="A2979" s="2" t="s">
        <v>3729</v>
      </c>
      <c r="B2979" s="2" t="s">
        <v>49</v>
      </c>
      <c r="C2979" s="31" t="str">
        <f>VLOOKUP(irregulares[[#This Row],[Similar a]],padroes[],2,0)</f>
        <v>OAR</v>
      </c>
      <c r="D2979" s="3"/>
    </row>
    <row r="2980" spans="1:4" x14ac:dyDescent="0.25">
      <c r="A2980" s="2" t="s">
        <v>3650</v>
      </c>
      <c r="B2980" s="2" t="s">
        <v>44</v>
      </c>
      <c r="C2980" s="31" t="str">
        <f>VLOOKUP(irregulares[[#This Row],[Similar a]],padroes[],2,0)</f>
        <v>CAR</v>
      </c>
      <c r="D2980" s="3"/>
    </row>
    <row r="2981" spans="1:4" x14ac:dyDescent="0.25">
      <c r="A2981" s="2" t="s">
        <v>3716</v>
      </c>
      <c r="B2981" s="2" t="s">
        <v>55</v>
      </c>
      <c r="C2981" s="31" t="str">
        <f>VLOOKUP(irregulares[[#This Row],[Similar a]],padroes[],2,0)</f>
        <v>EJAR ô</v>
      </c>
      <c r="D2981" s="3"/>
    </row>
    <row r="2982" spans="1:4" x14ac:dyDescent="0.25">
      <c r="A2982" s="2" t="s">
        <v>3698</v>
      </c>
      <c r="B2982" s="2" t="s">
        <v>74</v>
      </c>
      <c r="C2982" s="31" t="str">
        <f>VLOOKUP(irregulares[[#This Row],[Similar a]],padroes[],2,0)</f>
        <v>GAR</v>
      </c>
      <c r="D2982" s="3"/>
    </row>
    <row r="2983" spans="1:4" x14ac:dyDescent="0.25">
      <c r="A2983" s="2" t="s">
        <v>3651</v>
      </c>
      <c r="B2983" s="2" t="s">
        <v>44</v>
      </c>
      <c r="C2983" s="31" t="str">
        <f>VLOOKUP(irregulares[[#This Row],[Similar a]],padroes[],2,0)</f>
        <v>CAR</v>
      </c>
      <c r="D2983" s="3"/>
    </row>
    <row r="2984" spans="1:4" x14ac:dyDescent="0.25">
      <c r="A2984" s="2" t="s">
        <v>3560</v>
      </c>
      <c r="B2984" s="2" t="s">
        <v>53</v>
      </c>
      <c r="C2984" s="31" t="str">
        <f>VLOOKUP(irregulares[[#This Row],[Similar a]],padroes[],2,0)</f>
        <v>EAR</v>
      </c>
      <c r="D2984" s="3"/>
    </row>
    <row r="2985" spans="1:4" x14ac:dyDescent="0.25">
      <c r="A2985" s="2" t="s">
        <v>3561</v>
      </c>
      <c r="B2985" s="2" t="s">
        <v>53</v>
      </c>
      <c r="C2985" s="31" t="str">
        <f>VLOOKUP(irregulares[[#This Row],[Similar a]],padroes[],2,0)</f>
        <v>EAR</v>
      </c>
      <c r="D2985" s="3"/>
    </row>
    <row r="2986" spans="1:4" x14ac:dyDescent="0.25">
      <c r="A2986" s="2" t="s">
        <v>3699</v>
      </c>
      <c r="B2986" s="2" t="s">
        <v>74</v>
      </c>
      <c r="C2986" s="31" t="str">
        <f>VLOOKUP(irregulares[[#This Row],[Similar a]],padroes[],2,0)</f>
        <v>GAR</v>
      </c>
      <c r="D2986" s="3"/>
    </row>
    <row r="2987" spans="1:4" x14ac:dyDescent="0.25">
      <c r="A2987" s="2" t="s">
        <v>3562</v>
      </c>
      <c r="B2987" s="2" t="s">
        <v>53</v>
      </c>
      <c r="C2987" s="31" t="str">
        <f>VLOOKUP(irregulares[[#This Row],[Similar a]],padroes[],2,0)</f>
        <v>EAR</v>
      </c>
      <c r="D2987" s="3"/>
    </row>
    <row r="2988" spans="1:4" x14ac:dyDescent="0.25">
      <c r="A2988" s="2" t="s">
        <v>3652</v>
      </c>
      <c r="B2988" s="2" t="s">
        <v>42</v>
      </c>
      <c r="C2988" s="31" t="str">
        <f>VLOOKUP(irregulares[[#This Row],[Similar a]],padroes[],2,0)</f>
        <v>ÇAR</v>
      </c>
      <c r="D2988" s="3"/>
    </row>
    <row r="2989" spans="1:4" x14ac:dyDescent="0.25">
      <c r="A2989" s="2" t="s">
        <v>3563</v>
      </c>
      <c r="B2989" s="2" t="s">
        <v>53</v>
      </c>
      <c r="C2989" s="31" t="str">
        <f>VLOOKUP(irregulares[[#This Row],[Similar a]],padroes[],2,0)</f>
        <v>EAR</v>
      </c>
      <c r="D2989" s="3"/>
    </row>
    <row r="2990" spans="1:4" x14ac:dyDescent="0.25">
      <c r="A2990" s="2" t="s">
        <v>3653</v>
      </c>
      <c r="B2990" s="2" t="s">
        <v>44</v>
      </c>
      <c r="C2990" s="31" t="str">
        <f>VLOOKUP(irregulares[[#This Row],[Similar a]],padroes[],2,0)</f>
        <v>CAR</v>
      </c>
      <c r="D2990" s="3"/>
    </row>
    <row r="2991" spans="1:4" x14ac:dyDescent="0.25">
      <c r="A2991" s="2" t="s">
        <v>3654</v>
      </c>
      <c r="B2991" s="2" t="s">
        <v>42</v>
      </c>
      <c r="C2991" s="31" t="str">
        <f>VLOOKUP(irregulares[[#This Row],[Similar a]],padroes[],2,0)</f>
        <v>ÇAR</v>
      </c>
      <c r="D2991" s="3"/>
    </row>
    <row r="2992" spans="1:4" x14ac:dyDescent="0.25">
      <c r="A2992" s="2" t="s">
        <v>3853</v>
      </c>
      <c r="B2992" s="2" t="s">
        <v>157</v>
      </c>
      <c r="C2992" s="31" t="str">
        <f>VLOOKUP(irregulares[[#This Row],[Similar a]],padroes[],2,0)</f>
        <v>ELHAR</v>
      </c>
      <c r="D2992" s="3"/>
    </row>
    <row r="2993" spans="1:4" x14ac:dyDescent="0.25">
      <c r="A2993" s="2" t="s">
        <v>3854</v>
      </c>
      <c r="B2993" s="2" t="s">
        <v>154</v>
      </c>
      <c r="C2993" s="31" t="str">
        <f>VLOOKUP(irregulares[[#This Row],[Similar a]],padroes[],2,0)</f>
        <v>GIR</v>
      </c>
      <c r="D2993" s="3"/>
    </row>
    <row r="2994" spans="1:4" x14ac:dyDescent="0.25">
      <c r="A2994" s="2" t="s">
        <v>2406</v>
      </c>
      <c r="B2994" s="2" t="s">
        <v>2406</v>
      </c>
      <c r="C2994" s="31" t="str">
        <f>VLOOKUP(irregulares[[#This Row],[Similar a]],padroes[],2,0)</f>
        <v>RIR</v>
      </c>
      <c r="D2994" s="3"/>
    </row>
    <row r="2995" spans="1:4" x14ac:dyDescent="0.25">
      <c r="A2995" s="2" t="s">
        <v>3655</v>
      </c>
      <c r="B2995" s="2" t="s">
        <v>44</v>
      </c>
      <c r="C2995" s="31" t="str">
        <f>VLOOKUP(irregulares[[#This Row],[Similar a]],padroes[],2,0)</f>
        <v>CAR</v>
      </c>
      <c r="D2995" s="3"/>
    </row>
    <row r="2996" spans="1:4" x14ac:dyDescent="0.25">
      <c r="A2996" s="2" t="s">
        <v>3754</v>
      </c>
      <c r="B2996" s="2" t="s">
        <v>63</v>
      </c>
      <c r="C2996" s="31" t="str">
        <f>VLOOKUP(irregulares[[#This Row],[Similar a]],padroes[],2,0)</f>
        <v>CER</v>
      </c>
      <c r="D2996" s="3"/>
    </row>
    <row r="2997" spans="1:4" x14ac:dyDescent="0.25">
      <c r="A2997" s="2" t="s">
        <v>3700</v>
      </c>
      <c r="B2997" s="2" t="s">
        <v>74</v>
      </c>
      <c r="C2997" s="31" t="str">
        <f>VLOOKUP(irregulares[[#This Row],[Similar a]],padroes[],2,0)</f>
        <v>GAR</v>
      </c>
      <c r="D2997" s="3"/>
    </row>
    <row r="2998" spans="1:4" x14ac:dyDescent="0.25">
      <c r="A2998" s="2" t="s">
        <v>3656</v>
      </c>
      <c r="B2998" s="2" t="s">
        <v>44</v>
      </c>
      <c r="C2998" s="31" t="str">
        <f>VLOOKUP(irregulares[[#This Row],[Similar a]],padroes[],2,0)</f>
        <v>CAR</v>
      </c>
      <c r="D2998" s="3"/>
    </row>
    <row r="2999" spans="1:4" x14ac:dyDescent="0.25">
      <c r="A2999" s="2" t="s">
        <v>3657</v>
      </c>
      <c r="B2999" s="2" t="s">
        <v>42</v>
      </c>
      <c r="C2999" s="31" t="str">
        <f>VLOOKUP(irregulares[[#This Row],[Similar a]],padroes[],2,0)</f>
        <v>ÇAR</v>
      </c>
      <c r="D2999" s="3"/>
    </row>
    <row r="3000" spans="1:4" x14ac:dyDescent="0.25">
      <c r="A3000" s="2" t="s">
        <v>3701</v>
      </c>
      <c r="B3000" s="2" t="s">
        <v>60</v>
      </c>
      <c r="C3000" s="31" t="str">
        <f>VLOOKUP(irregulares[[#This Row],[Similar a]],padroes[],2,0)</f>
        <v>GAR</v>
      </c>
      <c r="D3000" s="3"/>
    </row>
    <row r="3001" spans="1:4" x14ac:dyDescent="0.25">
      <c r="A3001" s="2" t="s">
        <v>3564</v>
      </c>
      <c r="B3001" s="2" t="s">
        <v>53</v>
      </c>
      <c r="C3001" s="31" t="str">
        <f>VLOOKUP(irregulares[[#This Row],[Similar a]],padroes[],2,0)</f>
        <v>EAR</v>
      </c>
      <c r="D3001" s="3"/>
    </row>
    <row r="3002" spans="1:4" x14ac:dyDescent="0.25">
      <c r="A3002" s="2" t="s">
        <v>3855</v>
      </c>
      <c r="B3002" s="2" t="s">
        <v>3259</v>
      </c>
      <c r="C3002" s="31" t="str">
        <f>VLOOKUP(irregulares[[#This Row],[Similar a]],padroes[],2,0)</f>
        <v>OER</v>
      </c>
      <c r="D3002" s="3"/>
    </row>
    <row r="3003" spans="1:4" x14ac:dyDescent="0.25">
      <c r="A3003" s="2" t="s">
        <v>3702</v>
      </c>
      <c r="B3003" s="2" t="s">
        <v>74</v>
      </c>
      <c r="C3003" s="31" t="str">
        <f>VLOOKUP(irregulares[[#This Row],[Similar a]],padroes[],2,0)</f>
        <v>GAR</v>
      </c>
      <c r="D3003" s="3"/>
    </row>
    <row r="3004" spans="1:4" x14ac:dyDescent="0.25">
      <c r="A3004" s="2" t="s">
        <v>3565</v>
      </c>
      <c r="B3004" s="2" t="s">
        <v>53</v>
      </c>
      <c r="C3004" s="31" t="str">
        <f>VLOOKUP(irregulares[[#This Row],[Similar a]],padroes[],2,0)</f>
        <v>EAR</v>
      </c>
      <c r="D3004" s="3"/>
    </row>
    <row r="3005" spans="1:4" x14ac:dyDescent="0.25">
      <c r="A3005" s="2" t="s">
        <v>3566</v>
      </c>
      <c r="B3005" s="2" t="s">
        <v>53</v>
      </c>
      <c r="C3005" s="31" t="str">
        <f>VLOOKUP(irregulares[[#This Row],[Similar a]],padroes[],2,0)</f>
        <v>EAR</v>
      </c>
      <c r="D3005" s="3"/>
    </row>
    <row r="3006" spans="1:4" x14ac:dyDescent="0.25">
      <c r="A3006" s="2" t="s">
        <v>3658</v>
      </c>
      <c r="B3006" s="2" t="s">
        <v>44</v>
      </c>
      <c r="C3006" s="31" t="str">
        <f>VLOOKUP(irregulares[[#This Row],[Similar a]],padroes[],2,0)</f>
        <v>CAR</v>
      </c>
      <c r="D3006" s="3"/>
    </row>
    <row r="3007" spans="1:4" x14ac:dyDescent="0.25">
      <c r="A3007" s="2" t="s">
        <v>3567</v>
      </c>
      <c r="B3007" s="2" t="s">
        <v>53</v>
      </c>
      <c r="C3007" s="31" t="str">
        <f>VLOOKUP(irregulares[[#This Row],[Similar a]],padroes[],2,0)</f>
        <v>EAR</v>
      </c>
      <c r="D3007" s="3"/>
    </row>
    <row r="3008" spans="1:4" x14ac:dyDescent="0.25">
      <c r="A3008" s="2" t="s">
        <v>3568</v>
      </c>
      <c r="B3008" s="2" t="s">
        <v>53</v>
      </c>
      <c r="C3008" s="31" t="str">
        <f>VLOOKUP(irregulares[[#This Row],[Similar a]],padroes[],2,0)</f>
        <v>EAR</v>
      </c>
      <c r="D3008" s="3"/>
    </row>
    <row r="3009" spans="1:4" x14ac:dyDescent="0.25">
      <c r="A3009" s="2" t="s">
        <v>3569</v>
      </c>
      <c r="B3009" s="2" t="s">
        <v>53</v>
      </c>
      <c r="C3009" s="31" t="str">
        <f>VLOOKUP(irregulares[[#This Row],[Similar a]],padroes[],2,0)</f>
        <v>EAR</v>
      </c>
      <c r="D3009" s="3"/>
    </row>
    <row r="3010" spans="1:4" x14ac:dyDescent="0.25">
      <c r="A3010" s="2" t="s">
        <v>3717</v>
      </c>
      <c r="B3010" s="2" t="s">
        <v>55</v>
      </c>
      <c r="C3010" s="31" t="str">
        <f>VLOOKUP(irregulares[[#This Row],[Similar a]],padroes[],2,0)</f>
        <v>EJAR ô</v>
      </c>
      <c r="D3010" s="3"/>
    </row>
    <row r="3011" spans="1:4" x14ac:dyDescent="0.25">
      <c r="A3011" s="2" t="s">
        <v>3659</v>
      </c>
      <c r="B3011" s="2" t="s">
        <v>44</v>
      </c>
      <c r="C3011" s="31" t="str">
        <f>VLOOKUP(irregulares[[#This Row],[Similar a]],padroes[],2,0)</f>
        <v>CAR</v>
      </c>
      <c r="D3011" s="3"/>
    </row>
    <row r="3012" spans="1:4" x14ac:dyDescent="0.25">
      <c r="A3012" s="2" t="s">
        <v>3570</v>
      </c>
      <c r="B3012" s="2" t="s">
        <v>53</v>
      </c>
      <c r="C3012" s="31" t="str">
        <f>VLOOKUP(irregulares[[#This Row],[Similar a]],padroes[],2,0)</f>
        <v>EAR</v>
      </c>
      <c r="D3012" s="3"/>
    </row>
    <row r="3013" spans="1:4" x14ac:dyDescent="0.25">
      <c r="A3013" s="2" t="s">
        <v>3571</v>
      </c>
      <c r="B3013" s="2" t="s">
        <v>53</v>
      </c>
      <c r="C3013" s="31" t="str">
        <f>VLOOKUP(irregulares[[#This Row],[Similar a]],padroes[],2,0)</f>
        <v>EAR</v>
      </c>
      <c r="D3013" s="3"/>
    </row>
    <row r="3014" spans="1:4" x14ac:dyDescent="0.25">
      <c r="A3014" s="2" t="s">
        <v>3572</v>
      </c>
      <c r="B3014" s="2" t="s">
        <v>53</v>
      </c>
      <c r="C3014" s="31" t="str">
        <f>VLOOKUP(irregulares[[#This Row],[Similar a]],padroes[],2,0)</f>
        <v>EAR</v>
      </c>
      <c r="D3014" s="3"/>
    </row>
    <row r="3015" spans="1:4" x14ac:dyDescent="0.25">
      <c r="A3015" s="2" t="s">
        <v>3573</v>
      </c>
      <c r="B3015" s="2" t="s">
        <v>53</v>
      </c>
      <c r="C3015" s="31" t="str">
        <f>VLOOKUP(irregulares[[#This Row],[Similar a]],padroes[],2,0)</f>
        <v>EAR</v>
      </c>
      <c r="D3015" s="3"/>
    </row>
    <row r="3016" spans="1:4" x14ac:dyDescent="0.25">
      <c r="A3016" s="2" t="s">
        <v>3574</v>
      </c>
      <c r="B3016" s="2" t="s">
        <v>53</v>
      </c>
      <c r="C3016" s="31" t="str">
        <f>VLOOKUP(irregulares[[#This Row],[Similar a]],padroes[],2,0)</f>
        <v>EAR</v>
      </c>
      <c r="D3016" s="3"/>
    </row>
    <row r="3017" spans="1:4" x14ac:dyDescent="0.25">
      <c r="A3017" s="2" t="s">
        <v>3718</v>
      </c>
      <c r="B3017" s="2" t="s">
        <v>55</v>
      </c>
      <c r="C3017" s="31" t="str">
        <f>VLOOKUP(irregulares[[#This Row],[Similar a]],padroes[],2,0)</f>
        <v>EJAR ô</v>
      </c>
      <c r="D3017" s="3"/>
    </row>
    <row r="3018" spans="1:4" x14ac:dyDescent="0.25">
      <c r="A3018" s="2" t="s">
        <v>3575</v>
      </c>
      <c r="B3018" s="2" t="s">
        <v>53</v>
      </c>
      <c r="C3018" s="31" t="str">
        <f>VLOOKUP(irregulares[[#This Row],[Similar a]],padroes[],2,0)</f>
        <v>EAR</v>
      </c>
      <c r="D3018" s="3"/>
    </row>
    <row r="3019" spans="1:4" x14ac:dyDescent="0.25">
      <c r="A3019" s="2" t="s">
        <v>3576</v>
      </c>
      <c r="B3019" s="2" t="s">
        <v>53</v>
      </c>
      <c r="C3019" s="31" t="str">
        <f>VLOOKUP(irregulares[[#This Row],[Similar a]],padroes[],2,0)</f>
        <v>EAR</v>
      </c>
      <c r="D3019" s="3"/>
    </row>
    <row r="3020" spans="1:4" x14ac:dyDescent="0.25">
      <c r="A3020" s="2" t="s">
        <v>3755</v>
      </c>
      <c r="B3020" s="2" t="s">
        <v>63</v>
      </c>
      <c r="C3020" s="31" t="str">
        <f>VLOOKUP(irregulares[[#This Row],[Similar a]],padroes[],2,0)</f>
        <v>CER</v>
      </c>
      <c r="D3020" s="3"/>
    </row>
    <row r="3021" spans="1:4" x14ac:dyDescent="0.25">
      <c r="A3021" s="2" t="s">
        <v>3756</v>
      </c>
      <c r="B3021" s="2" t="s">
        <v>63</v>
      </c>
      <c r="C3021" s="31" t="str">
        <f>VLOOKUP(irregulares[[#This Row],[Similar a]],padroes[],2,0)</f>
        <v>CER</v>
      </c>
      <c r="D3021" s="3"/>
    </row>
    <row r="3022" spans="1:4" x14ac:dyDescent="0.25">
      <c r="A3022" s="2" t="s">
        <v>3660</v>
      </c>
      <c r="B3022" s="2" t="s">
        <v>44</v>
      </c>
      <c r="C3022" s="31" t="str">
        <f>VLOOKUP(irregulares[[#This Row],[Similar a]],padroes[],2,0)</f>
        <v>CAR</v>
      </c>
      <c r="D3022" s="3"/>
    </row>
    <row r="3023" spans="1:4" x14ac:dyDescent="0.25">
      <c r="A3023" s="2" t="s">
        <v>3661</v>
      </c>
      <c r="B3023" s="2" t="s">
        <v>42</v>
      </c>
      <c r="C3023" s="31" t="str">
        <f>VLOOKUP(irregulares[[#This Row],[Similar a]],padroes[],2,0)</f>
        <v>ÇAR</v>
      </c>
      <c r="D3023" s="3"/>
    </row>
    <row r="3024" spans="1:4" x14ac:dyDescent="0.25">
      <c r="A3024" s="2" t="s">
        <v>3703</v>
      </c>
      <c r="B3024" s="2" t="s">
        <v>74</v>
      </c>
      <c r="C3024" s="31" t="str">
        <f>VLOOKUP(irregulares[[#This Row],[Similar a]],padroes[],2,0)</f>
        <v>GAR</v>
      </c>
      <c r="D3024" s="3"/>
    </row>
    <row r="3025" spans="1:4" x14ac:dyDescent="0.25">
      <c r="A3025" s="2" t="s">
        <v>3856</v>
      </c>
      <c r="B3025" s="2" t="s">
        <v>1444</v>
      </c>
      <c r="C3025" s="31" t="str">
        <f>VLOOKUP(irregulares[[#This Row],[Similar a]],padroes[],2,0)</f>
        <v>Defectivo 3</v>
      </c>
      <c r="D3025" s="3"/>
    </row>
    <row r="3026" spans="1:4" x14ac:dyDescent="0.25">
      <c r="A3026" s="2" t="s">
        <v>3857</v>
      </c>
      <c r="B3026" s="2" t="s">
        <v>3857</v>
      </c>
      <c r="C3026" s="31" t="str">
        <f>VLOOKUP(irregulares[[#This Row],[Similar a]],padroes[],2,0)</f>
        <v>Defectivo 1</v>
      </c>
      <c r="D3026" s="3"/>
    </row>
    <row r="3027" spans="1:4" x14ac:dyDescent="0.25">
      <c r="A3027" s="2" t="s">
        <v>3577</v>
      </c>
      <c r="B3027" s="2" t="s">
        <v>53</v>
      </c>
      <c r="C3027" s="31" t="str">
        <f>VLOOKUP(irregulares[[#This Row],[Similar a]],padroes[],2,0)</f>
        <v>EAR</v>
      </c>
      <c r="D3027" s="3"/>
    </row>
    <row r="3028" spans="1:4" x14ac:dyDescent="0.25">
      <c r="A3028" s="2" t="s">
        <v>3719</v>
      </c>
      <c r="B3028" s="2" t="s">
        <v>55</v>
      </c>
      <c r="C3028" s="31" t="str">
        <f>VLOOKUP(irregulares[[#This Row],[Similar a]],padroes[],2,0)</f>
        <v>EJAR ô</v>
      </c>
      <c r="D3028" s="3"/>
    </row>
    <row r="3029" spans="1:4" x14ac:dyDescent="0.25">
      <c r="A3029" s="2" t="s">
        <v>3704</v>
      </c>
      <c r="B3029" s="2" t="s">
        <v>74</v>
      </c>
      <c r="C3029" s="31" t="str">
        <f>VLOOKUP(irregulares[[#This Row],[Similar a]],padroes[],2,0)</f>
        <v>GAR</v>
      </c>
      <c r="D3029" s="3"/>
    </row>
    <row r="3030" spans="1:4" x14ac:dyDescent="0.25">
      <c r="A3030" s="2" t="s">
        <v>3662</v>
      </c>
      <c r="B3030" s="2" t="s">
        <v>44</v>
      </c>
      <c r="C3030" s="31" t="str">
        <f>VLOOKUP(irregulares[[#This Row],[Similar a]],padroes[],2,0)</f>
        <v>CAR</v>
      </c>
      <c r="D3030" s="3"/>
    </row>
    <row r="3031" spans="1:4" x14ac:dyDescent="0.25">
      <c r="A3031" s="2" t="s">
        <v>3663</v>
      </c>
      <c r="B3031" s="2" t="s">
        <v>44</v>
      </c>
      <c r="C3031" s="31" t="str">
        <f>VLOOKUP(irregulares[[#This Row],[Similar a]],padroes[],2,0)</f>
        <v>CAR</v>
      </c>
      <c r="D3031" s="3"/>
    </row>
    <row r="3032" spans="1:4" x14ac:dyDescent="0.25">
      <c r="A3032" s="2" t="s">
        <v>2248</v>
      </c>
      <c r="B3032" s="2" t="s">
        <v>53</v>
      </c>
      <c r="C3032" s="31" t="str">
        <f>VLOOKUP(irregulares[[#This Row],[Similar a]],padroes[],2,0)</f>
        <v>EAR</v>
      </c>
      <c r="D3032" s="3"/>
    </row>
    <row r="3033" spans="1:4" x14ac:dyDescent="0.25">
      <c r="A3033" s="2" t="s">
        <v>2249</v>
      </c>
      <c r="B3033" s="2" t="s">
        <v>2249</v>
      </c>
      <c r="C3033" s="31" t="str">
        <f>VLOOKUP(irregulares[[#This Row],[Similar a]],padroes[],2,0)</f>
        <v>SABER</v>
      </c>
      <c r="D3033" s="3"/>
    </row>
    <row r="3034" spans="1:4" x14ac:dyDescent="0.25">
      <c r="A3034" s="2" t="s">
        <v>2250</v>
      </c>
      <c r="B3034" s="2" t="s">
        <v>44</v>
      </c>
      <c r="C3034" s="31" t="str">
        <f>VLOOKUP(irregulares[[#This Row],[Similar a]],padroes[],2,0)</f>
        <v>CAR</v>
      </c>
      <c r="D3034" s="3"/>
    </row>
    <row r="3035" spans="1:4" x14ac:dyDescent="0.25">
      <c r="A3035" s="2" t="s">
        <v>2251</v>
      </c>
      <c r="B3035" s="2" t="s">
        <v>44</v>
      </c>
      <c r="C3035" s="31" t="str">
        <f>VLOOKUP(irregulares[[#This Row],[Similar a]],padroes[],2,0)</f>
        <v>CAR</v>
      </c>
      <c r="D3035" s="3"/>
    </row>
    <row r="3036" spans="1:4" x14ac:dyDescent="0.25">
      <c r="A3036" s="2" t="s">
        <v>2252</v>
      </c>
      <c r="B3036" s="2" t="s">
        <v>53</v>
      </c>
      <c r="C3036" s="31" t="str">
        <f>VLOOKUP(irregulares[[#This Row],[Similar a]],padroes[],2,0)</f>
        <v>EAR</v>
      </c>
      <c r="D3036" s="3"/>
    </row>
    <row r="3037" spans="1:4" x14ac:dyDescent="0.25">
      <c r="A3037" s="2" t="s">
        <v>2253</v>
      </c>
      <c r="B3037" s="2" t="s">
        <v>44</v>
      </c>
      <c r="C3037" s="31" t="str">
        <f>VLOOKUP(irregulares[[#This Row],[Similar a]],padroes[],2,0)</f>
        <v>CAR</v>
      </c>
      <c r="D3037" s="3"/>
    </row>
    <row r="3038" spans="1:4" x14ac:dyDescent="0.25">
      <c r="A3038" s="2" t="s">
        <v>2254</v>
      </c>
      <c r="B3038" s="2" t="s">
        <v>44</v>
      </c>
      <c r="C3038" s="31" t="str">
        <f>VLOOKUP(irregulares[[#This Row],[Similar a]],padroes[],2,0)</f>
        <v>CAR</v>
      </c>
      <c r="D3038" s="3"/>
    </row>
    <row r="3039" spans="1:4" x14ac:dyDescent="0.25">
      <c r="A3039" s="2" t="s">
        <v>2255</v>
      </c>
      <c r="B3039" s="2" t="s">
        <v>74</v>
      </c>
      <c r="C3039" s="31" t="str">
        <f>VLOOKUP(irregulares[[#This Row],[Similar a]],padroes[],2,0)</f>
        <v>GAR</v>
      </c>
      <c r="D3039" s="3"/>
    </row>
    <row r="3040" spans="1:4" x14ac:dyDescent="0.25">
      <c r="A3040" s="2" t="s">
        <v>2256</v>
      </c>
      <c r="B3040" s="2" t="s">
        <v>53</v>
      </c>
      <c r="C3040" s="31" t="str">
        <f>VLOOKUP(irregulares[[#This Row],[Similar a]],padroes[],2,0)</f>
        <v>EAR</v>
      </c>
      <c r="D3040" s="3"/>
    </row>
    <row r="3041" spans="1:4" x14ac:dyDescent="0.25">
      <c r="A3041" s="2" t="s">
        <v>2257</v>
      </c>
      <c r="B3041" s="2" t="s">
        <v>44</v>
      </c>
      <c r="C3041" s="31" t="str">
        <f>VLOOKUP(irregulares[[#This Row],[Similar a]],padroes[],2,0)</f>
        <v>CAR</v>
      </c>
      <c r="D3041" s="3"/>
    </row>
    <row r="3042" spans="1:4" x14ac:dyDescent="0.25">
      <c r="A3042" s="2" t="s">
        <v>2258</v>
      </c>
      <c r="B3042" s="2" t="s">
        <v>44</v>
      </c>
      <c r="C3042" s="31" t="str">
        <f>VLOOKUP(irregulares[[#This Row],[Similar a]],padroes[],2,0)</f>
        <v>CAR</v>
      </c>
      <c r="D3042" s="3"/>
    </row>
    <row r="3043" spans="1:4" x14ac:dyDescent="0.25">
      <c r="A3043" s="2" t="s">
        <v>2259</v>
      </c>
      <c r="B3043" s="2" t="s">
        <v>44</v>
      </c>
      <c r="C3043" s="31" t="str">
        <f>VLOOKUP(irregulares[[#This Row],[Similar a]],padroes[],2,0)</f>
        <v>CAR</v>
      </c>
      <c r="D3043" s="3"/>
    </row>
    <row r="3044" spans="1:4" x14ac:dyDescent="0.25">
      <c r="A3044" s="2" t="s">
        <v>2260</v>
      </c>
      <c r="B3044" s="2" t="s">
        <v>55</v>
      </c>
      <c r="C3044" s="31" t="str">
        <f>VLOOKUP(irregulares[[#This Row],[Similar a]],padroes[],2,0)</f>
        <v>EJAR ô</v>
      </c>
      <c r="D3044" s="3"/>
    </row>
    <row r="3045" spans="1:4" x14ac:dyDescent="0.25">
      <c r="A3045" s="2" t="s">
        <v>2261</v>
      </c>
      <c r="B3045" s="2" t="s">
        <v>44</v>
      </c>
      <c r="C3045" s="31" t="str">
        <f>VLOOKUP(irregulares[[#This Row],[Similar a]],padroes[],2,0)</f>
        <v>CAR</v>
      </c>
      <c r="D3045" s="3"/>
    </row>
    <row r="3046" spans="1:4" x14ac:dyDescent="0.25">
      <c r="A3046" s="2" t="s">
        <v>2262</v>
      </c>
      <c r="B3046" s="2" t="s">
        <v>171</v>
      </c>
      <c r="C3046" s="31" t="str">
        <f>VLOOKUP(irregulares[[#This Row],[Similar a]],padroes[],2,0)</f>
        <v>O-X-IR</v>
      </c>
      <c r="D3046" s="3"/>
    </row>
    <row r="3047" spans="1:4" x14ac:dyDescent="0.25">
      <c r="A3047" s="2" t="s">
        <v>2263</v>
      </c>
      <c r="B3047" s="2" t="s">
        <v>55</v>
      </c>
      <c r="C3047" s="31" t="str">
        <f>VLOOKUP(irregulares[[#This Row],[Similar a]],padroes[],2,0)</f>
        <v>EJAR ô</v>
      </c>
      <c r="D3047" s="3"/>
    </row>
    <row r="3048" spans="1:4" x14ac:dyDescent="0.25">
      <c r="A3048" s="2" t="s">
        <v>988</v>
      </c>
      <c r="B3048" s="2" t="s">
        <v>988</v>
      </c>
      <c r="C3048" s="31" t="str">
        <f>VLOOKUP(irregulares[[#This Row],[Similar a]],padroes[],2,0)</f>
        <v>AIR</v>
      </c>
      <c r="D3048" s="3"/>
    </row>
    <row r="3049" spans="1:4" x14ac:dyDescent="0.25">
      <c r="A3049" s="2" t="s">
        <v>2264</v>
      </c>
      <c r="B3049" s="2" t="s">
        <v>74</v>
      </c>
      <c r="C3049" s="31" t="str">
        <f>VLOOKUP(irregulares[[#This Row],[Similar a]],padroes[],2,0)</f>
        <v>GAR</v>
      </c>
      <c r="D3049" s="3"/>
    </row>
    <row r="3050" spans="1:4" x14ac:dyDescent="0.25">
      <c r="A3050" s="2" t="s">
        <v>2265</v>
      </c>
      <c r="B3050" s="2" t="s">
        <v>44</v>
      </c>
      <c r="C3050" s="31" t="str">
        <f>VLOOKUP(irregulares[[#This Row],[Similar a]],padroes[],2,0)</f>
        <v>CAR</v>
      </c>
      <c r="D3050" s="3"/>
    </row>
    <row r="3051" spans="1:4" x14ac:dyDescent="0.25">
      <c r="A3051" s="2" t="s">
        <v>2266</v>
      </c>
      <c r="B3051" s="2" t="s">
        <v>53</v>
      </c>
      <c r="C3051" s="31" t="str">
        <f>VLOOKUP(irregulares[[#This Row],[Similar a]],padroes[],2,0)</f>
        <v>EAR</v>
      </c>
      <c r="D3051" s="3"/>
    </row>
    <row r="3052" spans="1:4" x14ac:dyDescent="0.25">
      <c r="A3052" s="2" t="s">
        <v>2267</v>
      </c>
      <c r="B3052" s="2" t="s">
        <v>44</v>
      </c>
      <c r="C3052" s="31" t="str">
        <f>VLOOKUP(irregulares[[#This Row],[Similar a]],padroes[],2,0)</f>
        <v>CAR</v>
      </c>
      <c r="D3052" s="3"/>
    </row>
    <row r="3053" spans="1:4" x14ac:dyDescent="0.25">
      <c r="A3053" s="2" t="s">
        <v>2268</v>
      </c>
      <c r="B3053" s="2" t="s">
        <v>44</v>
      </c>
      <c r="C3053" s="31" t="str">
        <f>VLOOKUP(irregulares[[#This Row],[Similar a]],padroes[],2,0)</f>
        <v>CAR</v>
      </c>
      <c r="D3053" s="3"/>
    </row>
    <row r="3054" spans="1:4" x14ac:dyDescent="0.25">
      <c r="A3054" s="2" t="s">
        <v>2269</v>
      </c>
      <c r="B3054" s="2" t="s">
        <v>53</v>
      </c>
      <c r="C3054" s="31" t="str">
        <f>VLOOKUP(irregulares[[#This Row],[Similar a]],padroes[],2,0)</f>
        <v>EAR</v>
      </c>
      <c r="D3054" s="3"/>
    </row>
    <row r="3055" spans="1:4" x14ac:dyDescent="0.25">
      <c r="A3055" s="2" t="s">
        <v>2270</v>
      </c>
      <c r="B3055" s="2" t="s">
        <v>44</v>
      </c>
      <c r="C3055" s="31" t="str">
        <f>VLOOKUP(irregulares[[#This Row],[Similar a]],padroes[],2,0)</f>
        <v>CAR</v>
      </c>
      <c r="D3055" s="3"/>
    </row>
    <row r="3056" spans="1:4" x14ac:dyDescent="0.25">
      <c r="A3056" s="2" t="s">
        <v>2271</v>
      </c>
      <c r="B3056" s="2" t="s">
        <v>42</v>
      </c>
      <c r="C3056" s="31" t="str">
        <f>VLOOKUP(irregulares[[#This Row],[Similar a]],padroes[],2,0)</f>
        <v>ÇAR</v>
      </c>
      <c r="D3056" s="3"/>
    </row>
    <row r="3057" spans="1:4" x14ac:dyDescent="0.25">
      <c r="A3057" s="2" t="s">
        <v>2272</v>
      </c>
      <c r="B3057" s="2" t="s">
        <v>74</v>
      </c>
      <c r="C3057" s="31" t="str">
        <f>VLOOKUP(irregulares[[#This Row],[Similar a]],padroes[],2,0)</f>
        <v>GAR</v>
      </c>
      <c r="D3057" s="3"/>
    </row>
    <row r="3058" spans="1:4" x14ac:dyDescent="0.25">
      <c r="A3058" s="2" t="s">
        <v>2273</v>
      </c>
      <c r="B3058" s="2" t="s">
        <v>53</v>
      </c>
      <c r="C3058" s="31" t="str">
        <f>VLOOKUP(irregulares[[#This Row],[Similar a]],padroes[],2,0)</f>
        <v>EAR</v>
      </c>
      <c r="D3058" s="3"/>
    </row>
    <row r="3059" spans="1:4" x14ac:dyDescent="0.25">
      <c r="A3059" s="2" t="s">
        <v>2274</v>
      </c>
      <c r="B3059" s="2" t="s">
        <v>44</v>
      </c>
      <c r="C3059" s="31" t="str">
        <f>VLOOKUP(irregulares[[#This Row],[Similar a]],padroes[],2,0)</f>
        <v>CAR</v>
      </c>
      <c r="D3059" s="3"/>
    </row>
    <row r="3060" spans="1:4" x14ac:dyDescent="0.25">
      <c r="A3060" s="2" t="s">
        <v>2275</v>
      </c>
      <c r="B3060" s="2" t="s">
        <v>53</v>
      </c>
      <c r="C3060" s="31" t="str">
        <f>VLOOKUP(irregulares[[#This Row],[Similar a]],padroes[],2,0)</f>
        <v>EAR</v>
      </c>
      <c r="D3060" s="3"/>
    </row>
    <row r="3061" spans="1:4" x14ac:dyDescent="0.25">
      <c r="A3061" s="2" t="s">
        <v>2276</v>
      </c>
      <c r="B3061" s="2" t="s">
        <v>55</v>
      </c>
      <c r="C3061" s="31" t="str">
        <f>VLOOKUP(irregulares[[#This Row],[Similar a]],padroes[],2,0)</f>
        <v>EJAR ô</v>
      </c>
      <c r="D3061" s="3"/>
    </row>
    <row r="3062" spans="1:4" x14ac:dyDescent="0.25">
      <c r="A3062" s="2" t="s">
        <v>2277</v>
      </c>
      <c r="B3062" s="2" t="s">
        <v>53</v>
      </c>
      <c r="C3062" s="31" t="str">
        <f>VLOOKUP(irregulares[[#This Row],[Similar a]],padroes[],2,0)</f>
        <v>EAR</v>
      </c>
      <c r="D3062" s="3"/>
    </row>
    <row r="3063" spans="1:4" x14ac:dyDescent="0.25">
      <c r="A3063" s="2" t="s">
        <v>2278</v>
      </c>
      <c r="B3063" s="2" t="s">
        <v>44</v>
      </c>
      <c r="C3063" s="31" t="str">
        <f>VLOOKUP(irregulares[[#This Row],[Similar a]],padroes[],2,0)</f>
        <v>CAR</v>
      </c>
      <c r="D3063" s="3"/>
    </row>
    <row r="3064" spans="1:4" x14ac:dyDescent="0.25">
      <c r="A3064" s="2" t="s">
        <v>2279</v>
      </c>
      <c r="B3064" s="2" t="s">
        <v>44</v>
      </c>
      <c r="C3064" s="31" t="str">
        <f>VLOOKUP(irregulares[[#This Row],[Similar a]],padroes[],2,0)</f>
        <v>CAR</v>
      </c>
      <c r="D3064" s="3"/>
    </row>
    <row r="3065" spans="1:4" x14ac:dyDescent="0.25">
      <c r="A3065" s="2" t="s">
        <v>2280</v>
      </c>
      <c r="B3065" s="2" t="s">
        <v>44</v>
      </c>
      <c r="C3065" s="31" t="str">
        <f>VLOOKUP(irregulares[[#This Row],[Similar a]],padroes[],2,0)</f>
        <v>CAR</v>
      </c>
      <c r="D3065" s="3"/>
    </row>
    <row r="3066" spans="1:4" x14ac:dyDescent="0.25">
      <c r="A3066" s="2" t="s">
        <v>2281</v>
      </c>
      <c r="B3066" s="2" t="s">
        <v>74</v>
      </c>
      <c r="C3066" s="31" t="str">
        <f>VLOOKUP(irregulares[[#This Row],[Similar a]],padroes[],2,0)</f>
        <v>GAR</v>
      </c>
      <c r="D3066" s="3"/>
    </row>
    <row r="3067" spans="1:4" x14ac:dyDescent="0.25">
      <c r="A3067" s="2" t="s">
        <v>2282</v>
      </c>
      <c r="B3067" s="2" t="s">
        <v>434</v>
      </c>
      <c r="C3067" s="31" t="str">
        <f>VLOOKUP(irregulares[[#This Row],[Similar a]],padroes[],2,0)</f>
        <v>GUAR</v>
      </c>
      <c r="D3067" s="3"/>
    </row>
    <row r="3068" spans="1:4" x14ac:dyDescent="0.25">
      <c r="A3068" s="2" t="s">
        <v>2283</v>
      </c>
      <c r="B3068" s="2" t="s">
        <v>53</v>
      </c>
      <c r="C3068" s="31" t="str">
        <f>VLOOKUP(irregulares[[#This Row],[Similar a]],padroes[],2,0)</f>
        <v>EAR</v>
      </c>
      <c r="D3068" s="3"/>
    </row>
    <row r="3069" spans="1:4" x14ac:dyDescent="0.25">
      <c r="A3069" s="2" t="s">
        <v>2284</v>
      </c>
      <c r="B3069" s="2" t="s">
        <v>53</v>
      </c>
      <c r="C3069" s="31" t="str">
        <f>VLOOKUP(irregulares[[#This Row],[Similar a]],padroes[],2,0)</f>
        <v>EAR</v>
      </c>
      <c r="D3069" s="3"/>
    </row>
    <row r="3070" spans="1:4" x14ac:dyDescent="0.25">
      <c r="A3070" s="2" t="s">
        <v>2285</v>
      </c>
      <c r="B3070" s="2" t="s">
        <v>44</v>
      </c>
      <c r="C3070" s="31" t="str">
        <f>VLOOKUP(irregulares[[#This Row],[Similar a]],padroes[],2,0)</f>
        <v>CAR</v>
      </c>
      <c r="D3070" s="3"/>
    </row>
    <row r="3071" spans="1:4" x14ac:dyDescent="0.25">
      <c r="A3071" s="2" t="s">
        <v>2286</v>
      </c>
      <c r="B3071" s="2" t="s">
        <v>55</v>
      </c>
      <c r="C3071" s="31" t="str">
        <f>VLOOKUP(irregulares[[#This Row],[Similar a]],padroes[],2,0)</f>
        <v>EJAR ô</v>
      </c>
      <c r="D3071" s="3"/>
    </row>
    <row r="3072" spans="1:4" x14ac:dyDescent="0.25">
      <c r="A3072" s="2" t="s">
        <v>2287</v>
      </c>
      <c r="B3072" s="2" t="s">
        <v>44</v>
      </c>
      <c r="C3072" s="31" t="str">
        <f>VLOOKUP(irregulares[[#This Row],[Similar a]],padroes[],2,0)</f>
        <v>CAR</v>
      </c>
      <c r="D3072" s="3"/>
    </row>
    <row r="3073" spans="1:4" x14ac:dyDescent="0.25">
      <c r="A3073" s="2" t="s">
        <v>2288</v>
      </c>
      <c r="B3073" s="2" t="s">
        <v>53</v>
      </c>
      <c r="C3073" s="31" t="str">
        <f>VLOOKUP(irregulares[[#This Row],[Similar a]],padroes[],2,0)</f>
        <v>EAR</v>
      </c>
      <c r="D3073" s="3"/>
    </row>
    <row r="3074" spans="1:4" x14ac:dyDescent="0.25">
      <c r="A3074" s="2" t="s">
        <v>2289</v>
      </c>
      <c r="B3074" s="2" t="s">
        <v>53</v>
      </c>
      <c r="C3074" s="31" t="str">
        <f>VLOOKUP(irregulares[[#This Row],[Similar a]],padroes[],2,0)</f>
        <v>EAR</v>
      </c>
      <c r="D3074" s="3"/>
    </row>
    <row r="3075" spans="1:4" x14ac:dyDescent="0.25">
      <c r="A3075" s="2" t="s">
        <v>2290</v>
      </c>
      <c r="B3075" s="2" t="s">
        <v>53</v>
      </c>
      <c r="C3075" s="31" t="str">
        <f>VLOOKUP(irregulares[[#This Row],[Similar a]],padroes[],2,0)</f>
        <v>EAR</v>
      </c>
      <c r="D3075" s="3"/>
    </row>
    <row r="3076" spans="1:4" x14ac:dyDescent="0.25">
      <c r="A3076" s="2" t="s">
        <v>2291</v>
      </c>
      <c r="B3076" s="2" t="s">
        <v>53</v>
      </c>
      <c r="C3076" s="31" t="str">
        <f>VLOOKUP(irregulares[[#This Row],[Similar a]],padroes[],2,0)</f>
        <v>EAR</v>
      </c>
      <c r="D3076" s="3"/>
    </row>
    <row r="3077" spans="1:4" x14ac:dyDescent="0.25">
      <c r="A3077" s="2" t="s">
        <v>2292</v>
      </c>
      <c r="B3077" s="2" t="s">
        <v>42</v>
      </c>
      <c r="C3077" s="31" t="str">
        <f>VLOOKUP(irregulares[[#This Row],[Similar a]],padroes[],2,0)</f>
        <v>ÇAR</v>
      </c>
      <c r="D3077" s="3"/>
    </row>
    <row r="3078" spans="1:4" x14ac:dyDescent="0.25">
      <c r="A3078" s="2" t="s">
        <v>2293</v>
      </c>
      <c r="B3078" s="2" t="s">
        <v>53</v>
      </c>
      <c r="C3078" s="31" t="str">
        <f>VLOOKUP(irregulares[[#This Row],[Similar a]],padroes[],2,0)</f>
        <v>EAR</v>
      </c>
      <c r="D3078" s="3"/>
    </row>
    <row r="3079" spans="1:4" x14ac:dyDescent="0.25">
      <c r="A3079" s="2" t="s">
        <v>2294</v>
      </c>
      <c r="B3079" s="2" t="s">
        <v>2295</v>
      </c>
      <c r="C3079" s="31" t="str">
        <f>VLOOKUP(irregulares[[#This Row],[Similar a]],padroes[],2,0)</f>
        <v>DAR</v>
      </c>
      <c r="D3079" s="3"/>
    </row>
    <row r="3080" spans="1:4" x14ac:dyDescent="0.25">
      <c r="A3080" s="2" t="s">
        <v>2296</v>
      </c>
      <c r="B3080" s="2" t="s">
        <v>859</v>
      </c>
      <c r="C3080" s="31" t="str">
        <f>VLOOKUP(irregulares[[#This Row],[Similar a]],padroes[],2,0)</f>
        <v>FAZER</v>
      </c>
      <c r="D3080" s="3"/>
    </row>
    <row r="3081" spans="1:4" x14ac:dyDescent="0.25">
      <c r="A3081" s="2" t="s">
        <v>2297</v>
      </c>
      <c r="B3081" s="2" t="s">
        <v>53</v>
      </c>
      <c r="C3081" s="31" t="str">
        <f>VLOOKUP(irregulares[[#This Row],[Similar a]],padroes[],2,0)</f>
        <v>EAR</v>
      </c>
      <c r="D3081" s="3"/>
    </row>
    <row r="3082" spans="1:4" x14ac:dyDescent="0.25">
      <c r="A3082" s="2" t="s">
        <v>47</v>
      </c>
      <c r="B3082" s="2" t="s">
        <v>47</v>
      </c>
      <c r="C3082" s="31" t="str">
        <f>VLOOKUP(irregulares[[#This Row],[Similar a]],padroes[],2,0)</f>
        <v>Ú-X-AR</v>
      </c>
      <c r="D3082" s="3"/>
    </row>
    <row r="3083" spans="1:4" x14ac:dyDescent="0.25">
      <c r="A3083" s="2" t="s">
        <v>2298</v>
      </c>
      <c r="B3083" s="2" t="s">
        <v>44</v>
      </c>
      <c r="C3083" s="31" t="str">
        <f>VLOOKUP(irregulares[[#This Row],[Similar a]],padroes[],2,0)</f>
        <v>CAR</v>
      </c>
      <c r="D3083" s="3"/>
    </row>
    <row r="3084" spans="1:4" x14ac:dyDescent="0.25">
      <c r="A3084" s="2" t="s">
        <v>2299</v>
      </c>
      <c r="B3084" s="2" t="s">
        <v>53</v>
      </c>
      <c r="C3084" s="31" t="str">
        <f>VLOOKUP(irregulares[[#This Row],[Similar a]],padroes[],2,0)</f>
        <v>EAR</v>
      </c>
      <c r="D3084" s="3"/>
    </row>
    <row r="3085" spans="1:4" x14ac:dyDescent="0.25">
      <c r="A3085" s="2" t="s">
        <v>2300</v>
      </c>
      <c r="B3085" s="2" t="s">
        <v>1887</v>
      </c>
      <c r="C3085" s="31" t="str">
        <f>VLOOKUP(irregulares[[#This Row],[Similar a]],padroes[],2,0)</f>
        <v>UZIR</v>
      </c>
      <c r="D3085" s="3"/>
    </row>
    <row r="3086" spans="1:4" x14ac:dyDescent="0.25">
      <c r="A3086" s="2" t="s">
        <v>2301</v>
      </c>
      <c r="B3086" s="2" t="s">
        <v>60</v>
      </c>
      <c r="C3086" s="31" t="str">
        <f>VLOOKUP(irregulares[[#This Row],[Similar a]],padroes[],2,0)</f>
        <v>GAR</v>
      </c>
      <c r="D3086" s="3"/>
    </row>
    <row r="3087" spans="1:4" x14ac:dyDescent="0.25">
      <c r="A3087" s="2" t="s">
        <v>2302</v>
      </c>
      <c r="B3087" s="2" t="s">
        <v>60</v>
      </c>
      <c r="C3087" s="31" t="str">
        <f>VLOOKUP(irregulares[[#This Row],[Similar a]],padroes[],2,0)</f>
        <v>GAR</v>
      </c>
      <c r="D3087" s="3"/>
    </row>
    <row r="3088" spans="1:4" x14ac:dyDescent="0.25">
      <c r="A3088" s="2" t="s">
        <v>2303</v>
      </c>
      <c r="B3088" s="2" t="s">
        <v>2303</v>
      </c>
      <c r="C3088" s="31" t="str">
        <f>VLOOKUP(irregulares[[#This Row],[Similar a]],padroes[],2,0)</f>
        <v>E-X-IR</v>
      </c>
      <c r="D3088" s="3"/>
    </row>
    <row r="3089" spans="1:4" x14ac:dyDescent="0.25">
      <c r="A3089" s="2" t="s">
        <v>2310</v>
      </c>
      <c r="B3089" s="2" t="s">
        <v>53</v>
      </c>
      <c r="C3089" s="31" t="str">
        <f>VLOOKUP(irregulares[[#This Row],[Similar a]],padroes[],2,0)</f>
        <v>EAR</v>
      </c>
      <c r="D3089" s="3"/>
    </row>
    <row r="3090" spans="1:4" x14ac:dyDescent="0.25">
      <c r="A3090" s="2" t="s">
        <v>2311</v>
      </c>
      <c r="B3090" s="2" t="s">
        <v>157</v>
      </c>
      <c r="C3090" s="31" t="str">
        <f>VLOOKUP(irregulares[[#This Row],[Similar a]],padroes[],2,0)</f>
        <v>ELHAR</v>
      </c>
      <c r="D3090" s="3"/>
    </row>
    <row r="3091" spans="1:4" x14ac:dyDescent="0.25">
      <c r="A3091" s="2" t="s">
        <v>2312</v>
      </c>
      <c r="B3091" s="2" t="s">
        <v>74</v>
      </c>
      <c r="C3091" s="31" t="str">
        <f>VLOOKUP(irregulares[[#This Row],[Similar a]],padroes[],2,0)</f>
        <v>GAR</v>
      </c>
      <c r="D3091" s="3"/>
    </row>
    <row r="3092" spans="1:4" x14ac:dyDescent="0.25">
      <c r="A3092" s="2" t="s">
        <v>2313</v>
      </c>
      <c r="B3092" s="2" t="s">
        <v>53</v>
      </c>
      <c r="C3092" s="31" t="str">
        <f>VLOOKUP(irregulares[[#This Row],[Similar a]],padroes[],2,0)</f>
        <v>EAR</v>
      </c>
      <c r="D3092" s="3"/>
    </row>
    <row r="3093" spans="1:4" x14ac:dyDescent="0.25">
      <c r="A3093" s="2" t="s">
        <v>2314</v>
      </c>
      <c r="B3093" s="2" t="s">
        <v>44</v>
      </c>
      <c r="C3093" s="31" t="str">
        <f>VLOOKUP(irregulares[[#This Row],[Similar a]],padroes[],2,0)</f>
        <v>CAR</v>
      </c>
      <c r="D3093" s="3"/>
    </row>
    <row r="3094" spans="1:4" x14ac:dyDescent="0.25">
      <c r="A3094" s="2" t="s">
        <v>958</v>
      </c>
      <c r="B3094" s="2" t="s">
        <v>958</v>
      </c>
      <c r="C3094" s="31" t="str">
        <f>VLOOKUP(irregulares[[#This Row],[Similar a]],padroes[],2,0)</f>
        <v>SENTIR</v>
      </c>
      <c r="D3094" s="3"/>
    </row>
    <row r="3095" spans="1:4" x14ac:dyDescent="0.25">
      <c r="A3095" s="2" t="s">
        <v>2</v>
      </c>
      <c r="B3095" s="2" t="s">
        <v>2</v>
      </c>
      <c r="C3095" s="2" t="str">
        <f>VLOOKUP(irregulares[[#This Row],[Similar a]],padroes[],2,0)</f>
        <v>SER</v>
      </c>
      <c r="D3095" s="3"/>
    </row>
    <row r="3096" spans="1:4" x14ac:dyDescent="0.25">
      <c r="A3096" s="2" t="s">
        <v>2315</v>
      </c>
      <c r="B3096" s="2" t="s">
        <v>74</v>
      </c>
      <c r="C3096" s="31" t="str">
        <f>VLOOKUP(irregulares[[#This Row],[Similar a]],padroes[],2,0)</f>
        <v>GAR</v>
      </c>
      <c r="D3096" s="3"/>
    </row>
    <row r="3097" spans="1:4" x14ac:dyDescent="0.25">
      <c r="A3097" s="2" t="s">
        <v>2316</v>
      </c>
      <c r="B3097" s="2" t="s">
        <v>49</v>
      </c>
      <c r="C3097" s="31" t="str">
        <f>VLOOKUP(irregulares[[#This Row],[Similar a]],padroes[],2,0)</f>
        <v>OAR</v>
      </c>
      <c r="D3097" s="3"/>
    </row>
    <row r="3098" spans="1:4" x14ac:dyDescent="0.25">
      <c r="A3098" s="2" t="s">
        <v>2317</v>
      </c>
      <c r="B3098" s="2" t="s">
        <v>53</v>
      </c>
      <c r="C3098" s="31" t="str">
        <f>VLOOKUP(irregulares[[#This Row],[Similar a]],padroes[],2,0)</f>
        <v>EAR</v>
      </c>
      <c r="D3098" s="3"/>
    </row>
    <row r="3099" spans="1:4" x14ac:dyDescent="0.25">
      <c r="A3099" s="2" t="s">
        <v>2318</v>
      </c>
      <c r="B3099" s="2" t="s">
        <v>55</v>
      </c>
      <c r="C3099" s="31" t="str">
        <f>VLOOKUP(irregulares[[#This Row],[Similar a]],padroes[],2,0)</f>
        <v>EJAR ô</v>
      </c>
      <c r="D3099" s="3"/>
    </row>
    <row r="3100" spans="1:4" x14ac:dyDescent="0.25">
      <c r="A3100" s="2" t="s">
        <v>2319</v>
      </c>
      <c r="B3100" s="2" t="s">
        <v>55</v>
      </c>
      <c r="C3100" s="31" t="str">
        <f>VLOOKUP(irregulares[[#This Row],[Similar a]],padroes[],2,0)</f>
        <v>EJAR ô</v>
      </c>
      <c r="D3100" s="3"/>
    </row>
    <row r="3101" spans="1:4" x14ac:dyDescent="0.25">
      <c r="A3101" s="2" t="s">
        <v>2320</v>
      </c>
      <c r="B3101" s="2" t="s">
        <v>53</v>
      </c>
      <c r="C3101" s="31" t="str">
        <f>VLOOKUP(irregulares[[#This Row],[Similar a]],padroes[],2,0)</f>
        <v>EAR</v>
      </c>
      <c r="D3101" s="3"/>
    </row>
    <row r="3102" spans="1:4" x14ac:dyDescent="0.25">
      <c r="A3102" s="2" t="s">
        <v>2321</v>
      </c>
      <c r="B3102" s="2" t="s">
        <v>55</v>
      </c>
      <c r="C3102" s="31" t="str">
        <f>VLOOKUP(irregulares[[#This Row],[Similar a]],padroes[],2,0)</f>
        <v>EJAR ô</v>
      </c>
      <c r="D3102" s="3"/>
    </row>
    <row r="3103" spans="1:4" x14ac:dyDescent="0.25">
      <c r="A3103" s="2" t="s">
        <v>2322</v>
      </c>
      <c r="B3103" s="2" t="s">
        <v>2322</v>
      </c>
      <c r="C3103" s="31" t="str">
        <f>VLOOKUP(irregulares[[#This Row],[Similar a]],padroes[],2,0)</f>
        <v>E-X-IR</v>
      </c>
      <c r="D3103" s="3"/>
    </row>
    <row r="3104" spans="1:4" x14ac:dyDescent="0.25">
      <c r="A3104" s="2" t="s">
        <v>2329</v>
      </c>
      <c r="B3104" s="2" t="s">
        <v>53</v>
      </c>
      <c r="C3104" s="31" t="str">
        <f>VLOOKUP(irregulares[[#This Row],[Similar a]],padroes[],2,0)</f>
        <v>EAR</v>
      </c>
      <c r="D3104" s="3"/>
    </row>
    <row r="3105" spans="1:4" x14ac:dyDescent="0.25">
      <c r="A3105" s="2" t="s">
        <v>2330</v>
      </c>
      <c r="B3105" s="2" t="s">
        <v>53</v>
      </c>
      <c r="C3105" s="31" t="str">
        <f>VLOOKUP(irregulares[[#This Row],[Similar a]],padroes[],2,0)</f>
        <v>EAR</v>
      </c>
      <c r="D3105" s="3"/>
    </row>
    <row r="3106" spans="1:4" x14ac:dyDescent="0.25">
      <c r="A3106" s="2" t="s">
        <v>2331</v>
      </c>
      <c r="B3106" s="2" t="s">
        <v>44</v>
      </c>
      <c r="C3106" s="31" t="str">
        <f>VLOOKUP(irregulares[[#This Row],[Similar a]],padroes[],2,0)</f>
        <v>CAR</v>
      </c>
      <c r="D3106" s="3"/>
    </row>
    <row r="3107" spans="1:4" x14ac:dyDescent="0.25">
      <c r="A3107" s="2" t="s">
        <v>2332</v>
      </c>
      <c r="B3107" s="2" t="s">
        <v>44</v>
      </c>
      <c r="C3107" s="31" t="str">
        <f>VLOOKUP(irregulares[[#This Row],[Similar a]],padroes[],2,0)</f>
        <v>CAR</v>
      </c>
      <c r="D3107" s="3"/>
    </row>
    <row r="3108" spans="1:4" x14ac:dyDescent="0.25">
      <c r="A3108" s="2" t="s">
        <v>2333</v>
      </c>
      <c r="B3108" s="2" t="s">
        <v>44</v>
      </c>
      <c r="C3108" s="31" t="str">
        <f>VLOOKUP(irregulares[[#This Row],[Similar a]],padroes[],2,0)</f>
        <v>CAR</v>
      </c>
      <c r="D3108" s="3"/>
    </row>
    <row r="3109" spans="1:4" x14ac:dyDescent="0.25">
      <c r="A3109" s="2" t="s">
        <v>2335</v>
      </c>
      <c r="B3109" s="2" t="s">
        <v>44</v>
      </c>
      <c r="C3109" s="31" t="str">
        <f>VLOOKUP(irregulares[[#This Row],[Similar a]],padroes[],2,0)</f>
        <v>CAR</v>
      </c>
      <c r="D3109" s="3"/>
    </row>
    <row r="3110" spans="1:4" x14ac:dyDescent="0.25">
      <c r="A3110" s="2" t="s">
        <v>2336</v>
      </c>
      <c r="B3110" s="2" t="s">
        <v>44</v>
      </c>
      <c r="C3110" s="31" t="str">
        <f>VLOOKUP(irregulares[[#This Row],[Similar a]],padroes[],2,0)</f>
        <v>CAR</v>
      </c>
      <c r="D3110" s="3"/>
    </row>
    <row r="3111" spans="1:4" x14ac:dyDescent="0.25">
      <c r="A3111" s="2" t="s">
        <v>2337</v>
      </c>
      <c r="B3111" s="2" t="s">
        <v>44</v>
      </c>
      <c r="C3111" s="31" t="str">
        <f>VLOOKUP(irregulares[[#This Row],[Similar a]],padroes[],2,0)</f>
        <v>CAR</v>
      </c>
      <c r="D3111" s="3"/>
    </row>
    <row r="3112" spans="1:4" x14ac:dyDescent="0.25">
      <c r="A3112" s="2" t="s">
        <v>2338</v>
      </c>
      <c r="B3112" s="2" t="s">
        <v>74</v>
      </c>
      <c r="C3112" s="31" t="str">
        <f>VLOOKUP(irregulares[[#This Row],[Similar a]],padroes[],2,0)</f>
        <v>GAR</v>
      </c>
      <c r="D3112" s="3"/>
    </row>
    <row r="3113" spans="1:4" x14ac:dyDescent="0.25">
      <c r="A3113" s="2" t="s">
        <v>2339</v>
      </c>
      <c r="B3113" s="2" t="s">
        <v>44</v>
      </c>
      <c r="C3113" s="31" t="str">
        <f>VLOOKUP(irregulares[[#This Row],[Similar a]],padroes[],2,0)</f>
        <v>CAR</v>
      </c>
      <c r="D3113" s="3"/>
    </row>
    <row r="3114" spans="1:4" x14ac:dyDescent="0.25">
      <c r="A3114" s="2" t="s">
        <v>2340</v>
      </c>
      <c r="B3114" s="2" t="s">
        <v>115</v>
      </c>
      <c r="C3114" s="31" t="str">
        <f>VLOOKUP(irregulares[[#This Row],[Similar a]],padroes[],2,0)</f>
        <v>Abundante</v>
      </c>
      <c r="D3114" s="3"/>
    </row>
    <row r="3115" spans="1:4" x14ac:dyDescent="0.25">
      <c r="A3115" s="2" t="s">
        <v>2341</v>
      </c>
      <c r="B3115" s="2" t="s">
        <v>49</v>
      </c>
      <c r="C3115" s="31" t="str">
        <f>VLOOKUP(irregulares[[#This Row],[Similar a]],padroes[],2,0)</f>
        <v>OAR</v>
      </c>
      <c r="D3115" s="3"/>
    </row>
    <row r="3116" spans="1:4" x14ac:dyDescent="0.25">
      <c r="A3116" s="2" t="s">
        <v>2342</v>
      </c>
      <c r="B3116" s="2" t="s">
        <v>42</v>
      </c>
      <c r="C3116" s="31" t="str">
        <f>VLOOKUP(irregulares[[#This Row],[Similar a]],padroes[],2,0)</f>
        <v>ÇAR</v>
      </c>
      <c r="D3116" s="3"/>
    </row>
    <row r="3117" spans="1:4" x14ac:dyDescent="0.25">
      <c r="A3117" s="2" t="s">
        <v>2343</v>
      </c>
      <c r="B3117" s="2" t="s">
        <v>55</v>
      </c>
      <c r="C3117" s="31" t="str">
        <f>VLOOKUP(irregulares[[#This Row],[Similar a]],padroes[],2,0)</f>
        <v>EJAR ô</v>
      </c>
      <c r="D3117" s="3"/>
    </row>
    <row r="3118" spans="1:4" x14ac:dyDescent="0.25">
      <c r="A3118" s="2" t="s">
        <v>2344</v>
      </c>
      <c r="B3118" s="2" t="s">
        <v>3</v>
      </c>
      <c r="C3118" s="31" t="str">
        <f>VLOOKUP(irregulares[[#This Row],[Similar a]],padroes[],2,0)</f>
        <v>ESTAR</v>
      </c>
      <c r="D3118" s="3"/>
    </row>
    <row r="3119" spans="1:4" x14ac:dyDescent="0.25">
      <c r="A3119" s="2" t="s">
        <v>2346</v>
      </c>
      <c r="B3119" s="2" t="s">
        <v>74</v>
      </c>
      <c r="C3119" s="31" t="str">
        <f>VLOOKUP(irregulares[[#This Row],[Similar a]],padroes[],2,0)</f>
        <v>GAR</v>
      </c>
      <c r="D3119" s="3"/>
    </row>
    <row r="3120" spans="1:4" x14ac:dyDescent="0.25">
      <c r="A3120" s="2" t="s">
        <v>2347</v>
      </c>
      <c r="B3120" s="2" t="s">
        <v>267</v>
      </c>
      <c r="C3120" s="31" t="str">
        <f>VLOOKUP(irregulares[[#This Row],[Similar a]],padroes[],2,0)</f>
        <v>POR</v>
      </c>
      <c r="D3120" s="3"/>
    </row>
    <row r="3121" spans="1:4" x14ac:dyDescent="0.25">
      <c r="A3121" s="2" t="s">
        <v>2348</v>
      </c>
      <c r="B3121" s="2" t="s">
        <v>42</v>
      </c>
      <c r="C3121" s="31" t="str">
        <f>VLOOKUP(irregulares[[#This Row],[Similar a]],padroes[],2,0)</f>
        <v>ÇAR</v>
      </c>
      <c r="D3121" s="3"/>
    </row>
    <row r="3122" spans="1:4" x14ac:dyDescent="0.25">
      <c r="A3122" s="2" t="s">
        <v>2349</v>
      </c>
      <c r="B3122" s="2" t="s">
        <v>53</v>
      </c>
      <c r="C3122" s="31" t="str">
        <f>VLOOKUP(irregulares[[#This Row],[Similar a]],padroes[],2,0)</f>
        <v>EAR</v>
      </c>
      <c r="D3122" s="3"/>
    </row>
    <row r="3123" spans="1:4" x14ac:dyDescent="0.25">
      <c r="A3123" s="2" t="s">
        <v>2350</v>
      </c>
      <c r="B3123" s="2" t="s">
        <v>154</v>
      </c>
      <c r="C3123" s="31" t="str">
        <f>VLOOKUP(irregulares[[#This Row],[Similar a]],padroes[],2,0)</f>
        <v>GIR</v>
      </c>
      <c r="D3123" s="3"/>
    </row>
    <row r="3124" spans="1:4" x14ac:dyDescent="0.25">
      <c r="A3124" s="2" t="s">
        <v>2351</v>
      </c>
      <c r="B3124" s="2" t="s">
        <v>63</v>
      </c>
      <c r="C3124" s="31" t="str">
        <f>VLOOKUP(irregulares[[#This Row],[Similar a]],padroes[],2,0)</f>
        <v>CER</v>
      </c>
      <c r="D3124" s="3"/>
    </row>
    <row r="3125" spans="1:4" x14ac:dyDescent="0.25">
      <c r="A3125" s="2" t="s">
        <v>2352</v>
      </c>
      <c r="B3125" s="2" t="s">
        <v>53</v>
      </c>
      <c r="C3125" s="31" t="str">
        <f>VLOOKUP(irregulares[[#This Row],[Similar a]],padroes[],2,0)</f>
        <v>EAR</v>
      </c>
      <c r="D3125" s="3"/>
    </row>
    <row r="3126" spans="1:4" x14ac:dyDescent="0.25">
      <c r="A3126" s="2" t="s">
        <v>2353</v>
      </c>
      <c r="B3126" s="2" t="s">
        <v>60</v>
      </c>
      <c r="C3126" s="31" t="str">
        <f>VLOOKUP(irregulares[[#This Row],[Similar a]],padroes[],2,0)</f>
        <v>GAR</v>
      </c>
      <c r="D3126" s="3"/>
    </row>
    <row r="3127" spans="1:4" x14ac:dyDescent="0.25">
      <c r="A3127" s="2" t="s">
        <v>2354</v>
      </c>
      <c r="B3127" s="2" t="s">
        <v>161</v>
      </c>
      <c r="C3127" s="31" t="str">
        <f>VLOOKUP(irregulares[[#This Row],[Similar a]],padroes[],2,0)</f>
        <v>GAR</v>
      </c>
      <c r="D3127" s="3"/>
    </row>
    <row r="3128" spans="1:4" x14ac:dyDescent="0.25">
      <c r="A3128" s="2" t="s">
        <v>2355</v>
      </c>
      <c r="B3128" s="2" t="s">
        <v>2356</v>
      </c>
      <c r="C3128" s="31" t="str">
        <f>VLOOKUP(irregulares[[#This Row],[Similar a]],padroes[],2,0)</f>
        <v>ERGUER</v>
      </c>
      <c r="D3128" s="3"/>
    </row>
    <row r="3129" spans="1:4" x14ac:dyDescent="0.25">
      <c r="A3129" s="2" t="s">
        <v>2357</v>
      </c>
      <c r="B3129" s="2" t="s">
        <v>3</v>
      </c>
      <c r="C3129" s="31" t="str">
        <f>VLOOKUP(irregulares[[#This Row],[Similar a]],padroes[],2,0)</f>
        <v>ESTAR</v>
      </c>
      <c r="D3129" s="3"/>
    </row>
    <row r="3130" spans="1:4" x14ac:dyDescent="0.25">
      <c r="A3130" s="2" t="s">
        <v>2358</v>
      </c>
      <c r="B3130" s="2" t="s">
        <v>53</v>
      </c>
      <c r="C3130" s="31" t="str">
        <f>VLOOKUP(irregulares[[#This Row],[Similar a]],padroes[],2,0)</f>
        <v>EAR</v>
      </c>
      <c r="D3130" s="3"/>
    </row>
    <row r="3131" spans="1:4" x14ac:dyDescent="0.25">
      <c r="A3131" s="2" t="s">
        <v>2359</v>
      </c>
      <c r="B3131" s="2" t="s">
        <v>267</v>
      </c>
      <c r="C3131" s="31" t="str">
        <f>VLOOKUP(irregulares[[#This Row],[Similar a]],padroes[],2,0)</f>
        <v>POR</v>
      </c>
      <c r="D3131" s="3"/>
    </row>
    <row r="3132" spans="1:4" x14ac:dyDescent="0.25">
      <c r="A3132" s="2" t="s">
        <v>2360</v>
      </c>
      <c r="B3132" s="2" t="s">
        <v>49</v>
      </c>
      <c r="C3132" s="31" t="str">
        <f>VLOOKUP(irregulares[[#This Row],[Similar a]],padroes[],2,0)</f>
        <v>OAR</v>
      </c>
      <c r="D3132" s="3"/>
    </row>
    <row r="3133" spans="1:4" x14ac:dyDescent="0.25">
      <c r="A3133" s="2" t="s">
        <v>2361</v>
      </c>
      <c r="B3133" s="2" t="s">
        <v>53</v>
      </c>
      <c r="C3133" s="31" t="str">
        <f>VLOOKUP(irregulares[[#This Row],[Similar a]],padroes[],2,0)</f>
        <v>EAR</v>
      </c>
      <c r="D3133" s="3"/>
    </row>
    <row r="3134" spans="1:4" x14ac:dyDescent="0.25">
      <c r="A3134" s="2" t="s">
        <v>2362</v>
      </c>
      <c r="B3134" s="2" t="s">
        <v>2363</v>
      </c>
      <c r="C3134" s="31" t="str">
        <f>VLOOKUP(irregulares[[#This Row],[Similar a]],padroes[],2,0)</f>
        <v>Abundante</v>
      </c>
      <c r="D3134" s="3"/>
    </row>
    <row r="3135" spans="1:4" x14ac:dyDescent="0.25">
      <c r="A3135" s="2" t="s">
        <v>2364</v>
      </c>
      <c r="B3135" s="2" t="s">
        <v>2364</v>
      </c>
      <c r="C3135" s="31" t="str">
        <f>VLOOKUP(irregulares[[#This Row],[Similar a]],padroes[],2,0)</f>
        <v>Abundante</v>
      </c>
      <c r="D3135" s="3"/>
    </row>
    <row r="3136" spans="1:4" x14ac:dyDescent="0.25">
      <c r="A3136" s="2" t="s">
        <v>2366</v>
      </c>
      <c r="B3136" s="2" t="s">
        <v>53</v>
      </c>
      <c r="C3136" s="31" t="str">
        <f>VLOOKUP(irregulares[[#This Row],[Similar a]],padroes[],2,0)</f>
        <v>EAR</v>
      </c>
      <c r="D3136" s="3"/>
    </row>
    <row r="3137" spans="1:4" x14ac:dyDescent="0.25">
      <c r="A3137" s="2" t="s">
        <v>2367</v>
      </c>
      <c r="B3137" s="2" t="s">
        <v>988</v>
      </c>
      <c r="C3137" s="31" t="str">
        <f>VLOOKUP(irregulares[[#This Row],[Similar a]],padroes[],2,0)</f>
        <v>AIR</v>
      </c>
      <c r="D3137" s="3"/>
    </row>
    <row r="3138" spans="1:4" x14ac:dyDescent="0.25">
      <c r="A3138" s="2" t="s">
        <v>2368</v>
      </c>
      <c r="B3138" s="2" t="s">
        <v>53</v>
      </c>
      <c r="C3138" s="31" t="str">
        <f>VLOOKUP(irregulares[[#This Row],[Similar a]],padroes[],2,0)</f>
        <v>EAR</v>
      </c>
      <c r="D3138" s="3"/>
    </row>
    <row r="3139" spans="1:4" x14ac:dyDescent="0.25">
      <c r="A3139" s="2" t="s">
        <v>2369</v>
      </c>
      <c r="B3139" s="2" t="s">
        <v>3</v>
      </c>
      <c r="C3139" s="31" t="str">
        <f>VLOOKUP(irregulares[[#This Row],[Similar a]],padroes[],2,0)</f>
        <v>ESTAR</v>
      </c>
      <c r="D3139" s="3"/>
    </row>
    <row r="3140" spans="1:4" x14ac:dyDescent="0.25">
      <c r="A3140" s="2" t="s">
        <v>2370</v>
      </c>
      <c r="B3140" s="2" t="s">
        <v>63</v>
      </c>
      <c r="C3140" s="31" t="str">
        <f>VLOOKUP(irregulares[[#This Row],[Similar a]],padroes[],2,0)</f>
        <v>CER</v>
      </c>
      <c r="D3140" s="3"/>
    </row>
    <row r="3141" spans="1:4" x14ac:dyDescent="0.25">
      <c r="A3141" s="2" t="s">
        <v>2371</v>
      </c>
      <c r="B3141" s="2" t="s">
        <v>2069</v>
      </c>
      <c r="C3141" s="31" t="str">
        <f>VLOOKUP(irregulares[[#This Row],[Similar a]],padroes[],2,0)</f>
        <v>E-X-IR</v>
      </c>
      <c r="D3141" s="3"/>
    </row>
    <row r="3142" spans="1:4" x14ac:dyDescent="0.25">
      <c r="A3142" s="2" t="s">
        <v>2372</v>
      </c>
      <c r="B3142" s="2" t="s">
        <v>247</v>
      </c>
      <c r="C3142" s="31" t="str">
        <f>VLOOKUP(irregulares[[#This Row],[Similar a]],padroes[],2,0)</f>
        <v>VIR</v>
      </c>
      <c r="D3142" s="3"/>
    </row>
    <row r="3143" spans="1:4" x14ac:dyDescent="0.25">
      <c r="A3143" s="2" t="s">
        <v>2373</v>
      </c>
      <c r="B3143" s="2" t="s">
        <v>49</v>
      </c>
      <c r="C3143" s="31" t="str">
        <f>VLOOKUP(irregulares[[#This Row],[Similar a]],padroes[],2,0)</f>
        <v>OAR</v>
      </c>
      <c r="D3143" s="3"/>
    </row>
    <row r="3144" spans="1:4" x14ac:dyDescent="0.25">
      <c r="A3144" s="2" t="s">
        <v>2374</v>
      </c>
      <c r="B3144" s="2" t="s">
        <v>44</v>
      </c>
      <c r="C3144" s="31" t="str">
        <f>VLOOKUP(irregulares[[#This Row],[Similar a]],padroes[],2,0)</f>
        <v>CAR</v>
      </c>
      <c r="D3144" s="3"/>
    </row>
    <row r="3145" spans="1:4" x14ac:dyDescent="0.25">
      <c r="A3145" s="2" t="s">
        <v>2375</v>
      </c>
      <c r="B3145" s="2" t="s">
        <v>44</v>
      </c>
      <c r="C3145" s="31" t="str">
        <f>VLOOKUP(irregulares[[#This Row],[Similar a]],padroes[],2,0)</f>
        <v>CAR</v>
      </c>
      <c r="D3145" s="3"/>
    </row>
    <row r="3146" spans="1:4" x14ac:dyDescent="0.25">
      <c r="A3146" s="2" t="s">
        <v>2376</v>
      </c>
      <c r="B3146" s="2" t="s">
        <v>53</v>
      </c>
      <c r="C3146" s="31" t="str">
        <f>VLOOKUP(irregulares[[#This Row],[Similar a]],padroes[],2,0)</f>
        <v>EAR</v>
      </c>
      <c r="D3146" s="3"/>
    </row>
    <row r="3147" spans="1:4" x14ac:dyDescent="0.25">
      <c r="A3147" s="2" t="s">
        <v>2377</v>
      </c>
      <c r="B3147" s="2" t="s">
        <v>44</v>
      </c>
      <c r="C3147" s="31" t="str">
        <f>VLOOKUP(irregulares[[#This Row],[Similar a]],padroes[],2,0)</f>
        <v>CAR</v>
      </c>
      <c r="D3147" s="3"/>
    </row>
    <row r="3148" spans="1:4" x14ac:dyDescent="0.25">
      <c r="A3148" s="2" t="s">
        <v>2378</v>
      </c>
      <c r="B3148" s="2" t="s">
        <v>2378</v>
      </c>
      <c r="C3148" s="31" t="str">
        <f>VLOOKUP(irregulares[[#This Row],[Similar a]],padroes[],2,0)</f>
        <v>Defectivo 1</v>
      </c>
      <c r="D3148" s="3"/>
    </row>
    <row r="3149" spans="1:4" x14ac:dyDescent="0.25">
      <c r="A3149" s="2" t="s">
        <v>2381</v>
      </c>
      <c r="B3149" s="2" t="s">
        <v>2356</v>
      </c>
      <c r="C3149" s="31" t="str">
        <f>VLOOKUP(irregulares[[#This Row],[Similar a]],padroes[],2,0)</f>
        <v>ERGUER</v>
      </c>
      <c r="D3149" s="3"/>
    </row>
    <row r="3150" spans="1:4" x14ac:dyDescent="0.25">
      <c r="A3150" s="2" t="s">
        <v>2382</v>
      </c>
      <c r="B3150" s="2" t="s">
        <v>44</v>
      </c>
      <c r="C3150" s="31" t="str">
        <f>VLOOKUP(irregulares[[#This Row],[Similar a]],padroes[],2,0)</f>
        <v>CAR</v>
      </c>
      <c r="D3150" s="3"/>
    </row>
    <row r="3151" spans="1:4" x14ac:dyDescent="0.25">
      <c r="A3151" s="2" t="s">
        <v>2383</v>
      </c>
      <c r="B3151" s="2" t="s">
        <v>53</v>
      </c>
      <c r="C3151" s="31" t="str">
        <f>VLOOKUP(irregulares[[#This Row],[Similar a]],padroes[],2,0)</f>
        <v>EAR</v>
      </c>
      <c r="D3151" s="3"/>
    </row>
    <row r="3152" spans="1:4" x14ac:dyDescent="0.25">
      <c r="A3152" s="2" t="s">
        <v>2384</v>
      </c>
      <c r="B3152" s="2" t="s">
        <v>74</v>
      </c>
      <c r="C3152" s="31" t="str">
        <f>VLOOKUP(irregulares[[#This Row],[Similar a]],padroes[],2,0)</f>
        <v>GAR</v>
      </c>
      <c r="D3152" s="3"/>
    </row>
    <row r="3153" spans="1:4" x14ac:dyDescent="0.25">
      <c r="A3153" s="2" t="s">
        <v>2385</v>
      </c>
      <c r="B3153" s="2" t="s">
        <v>74</v>
      </c>
      <c r="C3153" s="31" t="str">
        <f>VLOOKUP(irregulares[[#This Row],[Similar a]],padroes[],2,0)</f>
        <v>GAR</v>
      </c>
      <c r="D3153" s="3"/>
    </row>
    <row r="3154" spans="1:4" x14ac:dyDescent="0.25">
      <c r="A3154" s="2" t="s">
        <v>2386</v>
      </c>
      <c r="B3154" s="2" t="s">
        <v>74</v>
      </c>
      <c r="C3154" s="31" t="str">
        <f>VLOOKUP(irregulares[[#This Row],[Similar a]],padroes[],2,0)</f>
        <v>GAR</v>
      </c>
      <c r="D3154" s="3"/>
    </row>
    <row r="3155" spans="1:4" x14ac:dyDescent="0.25">
      <c r="A3155" s="2" t="s">
        <v>2387</v>
      </c>
      <c r="B3155" s="2" t="s">
        <v>44</v>
      </c>
      <c r="C3155" s="31" t="str">
        <f>VLOOKUP(irregulares[[#This Row],[Similar a]],padroes[],2,0)</f>
        <v>CAR</v>
      </c>
      <c r="D3155" s="3"/>
    </row>
    <row r="3156" spans="1:4" x14ac:dyDescent="0.25">
      <c r="A3156" s="2" t="s">
        <v>2388</v>
      </c>
      <c r="B3156" s="2" t="s">
        <v>44</v>
      </c>
      <c r="C3156" s="31" t="str">
        <f>VLOOKUP(irregulares[[#This Row],[Similar a]],padroes[],2,0)</f>
        <v>CAR</v>
      </c>
      <c r="D3156" s="3"/>
    </row>
    <row r="3157" spans="1:4" x14ac:dyDescent="0.25">
      <c r="A3157" s="2" t="s">
        <v>2389</v>
      </c>
      <c r="B3157" s="2" t="s">
        <v>44</v>
      </c>
      <c r="C3157" s="31" t="str">
        <f>VLOOKUP(irregulares[[#This Row],[Similar a]],padroes[],2,0)</f>
        <v>CAR</v>
      </c>
      <c r="D3157" s="3"/>
    </row>
    <row r="3158" spans="1:4" x14ac:dyDescent="0.25">
      <c r="A3158" s="2" t="s">
        <v>2390</v>
      </c>
      <c r="B3158" s="2" t="s">
        <v>55</v>
      </c>
      <c r="C3158" s="31" t="str">
        <f>VLOOKUP(irregulares[[#This Row],[Similar a]],padroes[],2,0)</f>
        <v>EJAR ô</v>
      </c>
      <c r="D3158" s="3"/>
    </row>
    <row r="3159" spans="1:4" x14ac:dyDescent="0.25">
      <c r="A3159" s="2" t="s">
        <v>2391</v>
      </c>
      <c r="B3159" s="2" t="s">
        <v>44</v>
      </c>
      <c r="C3159" s="31" t="str">
        <f>VLOOKUP(irregulares[[#This Row],[Similar a]],padroes[],2,0)</f>
        <v>CAR</v>
      </c>
      <c r="D3159" s="3"/>
    </row>
    <row r="3160" spans="1:4" x14ac:dyDescent="0.25">
      <c r="A3160" s="2" t="s">
        <v>2392</v>
      </c>
      <c r="B3160" s="2" t="s">
        <v>42</v>
      </c>
      <c r="C3160" s="31" t="str">
        <f>VLOOKUP(irregulares[[#This Row],[Similar a]],padroes[],2,0)</f>
        <v>ÇAR</v>
      </c>
      <c r="D3160" s="3"/>
    </row>
    <row r="3161" spans="1:4" x14ac:dyDescent="0.25">
      <c r="A3161" s="2" t="s">
        <v>2393</v>
      </c>
      <c r="B3161" s="2" t="s">
        <v>53</v>
      </c>
      <c r="C3161" s="31" t="str">
        <f>VLOOKUP(irregulares[[#This Row],[Similar a]],padroes[],2,0)</f>
        <v>EAR</v>
      </c>
      <c r="D3161" s="3"/>
    </row>
    <row r="3162" spans="1:4" x14ac:dyDescent="0.25">
      <c r="A3162" s="2" t="s">
        <v>2394</v>
      </c>
      <c r="B3162" s="2" t="s">
        <v>55</v>
      </c>
      <c r="C3162" s="31" t="str">
        <f>VLOOKUP(irregulares[[#This Row],[Similar a]],padroes[],2,0)</f>
        <v>EJAR ô</v>
      </c>
      <c r="D3162" s="3"/>
    </row>
    <row r="3163" spans="1:4" x14ac:dyDescent="0.25">
      <c r="A3163" s="2" t="s">
        <v>2395</v>
      </c>
      <c r="B3163" s="2" t="s">
        <v>44</v>
      </c>
      <c r="C3163" s="31" t="str">
        <f>VLOOKUP(irregulares[[#This Row],[Similar a]],padroes[],2,0)</f>
        <v>CAR</v>
      </c>
      <c r="D3163" s="3"/>
    </row>
    <row r="3164" spans="1:4" x14ac:dyDescent="0.25">
      <c r="A3164" s="2" t="s">
        <v>2396</v>
      </c>
      <c r="B3164" s="2" t="s">
        <v>60</v>
      </c>
      <c r="C3164" s="31" t="str">
        <f>VLOOKUP(irregulares[[#This Row],[Similar a]],padroes[],2,0)</f>
        <v>GAR</v>
      </c>
      <c r="D3164" s="3"/>
    </row>
    <row r="3165" spans="1:4" x14ac:dyDescent="0.25">
      <c r="A3165" s="2" t="s">
        <v>2398</v>
      </c>
      <c r="B3165" s="2" t="s">
        <v>53</v>
      </c>
      <c r="C3165" s="31" t="str">
        <f>VLOOKUP(irregulares[[#This Row],[Similar a]],padroes[],2,0)</f>
        <v>EAR</v>
      </c>
      <c r="D3165" s="3"/>
    </row>
    <row r="3166" spans="1:4" x14ac:dyDescent="0.25">
      <c r="A3166" s="2" t="s">
        <v>2399</v>
      </c>
      <c r="B3166" s="2" t="s">
        <v>53</v>
      </c>
      <c r="C3166" s="31" t="str">
        <f>VLOOKUP(irregulares[[#This Row],[Similar a]],padroes[],2,0)</f>
        <v>EAR</v>
      </c>
      <c r="D3166" s="3"/>
    </row>
    <row r="3167" spans="1:4" x14ac:dyDescent="0.25">
      <c r="A3167" s="2" t="s">
        <v>2400</v>
      </c>
      <c r="B3167" s="2" t="s">
        <v>53</v>
      </c>
      <c r="C3167" s="31" t="str">
        <f>VLOOKUP(irregulares[[#This Row],[Similar a]],padroes[],2,0)</f>
        <v>EAR</v>
      </c>
      <c r="D3167" s="3"/>
    </row>
    <row r="3168" spans="1:4" x14ac:dyDescent="0.25">
      <c r="A3168" s="2" t="s">
        <v>2401</v>
      </c>
      <c r="B3168" s="2" t="s">
        <v>53</v>
      </c>
      <c r="C3168" s="31" t="str">
        <f>VLOOKUP(irregulares[[#This Row],[Similar a]],padroes[],2,0)</f>
        <v>EAR</v>
      </c>
      <c r="D3168" s="3"/>
    </row>
    <row r="3169" spans="1:4" x14ac:dyDescent="0.25">
      <c r="A3169" s="2" t="s">
        <v>2402</v>
      </c>
      <c r="B3169" s="2" t="s">
        <v>53</v>
      </c>
      <c r="C3169" s="31" t="str">
        <f>VLOOKUP(irregulares[[#This Row],[Similar a]],padroes[],2,0)</f>
        <v>EAR</v>
      </c>
      <c r="D3169" s="3"/>
    </row>
    <row r="3170" spans="1:4" x14ac:dyDescent="0.25">
      <c r="A3170" s="2" t="s">
        <v>2403</v>
      </c>
      <c r="B3170" s="2" t="s">
        <v>53</v>
      </c>
      <c r="C3170" s="31" t="str">
        <f>VLOOKUP(irregulares[[#This Row],[Similar a]],padroes[],2,0)</f>
        <v>EAR</v>
      </c>
      <c r="D3170" s="3"/>
    </row>
    <row r="3171" spans="1:4" x14ac:dyDescent="0.25">
      <c r="A3171" s="2" t="s">
        <v>2404</v>
      </c>
      <c r="B3171" s="2" t="s">
        <v>44</v>
      </c>
      <c r="C3171" s="31" t="str">
        <f>VLOOKUP(irregulares[[#This Row],[Similar a]],padroes[],2,0)</f>
        <v>CAR</v>
      </c>
      <c r="D3171" s="3"/>
    </row>
    <row r="3172" spans="1:4" x14ac:dyDescent="0.25">
      <c r="A3172" s="2" t="s">
        <v>2405</v>
      </c>
      <c r="B3172" s="2" t="s">
        <v>2406</v>
      </c>
      <c r="C3172" s="31" t="str">
        <f>VLOOKUP(irregulares[[#This Row],[Similar a]],padroes[],2,0)</f>
        <v>RIR</v>
      </c>
      <c r="D3172" s="3"/>
    </row>
    <row r="3173" spans="1:4" x14ac:dyDescent="0.25">
      <c r="A3173" s="2" t="s">
        <v>2407</v>
      </c>
      <c r="B3173" s="2" t="s">
        <v>53</v>
      </c>
      <c r="C3173" s="31" t="str">
        <f>VLOOKUP(irregulares[[#This Row],[Similar a]],padroes[],2,0)</f>
        <v>EAR</v>
      </c>
      <c r="D3173" s="3"/>
    </row>
    <row r="3174" spans="1:4" x14ac:dyDescent="0.25">
      <c r="A3174" s="2" t="s">
        <v>2408</v>
      </c>
      <c r="B3174" s="2" t="s">
        <v>2408</v>
      </c>
      <c r="C3174" s="31" t="str">
        <f>VLOOKUP(irregulares[[#This Row],[Similar a]],padroes[],2,0)</f>
        <v>SORTIR</v>
      </c>
      <c r="D3174" s="3"/>
    </row>
    <row r="3175" spans="1:4" x14ac:dyDescent="0.25">
      <c r="A3175" s="2" t="s">
        <v>2409</v>
      </c>
      <c r="B3175" s="2" t="s">
        <v>60</v>
      </c>
      <c r="C3175" s="31" t="str">
        <f>VLOOKUP(irregulares[[#This Row],[Similar a]],padroes[],2,0)</f>
        <v>GAR</v>
      </c>
      <c r="D3175" s="3"/>
    </row>
    <row r="3176" spans="1:4" x14ac:dyDescent="0.25">
      <c r="A3176" s="2" t="s">
        <v>2410</v>
      </c>
      <c r="B3176" s="2" t="s">
        <v>53</v>
      </c>
      <c r="C3176" s="31" t="str">
        <f>VLOOKUP(irregulares[[#This Row],[Similar a]],padroes[],2,0)</f>
        <v>EAR</v>
      </c>
      <c r="D3176" s="3"/>
    </row>
    <row r="3177" spans="1:4" x14ac:dyDescent="0.25">
      <c r="A3177" s="2" t="s">
        <v>2411</v>
      </c>
      <c r="B3177" s="2" t="s">
        <v>53</v>
      </c>
      <c r="C3177" s="31" t="str">
        <f>VLOOKUP(irregulares[[#This Row],[Similar a]],padroes[],2,0)</f>
        <v>EAR</v>
      </c>
      <c r="D3177" s="3"/>
    </row>
    <row r="3178" spans="1:4" x14ac:dyDescent="0.25">
      <c r="A3178" s="2" t="s">
        <v>2412</v>
      </c>
      <c r="B3178" s="2" t="s">
        <v>267</v>
      </c>
      <c r="C3178" s="31" t="str">
        <f>VLOOKUP(irregulares[[#This Row],[Similar a]],padroes[],2,0)</f>
        <v>POR</v>
      </c>
      <c r="D3178" s="3"/>
    </row>
    <row r="3179" spans="1:4" x14ac:dyDescent="0.25">
      <c r="A3179" s="2" t="s">
        <v>2413</v>
      </c>
      <c r="B3179" s="2" t="s">
        <v>44</v>
      </c>
      <c r="C3179" s="31" t="str">
        <f>VLOOKUP(irregulares[[#This Row],[Similar a]],padroes[],2,0)</f>
        <v>CAR</v>
      </c>
      <c r="D3179" s="3"/>
    </row>
    <row r="3180" spans="1:4" x14ac:dyDescent="0.25">
      <c r="A3180" s="2" t="s">
        <v>2414</v>
      </c>
      <c r="B3180" s="2" t="s">
        <v>74</v>
      </c>
      <c r="C3180" s="31" t="str">
        <f>VLOOKUP(irregulares[[#This Row],[Similar a]],padroes[],2,0)</f>
        <v>GAR</v>
      </c>
      <c r="D3180" s="3"/>
    </row>
    <row r="3181" spans="1:4" x14ac:dyDescent="0.25">
      <c r="A3181" s="2" t="s">
        <v>2415</v>
      </c>
      <c r="B3181" s="2" t="s">
        <v>60</v>
      </c>
      <c r="C3181" s="31" t="str">
        <f>VLOOKUP(irregulares[[#This Row],[Similar a]],padroes[],2,0)</f>
        <v>GAR</v>
      </c>
      <c r="D3181" s="3"/>
    </row>
    <row r="3182" spans="1:4" x14ac:dyDescent="0.25">
      <c r="A3182" s="2" t="s">
        <v>2416</v>
      </c>
      <c r="B3182" s="2" t="s">
        <v>44</v>
      </c>
      <c r="C3182" s="31" t="str">
        <f>VLOOKUP(irregulares[[#This Row],[Similar a]],padroes[],2,0)</f>
        <v>CAR</v>
      </c>
      <c r="D3182" s="3"/>
    </row>
    <row r="3183" spans="1:4" x14ac:dyDescent="0.25">
      <c r="A3183" s="2" t="s">
        <v>2417</v>
      </c>
      <c r="B3183" s="2" t="s">
        <v>2417</v>
      </c>
      <c r="C3183" s="31" t="str">
        <f>VLOOKUP(irregulares[[#This Row],[Similar a]],padroes[],2,0)</f>
        <v>O-X-IR</v>
      </c>
      <c r="D3183" s="3"/>
    </row>
    <row r="3184" spans="1:4" x14ac:dyDescent="0.25">
      <c r="A3184" s="2" t="s">
        <v>2418</v>
      </c>
      <c r="B3184" s="2" t="s">
        <v>74</v>
      </c>
      <c r="C3184" s="31" t="str">
        <f>VLOOKUP(irregulares[[#This Row],[Similar a]],padroes[],2,0)</f>
        <v>GAR</v>
      </c>
      <c r="D3184" s="3"/>
    </row>
    <row r="3185" spans="1:4" x14ac:dyDescent="0.25">
      <c r="A3185" s="2" t="s">
        <v>2419</v>
      </c>
      <c r="B3185" s="2" t="s">
        <v>44</v>
      </c>
      <c r="C3185" s="31" t="str">
        <f>VLOOKUP(irregulares[[#This Row],[Similar a]],padroes[],2,0)</f>
        <v>CAR</v>
      </c>
      <c r="D3185" s="3"/>
    </row>
    <row r="3186" spans="1:4" x14ac:dyDescent="0.25">
      <c r="A3186" s="2" t="s">
        <v>2420</v>
      </c>
      <c r="B3186" s="2" t="s">
        <v>1996</v>
      </c>
      <c r="C3186" s="31" t="str">
        <f>VLOOKUP(irregulares[[#This Row],[Similar a]],padroes[],2,0)</f>
        <v>Defectivo 1</v>
      </c>
      <c r="D3186" s="3"/>
    </row>
    <row r="3187" spans="1:4" x14ac:dyDescent="0.25">
      <c r="A3187" s="2" t="s">
        <v>2421</v>
      </c>
      <c r="B3187" s="2" t="s">
        <v>267</v>
      </c>
      <c r="C3187" s="31" t="str">
        <f>VLOOKUP(irregulares[[#This Row],[Similar a]],padroes[],2,0)</f>
        <v>POR</v>
      </c>
      <c r="D3187" s="3"/>
    </row>
    <row r="3188" spans="1:4" x14ac:dyDescent="0.25">
      <c r="A3188" s="2" t="s">
        <v>2422</v>
      </c>
      <c r="B3188" s="2" t="s">
        <v>74</v>
      </c>
      <c r="C3188" s="31" t="str">
        <f>VLOOKUP(irregulares[[#This Row],[Similar a]],padroes[],2,0)</f>
        <v>GAR</v>
      </c>
      <c r="D3188" s="3"/>
    </row>
    <row r="3189" spans="1:4" x14ac:dyDescent="0.25">
      <c r="A3189" s="2" t="s">
        <v>2365</v>
      </c>
      <c r="B3189" s="2" t="s">
        <v>2363</v>
      </c>
      <c r="C3189" s="31" t="str">
        <f>VLOOKUP(irregulares[[#This Row],[Similar a]],padroes[],2,0)</f>
        <v>Abundante</v>
      </c>
      <c r="D3189" s="3"/>
    </row>
    <row r="3190" spans="1:4" x14ac:dyDescent="0.25">
      <c r="A3190" s="2" t="s">
        <v>2423</v>
      </c>
      <c r="B3190" s="2" t="s">
        <v>2303</v>
      </c>
      <c r="C3190" s="31" t="str">
        <f>VLOOKUP(irregulares[[#This Row],[Similar a]],padroes[],2,0)</f>
        <v>E-X-IR</v>
      </c>
      <c r="D3190" s="3"/>
    </row>
    <row r="3191" spans="1:4" x14ac:dyDescent="0.25">
      <c r="A3191" s="2" t="s">
        <v>2424</v>
      </c>
      <c r="B3191" s="2" t="s">
        <v>63</v>
      </c>
      <c r="C3191" s="31" t="str">
        <f>VLOOKUP(irregulares[[#This Row],[Similar a]],padroes[],2,0)</f>
        <v>CER</v>
      </c>
      <c r="D3191" s="3"/>
    </row>
    <row r="3192" spans="1:4" x14ac:dyDescent="0.25">
      <c r="A3192" s="2" t="s">
        <v>2425</v>
      </c>
      <c r="B3192" s="2" t="s">
        <v>44</v>
      </c>
      <c r="C3192" s="31" t="str">
        <f>VLOOKUP(irregulares[[#This Row],[Similar a]],padroes[],2,0)</f>
        <v>CAR</v>
      </c>
      <c r="D3192" s="3"/>
    </row>
    <row r="3193" spans="1:4" x14ac:dyDescent="0.25">
      <c r="A3193" s="2" t="s">
        <v>2426</v>
      </c>
      <c r="B3193" s="2" t="s">
        <v>82</v>
      </c>
      <c r="C3193" s="31" t="str">
        <f>VLOOKUP(irregulares[[#This Row],[Similar a]],padroes[],2,0)</f>
        <v>UIR</v>
      </c>
      <c r="D3193" s="3"/>
    </row>
    <row r="3194" spans="1:4" x14ac:dyDescent="0.25">
      <c r="A3194" s="2" t="s">
        <v>2427</v>
      </c>
      <c r="B3194" s="2" t="s">
        <v>1785</v>
      </c>
      <c r="C3194" s="31" t="str">
        <f>VLOOKUP(irregulares[[#This Row],[Similar a]],padroes[],2,0)</f>
        <v>FUGIR</v>
      </c>
      <c r="D3194" s="3"/>
    </row>
    <row r="3195" spans="1:4" x14ac:dyDescent="0.25">
      <c r="A3195" s="2" t="s">
        <v>2428</v>
      </c>
      <c r="B3195" s="2" t="s">
        <v>988</v>
      </c>
      <c r="C3195" s="31" t="str">
        <f>VLOOKUP(irregulares[[#This Row],[Similar a]],padroes[],2,0)</f>
        <v>AIR</v>
      </c>
      <c r="D3195" s="3"/>
    </row>
    <row r="3196" spans="1:4" x14ac:dyDescent="0.25">
      <c r="A3196" s="2" t="s">
        <v>2429</v>
      </c>
      <c r="B3196" s="2" t="s">
        <v>53</v>
      </c>
      <c r="C3196" s="31" t="str">
        <f>VLOOKUP(irregulares[[#This Row],[Similar a]],padroes[],2,0)</f>
        <v>EAR</v>
      </c>
      <c r="D3196" s="3"/>
    </row>
    <row r="3197" spans="1:4" x14ac:dyDescent="0.25">
      <c r="A3197" s="2" t="s">
        <v>2430</v>
      </c>
      <c r="B3197" s="2" t="s">
        <v>44</v>
      </c>
      <c r="C3197" s="31" t="str">
        <f>VLOOKUP(irregulares[[#This Row],[Similar a]],padroes[],2,0)</f>
        <v>CAR</v>
      </c>
      <c r="D3197" s="3"/>
    </row>
    <row r="3198" spans="1:4" x14ac:dyDescent="0.25">
      <c r="A3198" s="2" t="s">
        <v>2431</v>
      </c>
      <c r="B3198" s="2" t="s">
        <v>74</v>
      </c>
      <c r="C3198" s="31" t="str">
        <f>VLOOKUP(irregulares[[#This Row],[Similar a]],padroes[],2,0)</f>
        <v>GAR</v>
      </c>
      <c r="D3198" s="3"/>
    </row>
    <row r="3199" spans="1:4" x14ac:dyDescent="0.25">
      <c r="A3199" s="2" t="s">
        <v>2432</v>
      </c>
      <c r="B3199" s="2" t="s">
        <v>74</v>
      </c>
      <c r="C3199" s="31" t="str">
        <f>VLOOKUP(irregulares[[#This Row],[Similar a]],padroes[],2,0)</f>
        <v>GAR</v>
      </c>
      <c r="D3199" s="3"/>
    </row>
    <row r="3200" spans="1:4" x14ac:dyDescent="0.25">
      <c r="A3200" s="2" t="s">
        <v>2433</v>
      </c>
      <c r="B3200" s="2" t="s">
        <v>74</v>
      </c>
      <c r="C3200" s="31" t="str">
        <f>VLOOKUP(irregulares[[#This Row],[Similar a]],padroes[],2,0)</f>
        <v>GAR</v>
      </c>
      <c r="D3200" s="3"/>
    </row>
    <row r="3201" spans="1:4" x14ac:dyDescent="0.25">
      <c r="A3201" s="2" t="s">
        <v>2434</v>
      </c>
      <c r="B3201" s="2" t="s">
        <v>183</v>
      </c>
      <c r="C3201" s="31" t="str">
        <f>VLOOKUP(irregulares[[#This Row],[Similar a]],padroes[],2,0)</f>
        <v>E-X-IR</v>
      </c>
      <c r="D3201" s="3"/>
    </row>
    <row r="3202" spans="1:4" x14ac:dyDescent="0.25">
      <c r="A3202" s="2" t="s">
        <v>2435</v>
      </c>
      <c r="B3202" s="2" t="s">
        <v>141</v>
      </c>
      <c r="C3202" s="31" t="str">
        <f>VLOOKUP(irregulares[[#This Row],[Similar a]],padroes[],2,0)</f>
        <v>Abundante</v>
      </c>
      <c r="D3202" s="3"/>
    </row>
    <row r="3203" spans="1:4" x14ac:dyDescent="0.25">
      <c r="A3203" s="2" t="s">
        <v>2436</v>
      </c>
      <c r="B3203" s="2" t="s">
        <v>74</v>
      </c>
      <c r="C3203" s="31" t="str">
        <f>VLOOKUP(irregulares[[#This Row],[Similar a]],padroes[],2,0)</f>
        <v>GAR</v>
      </c>
      <c r="D3203" s="3"/>
    </row>
    <row r="3204" spans="1:4" x14ac:dyDescent="0.25">
      <c r="A3204" s="2" t="s">
        <v>2437</v>
      </c>
      <c r="B3204" s="2" t="s">
        <v>53</v>
      </c>
      <c r="C3204" s="31" t="str">
        <f>VLOOKUP(irregulares[[#This Row],[Similar a]],padroes[],2,0)</f>
        <v>EAR</v>
      </c>
      <c r="D3204" s="3"/>
    </row>
    <row r="3205" spans="1:4" x14ac:dyDescent="0.25">
      <c r="A3205" s="2" t="s">
        <v>2438</v>
      </c>
      <c r="B3205" s="2" t="s">
        <v>44</v>
      </c>
      <c r="C3205" s="31" t="str">
        <f>VLOOKUP(irregulares[[#This Row],[Similar a]],padroes[],2,0)</f>
        <v>CAR</v>
      </c>
      <c r="D3205" s="3"/>
    </row>
    <row r="3206" spans="1:4" x14ac:dyDescent="0.25">
      <c r="A3206" s="2" t="s">
        <v>2439</v>
      </c>
      <c r="B3206" s="2" t="s">
        <v>53</v>
      </c>
      <c r="C3206" s="31" t="str">
        <f>VLOOKUP(irregulares[[#This Row],[Similar a]],padroes[],2,0)</f>
        <v>EAR</v>
      </c>
      <c r="D3206" s="3"/>
    </row>
    <row r="3207" spans="1:4" x14ac:dyDescent="0.25">
      <c r="A3207" s="2" t="s">
        <v>2440</v>
      </c>
      <c r="B3207" s="2" t="s">
        <v>2440</v>
      </c>
      <c r="C3207" s="31" t="str">
        <f>VLOOKUP(irregulares[[#This Row],[Similar a]],padroes[],2,0)</f>
        <v>SUMIR</v>
      </c>
      <c r="D3207" s="3"/>
    </row>
    <row r="3208" spans="1:4" x14ac:dyDescent="0.25">
      <c r="A3208" s="2" t="s">
        <v>2441</v>
      </c>
      <c r="B3208" s="2" t="s">
        <v>74</v>
      </c>
      <c r="C3208" s="31" t="str">
        <f>VLOOKUP(irregulares[[#This Row],[Similar a]],padroes[],2,0)</f>
        <v>GAR</v>
      </c>
      <c r="D3208" s="3"/>
    </row>
    <row r="3209" spans="1:4" x14ac:dyDescent="0.25">
      <c r="A3209" s="2" t="s">
        <v>2442</v>
      </c>
      <c r="B3209" s="2" t="s">
        <v>63</v>
      </c>
      <c r="C3209" s="31" t="str">
        <f>VLOOKUP(irregulares[[#This Row],[Similar a]],padroes[],2,0)</f>
        <v>CER</v>
      </c>
      <c r="D3209" s="3"/>
    </row>
    <row r="3210" spans="1:4" x14ac:dyDescent="0.25">
      <c r="A3210" s="2" t="s">
        <v>2443</v>
      </c>
      <c r="B3210" s="2" t="s">
        <v>267</v>
      </c>
      <c r="C3210" s="31" t="str">
        <f>VLOOKUP(irregulares[[#This Row],[Similar a]],padroes[],2,0)</f>
        <v>POR</v>
      </c>
      <c r="D3210" s="3"/>
    </row>
    <row r="3211" spans="1:4" x14ac:dyDescent="0.25">
      <c r="A3211" s="2" t="s">
        <v>2444</v>
      </c>
      <c r="B3211" s="2" t="s">
        <v>49</v>
      </c>
      <c r="C3211" s="31" t="str">
        <f>VLOOKUP(irregulares[[#This Row],[Similar a]],padroes[],2,0)</f>
        <v>OAR</v>
      </c>
      <c r="D3211" s="3"/>
    </row>
    <row r="3212" spans="1:4" x14ac:dyDescent="0.25">
      <c r="A3212" s="2" t="s">
        <v>2445</v>
      </c>
      <c r="B3212" s="2" t="s">
        <v>121</v>
      </c>
      <c r="C3212" s="31" t="str">
        <f>VLOOKUP(irregulares[[#This Row],[Similar a]],padroes[],2,0)</f>
        <v>GER</v>
      </c>
      <c r="D3212" s="3"/>
    </row>
    <row r="3213" spans="1:4" x14ac:dyDescent="0.25">
      <c r="A3213" s="2" t="s">
        <v>2446</v>
      </c>
      <c r="B3213" s="2" t="s">
        <v>44</v>
      </c>
      <c r="C3213" s="31" t="str">
        <f>VLOOKUP(irregulares[[#This Row],[Similar a]],padroes[],2,0)</f>
        <v>CAR</v>
      </c>
      <c r="D3213" s="3"/>
    </row>
    <row r="3214" spans="1:4" x14ac:dyDescent="0.25">
      <c r="A3214" s="2" t="s">
        <v>2447</v>
      </c>
      <c r="B3214" s="2" t="s">
        <v>267</v>
      </c>
      <c r="C3214" s="31" t="str">
        <f>VLOOKUP(irregulares[[#This Row],[Similar a]],padroes[],2,0)</f>
        <v>POR</v>
      </c>
      <c r="D3214" s="3"/>
    </row>
    <row r="3215" spans="1:4" x14ac:dyDescent="0.25">
      <c r="A3215" s="2" t="s">
        <v>2448</v>
      </c>
      <c r="B3215" s="2" t="s">
        <v>2008</v>
      </c>
      <c r="C3215" s="31" t="str">
        <f>VLOOKUP(irregulares[[#This Row],[Similar a]],padroes[],2,0)</f>
        <v>Abundante</v>
      </c>
      <c r="D3215" s="3"/>
    </row>
    <row r="3216" spans="1:4" x14ac:dyDescent="0.25">
      <c r="A3216" s="2" t="s">
        <v>2450</v>
      </c>
      <c r="B3216" s="2" t="s">
        <v>44</v>
      </c>
      <c r="C3216" s="31" t="str">
        <f>VLOOKUP(irregulares[[#This Row],[Similar a]],padroes[],2,0)</f>
        <v>CAR</v>
      </c>
      <c r="D3216" s="3"/>
    </row>
    <row r="3217" spans="1:4" x14ac:dyDescent="0.25">
      <c r="A3217" s="2" t="s">
        <v>2451</v>
      </c>
      <c r="B3217" s="2" t="s">
        <v>53</v>
      </c>
      <c r="C3217" s="31" t="str">
        <f>VLOOKUP(irregulares[[#This Row],[Similar a]],padroes[],2,0)</f>
        <v>EAR</v>
      </c>
      <c r="D3217" s="3"/>
    </row>
    <row r="3218" spans="1:4" x14ac:dyDescent="0.25">
      <c r="A3218" s="2" t="s">
        <v>2452</v>
      </c>
      <c r="B3218" s="2" t="s">
        <v>154</v>
      </c>
      <c r="C3218" s="31" t="str">
        <f>VLOOKUP(irregulares[[#This Row],[Similar a]],padroes[],2,0)</f>
        <v>GIR</v>
      </c>
      <c r="D3218" s="3"/>
    </row>
    <row r="3219" spans="1:4" x14ac:dyDescent="0.25">
      <c r="A3219" s="2" t="s">
        <v>2453</v>
      </c>
      <c r="B3219" s="2" t="s">
        <v>2453</v>
      </c>
      <c r="C3219" s="31" t="str">
        <f>VLOOKUP(irregulares[[#This Row],[Similar a]],padroes[],2,0)</f>
        <v>Abundante</v>
      </c>
      <c r="D3219" s="3"/>
    </row>
    <row r="3220" spans="1:4" x14ac:dyDescent="0.25">
      <c r="A3220" s="2" t="s">
        <v>2454</v>
      </c>
      <c r="B3220" s="2" t="s">
        <v>1542</v>
      </c>
      <c r="C3220" s="31" t="str">
        <f>VLOOKUP(irregulares[[#This Row],[Similar a]],padroes[],2,0)</f>
        <v>Defectivo 3</v>
      </c>
      <c r="D3220" s="3"/>
    </row>
    <row r="3221" spans="1:4" x14ac:dyDescent="0.25">
      <c r="A3221" s="2" t="s">
        <v>2455</v>
      </c>
      <c r="B3221" s="2" t="s">
        <v>44</v>
      </c>
      <c r="C3221" s="31" t="str">
        <f>VLOOKUP(irregulares[[#This Row],[Similar a]],padroes[],2,0)</f>
        <v>CAR</v>
      </c>
      <c r="D3221" s="3"/>
    </row>
    <row r="3222" spans="1:4" x14ac:dyDescent="0.25">
      <c r="A3222" s="2" t="s">
        <v>2456</v>
      </c>
      <c r="B3222" s="2" t="s">
        <v>44</v>
      </c>
      <c r="C3222" s="31" t="str">
        <f>VLOOKUP(irregulares[[#This Row],[Similar a]],padroes[],2,0)</f>
        <v>CAR</v>
      </c>
      <c r="D3222" s="3"/>
    </row>
    <row r="3223" spans="1:4" x14ac:dyDescent="0.25">
      <c r="A3223" s="2" t="s">
        <v>2457</v>
      </c>
      <c r="B3223" s="2" t="s">
        <v>2457</v>
      </c>
      <c r="C3223" s="31" t="str">
        <f>VLOOKUP(irregulares[[#This Row],[Similar a]],padroes[],2,0)</f>
        <v>Abundante</v>
      </c>
      <c r="D3223" s="3"/>
    </row>
    <row r="3224" spans="1:4" x14ac:dyDescent="0.25">
      <c r="A3224" s="2" t="s">
        <v>2247</v>
      </c>
      <c r="B3224" s="2" t="s">
        <v>2243</v>
      </c>
      <c r="C3224" s="31" t="str">
        <f>VLOOKUP(irregulares[[#This Row],[Similar a]],padroes[],2,0)</f>
        <v>X-TER</v>
      </c>
      <c r="D3224" s="3"/>
    </row>
    <row r="3225" spans="1:4" x14ac:dyDescent="0.25">
      <c r="A3225" s="2" t="s">
        <v>1805</v>
      </c>
      <c r="B3225" s="2" t="s">
        <v>53</v>
      </c>
      <c r="C3225" s="31" t="str">
        <f>VLOOKUP(irregulares[[#This Row],[Similar a]],padroes[],2,0)</f>
        <v>EAR</v>
      </c>
      <c r="D3225" s="3"/>
    </row>
    <row r="3226" spans="1:4" x14ac:dyDescent="0.25">
      <c r="A3226" s="2" t="s">
        <v>1806</v>
      </c>
      <c r="B3226" s="2" t="s">
        <v>53</v>
      </c>
      <c r="C3226" s="31" t="str">
        <f>VLOOKUP(irregulares[[#This Row],[Similar a]],padroes[],2,0)</f>
        <v>EAR</v>
      </c>
      <c r="D3226" s="3"/>
    </row>
    <row r="3227" spans="1:4" x14ac:dyDescent="0.25">
      <c r="A3227" s="2" t="s">
        <v>1807</v>
      </c>
      <c r="B3227" s="2" t="s">
        <v>44</v>
      </c>
      <c r="C3227" s="31" t="str">
        <f>VLOOKUP(irregulares[[#This Row],[Similar a]],padroes[],2,0)</f>
        <v>CAR</v>
      </c>
      <c r="D3227" s="3"/>
    </row>
    <row r="3228" spans="1:4" x14ac:dyDescent="0.25">
      <c r="A3228" s="2" t="s">
        <v>1808</v>
      </c>
      <c r="B3228" s="2" t="s">
        <v>53</v>
      </c>
      <c r="C3228" s="31" t="str">
        <f>VLOOKUP(irregulares[[#This Row],[Similar a]],padroes[],2,0)</f>
        <v>EAR</v>
      </c>
      <c r="D3228" s="3"/>
    </row>
    <row r="3229" spans="1:4" x14ac:dyDescent="0.25">
      <c r="A3229" s="2" t="s">
        <v>1809</v>
      </c>
      <c r="B3229" s="2" t="s">
        <v>53</v>
      </c>
      <c r="C3229" s="31" t="str">
        <f>VLOOKUP(irregulares[[#This Row],[Similar a]],padroes[],2,0)</f>
        <v>EAR</v>
      </c>
      <c r="D3229" s="3"/>
    </row>
    <row r="3230" spans="1:4" x14ac:dyDescent="0.25">
      <c r="A3230" s="2" t="s">
        <v>1810</v>
      </c>
      <c r="B3230" s="2" t="s">
        <v>44</v>
      </c>
      <c r="C3230" s="31" t="str">
        <f>VLOOKUP(irregulares[[#This Row],[Similar a]],padroes[],2,0)</f>
        <v>CAR</v>
      </c>
      <c r="D3230" s="3"/>
    </row>
    <row r="3231" spans="1:4" x14ac:dyDescent="0.25">
      <c r="A3231" s="2" t="s">
        <v>1811</v>
      </c>
      <c r="B3231" s="2" t="s">
        <v>53</v>
      </c>
      <c r="C3231" s="31" t="str">
        <f>VLOOKUP(irregulares[[#This Row],[Similar a]],padroes[],2,0)</f>
        <v>EAR</v>
      </c>
      <c r="D3231" s="3"/>
    </row>
    <row r="3232" spans="1:4" x14ac:dyDescent="0.25">
      <c r="A3232" s="2" t="s">
        <v>1812</v>
      </c>
      <c r="B3232" s="2" t="s">
        <v>53</v>
      </c>
      <c r="C3232" s="31" t="str">
        <f>VLOOKUP(irregulares[[#This Row],[Similar a]],padroes[],2,0)</f>
        <v>EAR</v>
      </c>
      <c r="D3232" s="3"/>
    </row>
    <row r="3233" spans="1:4" x14ac:dyDescent="0.25">
      <c r="A3233" s="2" t="s">
        <v>1813</v>
      </c>
      <c r="B3233" s="2" t="s">
        <v>74</v>
      </c>
      <c r="C3233" s="31" t="str">
        <f>VLOOKUP(irregulares[[#This Row],[Similar a]],padroes[],2,0)</f>
        <v>GAR</v>
      </c>
      <c r="D3233" s="3"/>
    </row>
    <row r="3234" spans="1:4" x14ac:dyDescent="0.25">
      <c r="A3234" s="2" t="s">
        <v>1814</v>
      </c>
      <c r="B3234" s="2" t="s">
        <v>53</v>
      </c>
      <c r="C3234" s="31" t="str">
        <f>VLOOKUP(irregulares[[#This Row],[Similar a]],padroes[],2,0)</f>
        <v>EAR</v>
      </c>
      <c r="D3234" s="3"/>
    </row>
    <row r="3235" spans="1:4" x14ac:dyDescent="0.25">
      <c r="A3235" s="2" t="s">
        <v>1815</v>
      </c>
      <c r="B3235" s="2" t="s">
        <v>44</v>
      </c>
      <c r="C3235" s="31" t="str">
        <f>VLOOKUP(irregulares[[#This Row],[Similar a]],padroes[],2,0)</f>
        <v>CAR</v>
      </c>
      <c r="D3235" s="3"/>
    </row>
    <row r="3236" spans="1:4" x14ac:dyDescent="0.25">
      <c r="A3236" s="2" t="s">
        <v>1816</v>
      </c>
      <c r="B3236" s="2" t="s">
        <v>53</v>
      </c>
      <c r="C3236" s="31" t="str">
        <f>VLOOKUP(irregulares[[#This Row],[Similar a]],padroes[],2,0)</f>
        <v>EAR</v>
      </c>
      <c r="D3236" s="3"/>
    </row>
    <row r="3237" spans="1:4" x14ac:dyDescent="0.25">
      <c r="A3237" s="2" t="s">
        <v>1817</v>
      </c>
      <c r="B3237" s="2" t="s">
        <v>55</v>
      </c>
      <c r="C3237" s="31" t="str">
        <f>VLOOKUP(irregulares[[#This Row],[Similar a]],padroes[],2,0)</f>
        <v>EJAR ô</v>
      </c>
      <c r="D3237" s="3"/>
    </row>
    <row r="3238" spans="1:4" x14ac:dyDescent="0.25">
      <c r="A3238" s="2" t="s">
        <v>1818</v>
      </c>
      <c r="B3238" s="2" t="s">
        <v>74</v>
      </c>
      <c r="C3238" s="31" t="str">
        <f>VLOOKUP(irregulares[[#This Row],[Similar a]],padroes[],2,0)</f>
        <v>GAR</v>
      </c>
      <c r="D3238" s="3"/>
    </row>
    <row r="3239" spans="1:4" x14ac:dyDescent="0.25">
      <c r="A3239" s="2" t="s">
        <v>110</v>
      </c>
      <c r="B3239" s="2" t="s">
        <v>110</v>
      </c>
      <c r="C3239" s="31" t="str">
        <f>VLOOKUP(irregulares[[#This Row],[Similar a]],padroes[],2,0)</f>
        <v>ANGER</v>
      </c>
      <c r="D3239" s="3"/>
    </row>
    <row r="3240" spans="1:4" x14ac:dyDescent="0.25">
      <c r="A3240" s="2" t="s">
        <v>1819</v>
      </c>
      <c r="B3240" s="2" t="s">
        <v>49</v>
      </c>
      <c r="C3240" s="31" t="str">
        <f>VLOOKUP(irregulares[[#This Row],[Similar a]],padroes[],2,0)</f>
        <v>OAR</v>
      </c>
      <c r="D3240" s="3"/>
    </row>
    <row r="3241" spans="1:4" x14ac:dyDescent="0.25">
      <c r="A3241" s="2" t="s">
        <v>1820</v>
      </c>
      <c r="B3241" s="2" t="s">
        <v>53</v>
      </c>
      <c r="C3241" s="31" t="str">
        <f>VLOOKUP(irregulares[[#This Row],[Similar a]],padroes[],2,0)</f>
        <v>EAR</v>
      </c>
      <c r="D3241" s="3"/>
    </row>
    <row r="3242" spans="1:4" x14ac:dyDescent="0.25">
      <c r="A3242" s="2" t="s">
        <v>1821</v>
      </c>
      <c r="B3242" s="2" t="s">
        <v>42</v>
      </c>
      <c r="C3242" s="31" t="str">
        <f>VLOOKUP(irregulares[[#This Row],[Similar a]],padroes[],2,0)</f>
        <v>ÇAR</v>
      </c>
      <c r="D3242" s="3"/>
    </row>
    <row r="3243" spans="1:4" x14ac:dyDescent="0.25">
      <c r="A3243" s="2" t="s">
        <v>1822</v>
      </c>
      <c r="B3243" s="2" t="s">
        <v>53</v>
      </c>
      <c r="C3243" s="31" t="str">
        <f>VLOOKUP(irregulares[[#This Row],[Similar a]],padroes[],2,0)</f>
        <v>EAR</v>
      </c>
      <c r="D3243" s="3"/>
    </row>
    <row r="3244" spans="1:4" x14ac:dyDescent="0.25">
      <c r="A3244" s="2" t="s">
        <v>1823</v>
      </c>
      <c r="B3244" s="2" t="s">
        <v>53</v>
      </c>
      <c r="C3244" s="31" t="str">
        <f>VLOOKUP(irregulares[[#This Row],[Similar a]],padroes[],2,0)</f>
        <v>EAR</v>
      </c>
      <c r="D3244" s="3"/>
    </row>
    <row r="3245" spans="1:4" x14ac:dyDescent="0.25">
      <c r="A3245" s="2" t="s">
        <v>1824</v>
      </c>
      <c r="B3245" s="2" t="s">
        <v>53</v>
      </c>
      <c r="C3245" s="31" t="str">
        <f>VLOOKUP(irregulares[[#This Row],[Similar a]],padroes[],2,0)</f>
        <v>EAR</v>
      </c>
      <c r="D3245" s="3"/>
    </row>
    <row r="3246" spans="1:4" x14ac:dyDescent="0.25">
      <c r="A3246" s="2" t="s">
        <v>1825</v>
      </c>
      <c r="B3246" s="2" t="s">
        <v>53</v>
      </c>
      <c r="C3246" s="31" t="str">
        <f>VLOOKUP(irregulares[[#This Row],[Similar a]],padroes[],2,0)</f>
        <v>EAR</v>
      </c>
      <c r="D3246" s="3"/>
    </row>
    <row r="3247" spans="1:4" x14ac:dyDescent="0.25">
      <c r="A3247" s="2" t="s">
        <v>1826</v>
      </c>
      <c r="B3247" s="2" t="s">
        <v>53</v>
      </c>
      <c r="C3247" s="31" t="str">
        <f>VLOOKUP(irregulares[[#This Row],[Similar a]],padroes[],2,0)</f>
        <v>EAR</v>
      </c>
      <c r="D3247" s="3"/>
    </row>
    <row r="3248" spans="1:4" x14ac:dyDescent="0.25">
      <c r="A3248" s="2" t="s">
        <v>1827</v>
      </c>
      <c r="B3248" s="2" t="s">
        <v>53</v>
      </c>
      <c r="C3248" s="31" t="str">
        <f>VLOOKUP(irregulares[[#This Row],[Similar a]],padroes[],2,0)</f>
        <v>EAR</v>
      </c>
      <c r="D3248" s="3"/>
    </row>
    <row r="3249" spans="1:4" x14ac:dyDescent="0.25">
      <c r="A3249" s="2" t="s">
        <v>1828</v>
      </c>
      <c r="B3249" s="2" t="s">
        <v>53</v>
      </c>
      <c r="C3249" s="31" t="str">
        <f>VLOOKUP(irregulares[[#This Row],[Similar a]],padroes[],2,0)</f>
        <v>EAR</v>
      </c>
      <c r="D3249" s="3"/>
    </row>
    <row r="3250" spans="1:4" x14ac:dyDescent="0.25">
      <c r="A3250" s="2" t="s">
        <v>1829</v>
      </c>
      <c r="B3250" s="2" t="s">
        <v>53</v>
      </c>
      <c r="C3250" s="31" t="str">
        <f>VLOOKUP(irregulares[[#This Row],[Similar a]],padroes[],2,0)</f>
        <v>EAR</v>
      </c>
      <c r="D3250" s="3"/>
    </row>
    <row r="3251" spans="1:4" x14ac:dyDescent="0.25">
      <c r="A3251" s="2" t="s">
        <v>1830</v>
      </c>
      <c r="B3251" s="2" t="s">
        <v>44</v>
      </c>
      <c r="C3251" s="31" t="str">
        <f>VLOOKUP(irregulares[[#This Row],[Similar a]],padroes[],2,0)</f>
        <v>CAR</v>
      </c>
      <c r="D3251" s="3"/>
    </row>
    <row r="3252" spans="1:4" x14ac:dyDescent="0.25">
      <c r="A3252" s="2" t="s">
        <v>1831</v>
      </c>
      <c r="B3252" s="2" t="s">
        <v>74</v>
      </c>
      <c r="C3252" s="31" t="str">
        <f>VLOOKUP(irregulares[[#This Row],[Similar a]],padroes[],2,0)</f>
        <v>GAR</v>
      </c>
      <c r="D3252" s="3"/>
    </row>
    <row r="3253" spans="1:4" x14ac:dyDescent="0.25">
      <c r="A3253" s="2" t="s">
        <v>1832</v>
      </c>
      <c r="B3253" s="2" t="s">
        <v>44</v>
      </c>
      <c r="C3253" s="31" t="str">
        <f>VLOOKUP(irregulares[[#This Row],[Similar a]],padroes[],2,0)</f>
        <v>CAR</v>
      </c>
      <c r="D3253" s="3"/>
    </row>
    <row r="3254" spans="1:4" x14ac:dyDescent="0.25">
      <c r="A3254" s="2" t="s">
        <v>1833</v>
      </c>
      <c r="B3254" s="2" t="s">
        <v>53</v>
      </c>
      <c r="C3254" s="31" t="str">
        <f>VLOOKUP(irregulares[[#This Row],[Similar a]],padroes[],2,0)</f>
        <v>EAR</v>
      </c>
      <c r="D3254" s="3"/>
    </row>
    <row r="3255" spans="1:4" x14ac:dyDescent="0.25">
      <c r="A3255" s="2" t="s">
        <v>1834</v>
      </c>
      <c r="B3255" s="2" t="s">
        <v>53</v>
      </c>
      <c r="C3255" s="31" t="str">
        <f>VLOOKUP(irregulares[[#This Row],[Similar a]],padroes[],2,0)</f>
        <v>EAR</v>
      </c>
      <c r="D3255" s="3"/>
    </row>
    <row r="3256" spans="1:4" x14ac:dyDescent="0.25">
      <c r="A3256" s="2" t="s">
        <v>1835</v>
      </c>
      <c r="B3256" s="2" t="s">
        <v>44</v>
      </c>
      <c r="C3256" s="31" t="str">
        <f>VLOOKUP(irregulares[[#This Row],[Similar a]],padroes[],2,0)</f>
        <v>CAR</v>
      </c>
      <c r="D3256" s="3"/>
    </row>
    <row r="3257" spans="1:4" x14ac:dyDescent="0.25">
      <c r="A3257" s="2" t="s">
        <v>1836</v>
      </c>
      <c r="B3257" s="2" t="s">
        <v>53</v>
      </c>
      <c r="C3257" s="31" t="str">
        <f>VLOOKUP(irregulares[[#This Row],[Similar a]],padroes[],2,0)</f>
        <v>EAR</v>
      </c>
      <c r="D3257" s="3"/>
    </row>
    <row r="3258" spans="1:4" x14ac:dyDescent="0.25">
      <c r="A3258" s="2" t="s">
        <v>1837</v>
      </c>
      <c r="B3258" s="2" t="s">
        <v>250</v>
      </c>
      <c r="C3258" s="31" t="str">
        <f>VLOOKUP(irregulares[[#This Row],[Similar a]],padroes[],2,0)</f>
        <v>VER</v>
      </c>
      <c r="D3258" s="3"/>
    </row>
    <row r="3259" spans="1:4" x14ac:dyDescent="0.25">
      <c r="A3259" s="2" t="s">
        <v>1838</v>
      </c>
      <c r="B3259" s="2" t="s">
        <v>157</v>
      </c>
      <c r="C3259" s="31" t="str">
        <f>VLOOKUP(irregulares[[#This Row],[Similar a]],padroes[],2,0)</f>
        <v>ELHAR</v>
      </c>
      <c r="D3259" s="3"/>
    </row>
    <row r="3260" spans="1:4" x14ac:dyDescent="0.25">
      <c r="A3260" s="2" t="s">
        <v>1839</v>
      </c>
      <c r="B3260" s="2" t="s">
        <v>53</v>
      </c>
      <c r="C3260" s="31" t="str">
        <f>VLOOKUP(irregulares[[#This Row],[Similar a]],padroes[],2,0)</f>
        <v>EAR</v>
      </c>
      <c r="D3260" s="3"/>
    </row>
    <row r="3261" spans="1:4" x14ac:dyDescent="0.25">
      <c r="A3261" s="2" t="s">
        <v>1840</v>
      </c>
      <c r="B3261" s="2" t="s">
        <v>53</v>
      </c>
      <c r="C3261" s="31" t="str">
        <f>VLOOKUP(irregulares[[#This Row],[Similar a]],padroes[],2,0)</f>
        <v>EAR</v>
      </c>
      <c r="D3261" s="3"/>
    </row>
    <row r="3262" spans="1:4" x14ac:dyDescent="0.25">
      <c r="A3262" s="2" t="s">
        <v>1</v>
      </c>
      <c r="B3262" s="2" t="s">
        <v>1</v>
      </c>
      <c r="C3262" s="2" t="str">
        <f>VLOOKUP(irregulares[[#This Row],[Similar a]],padroes[],2,0)</f>
        <v>TER</v>
      </c>
      <c r="D3262" s="3"/>
    </row>
    <row r="3263" spans="1:4" x14ac:dyDescent="0.25">
      <c r="A3263" s="2" t="s">
        <v>1841</v>
      </c>
      <c r="B3263" s="2" t="s">
        <v>42</v>
      </c>
      <c r="C3263" s="31" t="str">
        <f>VLOOKUP(irregulares[[#This Row],[Similar a]],padroes[],2,0)</f>
        <v>ÇAR</v>
      </c>
      <c r="D3263" s="3"/>
    </row>
    <row r="3264" spans="1:4" x14ac:dyDescent="0.25">
      <c r="A3264" s="2" t="s">
        <v>1842</v>
      </c>
      <c r="B3264" s="2" t="s">
        <v>44</v>
      </c>
      <c r="C3264" s="31" t="str">
        <f>VLOOKUP(irregulares[[#This Row],[Similar a]],padroes[],2,0)</f>
        <v>CAR</v>
      </c>
      <c r="D3264" s="3"/>
    </row>
    <row r="3265" spans="1:4" x14ac:dyDescent="0.25">
      <c r="A3265" s="2" t="s">
        <v>1843</v>
      </c>
      <c r="B3265" s="2" t="s">
        <v>44</v>
      </c>
      <c r="C3265" s="31" t="str">
        <f>VLOOKUP(irregulares[[#This Row],[Similar a]],padroes[],2,0)</f>
        <v>CAR</v>
      </c>
      <c r="D3265" s="3"/>
    </row>
    <row r="3266" spans="1:4" x14ac:dyDescent="0.25">
      <c r="A3266" s="2" t="s">
        <v>1844</v>
      </c>
      <c r="B3266" s="2" t="s">
        <v>74</v>
      </c>
      <c r="C3266" s="31" t="str">
        <f>VLOOKUP(irregulares[[#This Row],[Similar a]],padroes[],2,0)</f>
        <v>GAR</v>
      </c>
      <c r="D3266" s="3"/>
    </row>
    <row r="3267" spans="1:4" x14ac:dyDescent="0.25">
      <c r="A3267" s="2" t="s">
        <v>1845</v>
      </c>
      <c r="B3267" s="2" t="s">
        <v>44</v>
      </c>
      <c r="C3267" s="31" t="str">
        <f>VLOOKUP(irregulares[[#This Row],[Similar a]],padroes[],2,0)</f>
        <v>CAR</v>
      </c>
      <c r="D3267" s="3"/>
    </row>
    <row r="3268" spans="1:4" x14ac:dyDescent="0.25">
      <c r="A3268" s="2" t="s">
        <v>1846</v>
      </c>
      <c r="B3268" s="2" t="s">
        <v>53</v>
      </c>
      <c r="C3268" s="31" t="str">
        <f>VLOOKUP(irregulares[[#This Row],[Similar a]],padroes[],2,0)</f>
        <v>EAR</v>
      </c>
      <c r="D3268" s="3"/>
    </row>
    <row r="3269" spans="1:4" x14ac:dyDescent="0.25">
      <c r="A3269" s="2" t="s">
        <v>1847</v>
      </c>
      <c r="B3269" s="2" t="s">
        <v>1847</v>
      </c>
      <c r="C3269" s="31" t="str">
        <f>VLOOKUP(irregulares[[#This Row],[Similar a]],padroes[],2,0)</f>
        <v>GIR</v>
      </c>
      <c r="D3269" s="3"/>
    </row>
    <row r="3270" spans="1:4" x14ac:dyDescent="0.25">
      <c r="A3270" s="2" t="s">
        <v>1848</v>
      </c>
      <c r="B3270" s="2" t="s">
        <v>1717</v>
      </c>
      <c r="C3270" s="31" t="str">
        <f>VLOOKUP(irregulares[[#This Row],[Similar a]],padroes[],2,0)</f>
        <v>Defectivo 1</v>
      </c>
      <c r="D3270" s="3"/>
    </row>
    <row r="3271" spans="1:4" x14ac:dyDescent="0.25">
      <c r="A3271" s="2" t="s">
        <v>1849</v>
      </c>
      <c r="B3271" s="2" t="s">
        <v>44</v>
      </c>
      <c r="C3271" s="31" t="str">
        <f>VLOOKUP(irregulares[[#This Row],[Similar a]],padroes[],2,0)</f>
        <v>CAR</v>
      </c>
      <c r="D3271" s="3"/>
    </row>
    <row r="3272" spans="1:4" x14ac:dyDescent="0.25">
      <c r="A3272" s="2" t="s">
        <v>1850</v>
      </c>
      <c r="B3272" s="2" t="s">
        <v>44</v>
      </c>
      <c r="C3272" s="31" t="str">
        <f>VLOOKUP(irregulares[[#This Row],[Similar a]],padroes[],2,0)</f>
        <v>CAR</v>
      </c>
      <c r="D3272" s="3"/>
    </row>
    <row r="3273" spans="1:4" x14ac:dyDescent="0.25">
      <c r="A3273" s="2" t="s">
        <v>1851</v>
      </c>
      <c r="B3273" s="2" t="s">
        <v>53</v>
      </c>
      <c r="C3273" s="31" t="str">
        <f>VLOOKUP(irregulares[[#This Row],[Similar a]],padroes[],2,0)</f>
        <v>EAR</v>
      </c>
      <c r="D3273" s="3"/>
    </row>
    <row r="3274" spans="1:4" x14ac:dyDescent="0.25">
      <c r="A3274" s="2" t="s">
        <v>1852</v>
      </c>
      <c r="B3274" s="2" t="s">
        <v>1540</v>
      </c>
      <c r="C3274" s="31" t="str">
        <f>VLOOKUP(irregulares[[#This Row],[Similar a]],padroes[],2,0)</f>
        <v>Defectivo 3</v>
      </c>
      <c r="D3274" s="3"/>
    </row>
    <row r="3275" spans="1:4" x14ac:dyDescent="0.25">
      <c r="A3275" s="2" t="s">
        <v>1853</v>
      </c>
      <c r="B3275" s="2" t="s">
        <v>53</v>
      </c>
      <c r="C3275" s="31" t="str">
        <f>VLOOKUP(irregulares[[#This Row],[Similar a]],padroes[],2,0)</f>
        <v>EAR</v>
      </c>
      <c r="D3275" s="3"/>
    </row>
    <row r="3276" spans="1:4" x14ac:dyDescent="0.25">
      <c r="A3276" s="2" t="s">
        <v>1854</v>
      </c>
      <c r="B3276" s="2" t="s">
        <v>53</v>
      </c>
      <c r="C3276" s="31" t="str">
        <f>VLOOKUP(irregulares[[#This Row],[Similar a]],padroes[],2,0)</f>
        <v>EAR</v>
      </c>
      <c r="D3276" s="3"/>
    </row>
    <row r="3277" spans="1:4" x14ac:dyDescent="0.25">
      <c r="A3277" s="2" t="s">
        <v>1855</v>
      </c>
      <c r="B3277" s="2" t="s">
        <v>53</v>
      </c>
      <c r="C3277" s="31" t="str">
        <f>VLOOKUP(irregulares[[#This Row],[Similar a]],padroes[],2,0)</f>
        <v>EAR</v>
      </c>
      <c r="D3277" s="3"/>
    </row>
    <row r="3278" spans="1:4" x14ac:dyDescent="0.25">
      <c r="A3278" s="2" t="s">
        <v>1856</v>
      </c>
      <c r="B3278" s="2" t="s">
        <v>44</v>
      </c>
      <c r="C3278" s="31" t="str">
        <f>VLOOKUP(irregulares[[#This Row],[Similar a]],padroes[],2,0)</f>
        <v>CAR</v>
      </c>
      <c r="D3278" s="3"/>
    </row>
    <row r="3279" spans="1:4" x14ac:dyDescent="0.25">
      <c r="A3279" s="2" t="s">
        <v>1857</v>
      </c>
      <c r="B3279" s="2" t="s">
        <v>53</v>
      </c>
      <c r="C3279" s="31" t="str">
        <f>VLOOKUP(irregulares[[#This Row],[Similar a]],padroes[],2,0)</f>
        <v>EAR</v>
      </c>
      <c r="D3279" s="3"/>
    </row>
    <row r="3280" spans="1:4" x14ac:dyDescent="0.25">
      <c r="A3280" s="2" t="s">
        <v>1858</v>
      </c>
      <c r="B3280" s="2" t="s">
        <v>49</v>
      </c>
      <c r="C3280" s="31" t="str">
        <f>VLOOKUP(irregulares[[#This Row],[Similar a]],padroes[],2,0)</f>
        <v>OAR</v>
      </c>
      <c r="D3280" s="3"/>
    </row>
    <row r="3281" spans="1:4" x14ac:dyDescent="0.25">
      <c r="A3281" s="2" t="s">
        <v>1859</v>
      </c>
      <c r="B3281" s="2" t="s">
        <v>44</v>
      </c>
      <c r="C3281" s="31" t="str">
        <f>VLOOKUP(irregulares[[#This Row],[Similar a]],padroes[],2,0)</f>
        <v>CAR</v>
      </c>
      <c r="D3281" s="3"/>
    </row>
    <row r="3282" spans="1:4" x14ac:dyDescent="0.25">
      <c r="A3282" s="2" t="s">
        <v>1860</v>
      </c>
      <c r="B3282" s="2" t="s">
        <v>53</v>
      </c>
      <c r="C3282" s="31" t="str">
        <f>VLOOKUP(irregulares[[#This Row],[Similar a]],padroes[],2,0)</f>
        <v>EAR</v>
      </c>
      <c r="D3282" s="3"/>
    </row>
    <row r="3283" spans="1:4" x14ac:dyDescent="0.25">
      <c r="A3283" s="2" t="s">
        <v>1861</v>
      </c>
      <c r="B3283" s="2" t="s">
        <v>53</v>
      </c>
      <c r="C3283" s="31" t="str">
        <f>VLOOKUP(irregulares[[#This Row],[Similar a]],padroes[],2,0)</f>
        <v>EAR</v>
      </c>
      <c r="D3283" s="3"/>
    </row>
    <row r="3284" spans="1:4" x14ac:dyDescent="0.25">
      <c r="A3284" s="2" t="s">
        <v>1862</v>
      </c>
      <c r="B3284" s="2" t="s">
        <v>55</v>
      </c>
      <c r="C3284" s="31" t="str">
        <f>VLOOKUP(irregulares[[#This Row],[Similar a]],padroes[],2,0)</f>
        <v>EJAR ô</v>
      </c>
      <c r="D3284" s="3"/>
    </row>
    <row r="3285" spans="1:4" x14ac:dyDescent="0.25">
      <c r="A3285" s="2" t="s">
        <v>1863</v>
      </c>
      <c r="B3285" s="2" t="s">
        <v>44</v>
      </c>
      <c r="C3285" s="31" t="str">
        <f>VLOOKUP(irregulares[[#This Row],[Similar a]],padroes[],2,0)</f>
        <v>CAR</v>
      </c>
      <c r="D3285" s="3"/>
    </row>
    <row r="3286" spans="1:4" x14ac:dyDescent="0.25">
      <c r="A3286" s="2" t="s">
        <v>1864</v>
      </c>
      <c r="B3286" s="2" t="s">
        <v>53</v>
      </c>
      <c r="C3286" s="31" t="str">
        <f>VLOOKUP(irregulares[[#This Row],[Similar a]],padroes[],2,0)</f>
        <v>EAR</v>
      </c>
      <c r="D3286" s="3"/>
    </row>
    <row r="3287" spans="1:4" x14ac:dyDescent="0.25">
      <c r="A3287" s="2" t="s">
        <v>1865</v>
      </c>
      <c r="B3287" s="2" t="s">
        <v>63</v>
      </c>
      <c r="C3287" s="31" t="str">
        <f>VLOOKUP(irregulares[[#This Row],[Similar a]],padroes[],2,0)</f>
        <v>CER</v>
      </c>
      <c r="D3287" s="3"/>
    </row>
    <row r="3288" spans="1:4" x14ac:dyDescent="0.25">
      <c r="A3288" s="2" t="s">
        <v>1866</v>
      </c>
      <c r="B3288" s="2" t="s">
        <v>53</v>
      </c>
      <c r="C3288" s="31" t="str">
        <f>VLOOKUP(irregulares[[#This Row],[Similar a]],padroes[],2,0)</f>
        <v>EAR</v>
      </c>
      <c r="D3288" s="3"/>
    </row>
    <row r="3289" spans="1:4" x14ac:dyDescent="0.25">
      <c r="A3289" s="2" t="s">
        <v>1867</v>
      </c>
      <c r="B3289" s="2" t="s">
        <v>55</v>
      </c>
      <c r="C3289" s="31" t="str">
        <f>VLOOKUP(irregulares[[#This Row],[Similar a]],padroes[],2,0)</f>
        <v>EJAR ô</v>
      </c>
      <c r="D3289" s="3"/>
    </row>
    <row r="3290" spans="1:4" x14ac:dyDescent="0.25">
      <c r="A3290" s="2" t="s">
        <v>1868</v>
      </c>
      <c r="B3290" s="2" t="s">
        <v>63</v>
      </c>
      <c r="C3290" s="31" t="str">
        <f>VLOOKUP(irregulares[[#This Row],[Similar a]],padroes[],2,0)</f>
        <v>CER</v>
      </c>
      <c r="D3290" s="3"/>
    </row>
    <row r="3291" spans="1:4" x14ac:dyDescent="0.25">
      <c r="A3291" s="2" t="s">
        <v>1869</v>
      </c>
      <c r="B3291" s="2" t="s">
        <v>53</v>
      </c>
      <c r="C3291" s="31" t="str">
        <f>VLOOKUP(irregulares[[#This Row],[Similar a]],padroes[],2,0)</f>
        <v>EAR</v>
      </c>
      <c r="D3291" s="3"/>
    </row>
    <row r="3292" spans="1:4" x14ac:dyDescent="0.25">
      <c r="A3292" s="2" t="s">
        <v>1870</v>
      </c>
      <c r="B3292" s="2" t="s">
        <v>53</v>
      </c>
      <c r="C3292" s="31" t="str">
        <f>VLOOKUP(irregulares[[#This Row],[Similar a]],padroes[],2,0)</f>
        <v>EAR</v>
      </c>
      <c r="D3292" s="3"/>
    </row>
    <row r="3293" spans="1:4" x14ac:dyDescent="0.25">
      <c r="A3293" s="2" t="s">
        <v>1871</v>
      </c>
      <c r="B3293" s="2" t="s">
        <v>859</v>
      </c>
      <c r="C3293" s="31" t="str">
        <f>VLOOKUP(irregulares[[#This Row],[Similar a]],padroes[],2,0)</f>
        <v>FAZER</v>
      </c>
      <c r="D3293" s="3"/>
    </row>
    <row r="3294" spans="1:4" x14ac:dyDescent="0.25">
      <c r="A3294" s="2" t="s">
        <v>1872</v>
      </c>
      <c r="B3294" s="2" t="s">
        <v>55</v>
      </c>
      <c r="C3294" s="31" t="str">
        <f>VLOOKUP(irregulares[[#This Row],[Similar a]],padroes[],2,0)</f>
        <v>EJAR ô</v>
      </c>
      <c r="D3294" s="3"/>
    </row>
    <row r="3295" spans="1:4" x14ac:dyDescent="0.25">
      <c r="A3295" s="2" t="s">
        <v>1873</v>
      </c>
      <c r="B3295" s="2" t="s">
        <v>44</v>
      </c>
      <c r="C3295" s="31" t="str">
        <f>VLOOKUP(irregulares[[#This Row],[Similar a]],padroes[],2,0)</f>
        <v>CAR</v>
      </c>
      <c r="D3295" s="3"/>
    </row>
    <row r="3296" spans="1:4" x14ac:dyDescent="0.25">
      <c r="A3296" s="2" t="s">
        <v>1874</v>
      </c>
      <c r="B3296" s="2" t="s">
        <v>55</v>
      </c>
      <c r="C3296" s="31" t="str">
        <f>VLOOKUP(irregulares[[#This Row],[Similar a]],padroes[],2,0)</f>
        <v>EJAR ô</v>
      </c>
      <c r="D3296" s="3"/>
    </row>
    <row r="3297" spans="1:4" x14ac:dyDescent="0.25">
      <c r="A3297" s="2" t="s">
        <v>1875</v>
      </c>
      <c r="B3297" s="2" t="s">
        <v>44</v>
      </c>
      <c r="C3297" s="31" t="str">
        <f>VLOOKUP(irregulares[[#This Row],[Similar a]],padroes[],2,0)</f>
        <v>CAR</v>
      </c>
      <c r="D3297" s="3"/>
    </row>
    <row r="3298" spans="1:4" x14ac:dyDescent="0.25">
      <c r="A3298" s="2" t="s">
        <v>1876</v>
      </c>
      <c r="B3298" s="2" t="s">
        <v>55</v>
      </c>
      <c r="C3298" s="31" t="str">
        <f>VLOOKUP(irregulares[[#This Row],[Similar a]],padroes[],2,0)</f>
        <v>EJAR ô</v>
      </c>
      <c r="D3298" s="3"/>
    </row>
    <row r="3299" spans="1:4" x14ac:dyDescent="0.25">
      <c r="A3299" s="2" t="s">
        <v>1877</v>
      </c>
      <c r="B3299" s="2" t="s">
        <v>44</v>
      </c>
      <c r="C3299" s="31" t="str">
        <f>VLOOKUP(irregulares[[#This Row],[Similar a]],padroes[],2,0)</f>
        <v>CAR</v>
      </c>
      <c r="D3299" s="3"/>
    </row>
    <row r="3300" spans="1:4" x14ac:dyDescent="0.25">
      <c r="A3300" s="2" t="s">
        <v>1878</v>
      </c>
      <c r="B3300" s="2" t="s">
        <v>1878</v>
      </c>
      <c r="C3300" s="31" t="str">
        <f>VLOOKUP(irregulares[[#This Row],[Similar a]],padroes[],2,0)</f>
        <v>TOSSIR</v>
      </c>
      <c r="D3300" s="3"/>
    </row>
    <row r="3301" spans="1:4" x14ac:dyDescent="0.25">
      <c r="A3301" s="2" t="s">
        <v>1879</v>
      </c>
      <c r="B3301" s="2" t="s">
        <v>44</v>
      </c>
      <c r="C3301" s="31" t="str">
        <f>VLOOKUP(irregulares[[#This Row],[Similar a]],padroes[],2,0)</f>
        <v>CAR</v>
      </c>
      <c r="D3301" s="3"/>
    </row>
    <row r="3302" spans="1:4" x14ac:dyDescent="0.25">
      <c r="A3302" s="2" t="s">
        <v>1880</v>
      </c>
      <c r="B3302" s="2" t="s">
        <v>53</v>
      </c>
      <c r="C3302" s="31" t="str">
        <f>VLOOKUP(irregulares[[#This Row],[Similar a]],padroes[],2,0)</f>
        <v>EAR</v>
      </c>
      <c r="D3302" s="3"/>
    </row>
    <row r="3303" spans="1:4" x14ac:dyDescent="0.25">
      <c r="A3303" s="2" t="s">
        <v>1881</v>
      </c>
      <c r="B3303" s="2" t="s">
        <v>53</v>
      </c>
      <c r="C3303" s="31" t="str">
        <f>VLOOKUP(irregulares[[#This Row],[Similar a]],padroes[],2,0)</f>
        <v>EAR</v>
      </c>
      <c r="D3303" s="3"/>
    </row>
    <row r="3304" spans="1:4" x14ac:dyDescent="0.25">
      <c r="A3304" s="2" t="s">
        <v>1882</v>
      </c>
      <c r="B3304" s="2" t="s">
        <v>44</v>
      </c>
      <c r="C3304" s="31" t="str">
        <f>VLOOKUP(irregulares[[#This Row],[Similar a]],padroes[],2,0)</f>
        <v>CAR</v>
      </c>
      <c r="D3304" s="3"/>
    </row>
    <row r="3305" spans="1:4" x14ac:dyDescent="0.25">
      <c r="A3305" s="2" t="s">
        <v>1883</v>
      </c>
      <c r="B3305" s="2" t="s">
        <v>44</v>
      </c>
      <c r="C3305" s="31" t="str">
        <f>VLOOKUP(irregulares[[#This Row],[Similar a]],padroes[],2,0)</f>
        <v>CAR</v>
      </c>
      <c r="D3305" s="3"/>
    </row>
    <row r="3306" spans="1:4" x14ac:dyDescent="0.25">
      <c r="A3306" s="2" t="s">
        <v>1884</v>
      </c>
      <c r="B3306" s="2" t="s">
        <v>42</v>
      </c>
      <c r="C3306" s="31" t="str">
        <f>VLOOKUP(irregulares[[#This Row],[Similar a]],padroes[],2,0)</f>
        <v>ÇAR</v>
      </c>
      <c r="D3306" s="3"/>
    </row>
    <row r="3307" spans="1:4" x14ac:dyDescent="0.25">
      <c r="A3307" s="2" t="s">
        <v>1885</v>
      </c>
      <c r="B3307" s="2" t="s">
        <v>55</v>
      </c>
      <c r="C3307" s="31" t="str">
        <f>VLOOKUP(irregulares[[#This Row],[Similar a]],padroes[],2,0)</f>
        <v>EJAR ô</v>
      </c>
      <c r="D3307" s="3"/>
    </row>
    <row r="3308" spans="1:4" x14ac:dyDescent="0.25">
      <c r="A3308" s="2" t="s">
        <v>1886</v>
      </c>
      <c r="B3308" s="2" t="s">
        <v>53</v>
      </c>
      <c r="C3308" s="31" t="str">
        <f>VLOOKUP(irregulares[[#This Row],[Similar a]],padroes[],2,0)</f>
        <v>EAR</v>
      </c>
      <c r="D3308" s="3"/>
    </row>
    <row r="3309" spans="1:4" x14ac:dyDescent="0.25">
      <c r="A3309" s="2" t="s">
        <v>1887</v>
      </c>
      <c r="B3309" s="2" t="s">
        <v>1887</v>
      </c>
      <c r="C3309" s="31" t="str">
        <f>VLOOKUP(irregulares[[#This Row],[Similar a]],padroes[],2,0)</f>
        <v>UZIR</v>
      </c>
      <c r="D3309" s="3"/>
    </row>
    <row r="3310" spans="1:4" x14ac:dyDescent="0.25">
      <c r="A3310" s="2" t="s">
        <v>1888</v>
      </c>
      <c r="B3310" s="2" t="s">
        <v>60</v>
      </c>
      <c r="C3310" s="31" t="str">
        <f>VLOOKUP(irregulares[[#This Row],[Similar a]],padroes[],2,0)</f>
        <v>GAR</v>
      </c>
      <c r="D3310" s="3"/>
    </row>
    <row r="3311" spans="1:4" x14ac:dyDescent="0.25">
      <c r="A3311" s="2" t="s">
        <v>1889</v>
      </c>
      <c r="B3311" s="2" t="s">
        <v>53</v>
      </c>
      <c r="C3311" s="31" t="str">
        <f>VLOOKUP(irregulares[[#This Row],[Similar a]],padroes[],2,0)</f>
        <v>EAR</v>
      </c>
      <c r="D3311" s="3"/>
    </row>
    <row r="3312" spans="1:4" x14ac:dyDescent="0.25">
      <c r="A3312" s="2" t="s">
        <v>1890</v>
      </c>
      <c r="B3312" s="2" t="s">
        <v>44</v>
      </c>
      <c r="C3312" s="31" t="str">
        <f>VLOOKUP(irregulares[[#This Row],[Similar a]],padroes[],2,0)</f>
        <v>CAR</v>
      </c>
      <c r="D3312" s="3"/>
    </row>
    <row r="3313" spans="1:4" x14ac:dyDescent="0.25">
      <c r="A3313" s="2" t="s">
        <v>1891</v>
      </c>
      <c r="B3313" s="2" t="s">
        <v>74</v>
      </c>
      <c r="C3313" s="31" t="str">
        <f>VLOOKUP(irregulares[[#This Row],[Similar a]],padroes[],2,0)</f>
        <v>GAR</v>
      </c>
      <c r="D3313" s="3"/>
    </row>
    <row r="3314" spans="1:4" x14ac:dyDescent="0.25">
      <c r="A3314" s="2" t="s">
        <v>1892</v>
      </c>
      <c r="B3314" s="2" t="s">
        <v>53</v>
      </c>
      <c r="C3314" s="31" t="str">
        <f>VLOOKUP(irregulares[[#This Row],[Similar a]],padroes[],2,0)</f>
        <v>EAR</v>
      </c>
      <c r="D3314" s="3"/>
    </row>
    <row r="3315" spans="1:4" x14ac:dyDescent="0.25">
      <c r="A3315" s="2" t="s">
        <v>1893</v>
      </c>
      <c r="B3315" s="2" t="s">
        <v>988</v>
      </c>
      <c r="C3315" s="31" t="str">
        <f>VLOOKUP(irregulares[[#This Row],[Similar a]],padroes[],2,0)</f>
        <v>AIR</v>
      </c>
      <c r="D3315" s="3"/>
    </row>
    <row r="3316" spans="1:4" x14ac:dyDescent="0.25">
      <c r="A3316" s="2" t="s">
        <v>1894</v>
      </c>
      <c r="B3316" s="2" t="s">
        <v>53</v>
      </c>
      <c r="C3316" s="31" t="str">
        <f>VLOOKUP(irregulares[[#This Row],[Similar a]],padroes[],2,0)</f>
        <v>EAR</v>
      </c>
      <c r="D3316" s="3"/>
    </row>
    <row r="3317" spans="1:4" x14ac:dyDescent="0.25">
      <c r="A3317" s="2" t="s">
        <v>1895</v>
      </c>
      <c r="B3317" s="2" t="s">
        <v>44</v>
      </c>
      <c r="C3317" s="31" t="str">
        <f>VLOOKUP(irregulares[[#This Row],[Similar a]],padroes[],2,0)</f>
        <v>CAR</v>
      </c>
      <c r="D3317" s="3"/>
    </row>
    <row r="3318" spans="1:4" x14ac:dyDescent="0.25">
      <c r="A3318" s="2" t="s">
        <v>1896</v>
      </c>
      <c r="B3318" s="2" t="s">
        <v>44</v>
      </c>
      <c r="C3318" s="31" t="str">
        <f>VLOOKUP(irregulares[[#This Row],[Similar a]],padroes[],2,0)</f>
        <v>CAR</v>
      </c>
      <c r="D3318" s="3"/>
    </row>
    <row r="3319" spans="1:4" x14ac:dyDescent="0.25">
      <c r="A3319" s="2" t="s">
        <v>1897</v>
      </c>
      <c r="B3319" s="2" t="s">
        <v>53</v>
      </c>
      <c r="C3319" s="31" t="str">
        <f>VLOOKUP(irregulares[[#This Row],[Similar a]],padroes[],2,0)</f>
        <v>EAR</v>
      </c>
      <c r="D3319" s="3"/>
    </row>
    <row r="3320" spans="1:4" x14ac:dyDescent="0.25">
      <c r="A3320" s="2" t="s">
        <v>1898</v>
      </c>
      <c r="B3320" s="2" t="s">
        <v>53</v>
      </c>
      <c r="C3320" s="31" t="str">
        <f>VLOOKUP(irregulares[[#This Row],[Similar a]],padroes[],2,0)</f>
        <v>EAR</v>
      </c>
      <c r="D3320" s="3"/>
    </row>
    <row r="3321" spans="1:4" x14ac:dyDescent="0.25">
      <c r="A3321" s="2" t="s">
        <v>44</v>
      </c>
      <c r="B3321" s="2" t="s">
        <v>44</v>
      </c>
      <c r="C3321" s="2" t="str">
        <f>VLOOKUP(irregulares[[#This Row],[Similar a]],padroes[],2,0)</f>
        <v>CAR</v>
      </c>
      <c r="D3321" s="3"/>
    </row>
    <row r="3322" spans="1:4" x14ac:dyDescent="0.25">
      <c r="A3322" s="2" t="s">
        <v>1899</v>
      </c>
      <c r="B3322" s="2" t="s">
        <v>42</v>
      </c>
      <c r="C3322" s="31" t="str">
        <f>VLOOKUP(irregulares[[#This Row],[Similar a]],padroes[],2,0)</f>
        <v>ÇAR</v>
      </c>
      <c r="D3322" s="3"/>
    </row>
    <row r="3323" spans="1:4" x14ac:dyDescent="0.25">
      <c r="A3323" s="2" t="s">
        <v>1900</v>
      </c>
      <c r="B3323" s="2" t="s">
        <v>53</v>
      </c>
      <c r="C3323" s="31" t="str">
        <f>VLOOKUP(irregulares[[#This Row],[Similar a]],padroes[],2,0)</f>
        <v>EAR</v>
      </c>
      <c r="D3323" s="3"/>
    </row>
    <row r="3324" spans="1:4" x14ac:dyDescent="0.25">
      <c r="A3324" s="2" t="s">
        <v>1901</v>
      </c>
      <c r="B3324" s="2" t="s">
        <v>1902</v>
      </c>
      <c r="C3324" s="31" t="str">
        <f>VLOOKUP(irregulares[[#This Row],[Similar a]],padroes[],2,0)</f>
        <v>COAR</v>
      </c>
      <c r="D3324" s="3"/>
    </row>
    <row r="3325" spans="1:4" x14ac:dyDescent="0.25">
      <c r="A3325" s="2" t="s">
        <v>1903</v>
      </c>
      <c r="B3325" s="2" t="s">
        <v>859</v>
      </c>
      <c r="C3325" s="31" t="str">
        <f>VLOOKUP(irregulares[[#This Row],[Similar a]],padroes[],2,0)</f>
        <v>FAZER</v>
      </c>
      <c r="D3325" s="3"/>
    </row>
    <row r="3326" spans="1:4" x14ac:dyDescent="0.25">
      <c r="A3326" s="2" t="s">
        <v>1904</v>
      </c>
      <c r="B3326" s="2" t="s">
        <v>183</v>
      </c>
      <c r="C3326" s="31" t="str">
        <f>VLOOKUP(irregulares[[#This Row],[Similar a]],padroes[],2,0)</f>
        <v>E-X-IR</v>
      </c>
      <c r="D3326" s="3"/>
    </row>
    <row r="3327" spans="1:4" x14ac:dyDescent="0.25">
      <c r="A3327" s="2" t="s">
        <v>1938</v>
      </c>
      <c r="B3327" s="2" t="s">
        <v>1939</v>
      </c>
      <c r="C3327" s="31" t="str">
        <f>VLOOKUP(irregulares[[#This Row],[Similar a]],padroes[],2,0)</f>
        <v>RESFOLEGAR</v>
      </c>
      <c r="D3327" s="3"/>
    </row>
    <row r="3328" spans="1:4" x14ac:dyDescent="0.25">
      <c r="A3328" s="2" t="s">
        <v>1905</v>
      </c>
      <c r="B3328" s="2" t="s">
        <v>1785</v>
      </c>
      <c r="C3328" s="31" t="str">
        <f>VLOOKUP(irregulares[[#This Row],[Similar a]],padroes[],2,0)</f>
        <v>FUGIR</v>
      </c>
      <c r="D3328" s="3"/>
    </row>
    <row r="3329" spans="1:4" x14ac:dyDescent="0.25">
      <c r="A3329" s="2" t="s">
        <v>1906</v>
      </c>
      <c r="B3329" s="2" t="s">
        <v>310</v>
      </c>
      <c r="C3329" s="31" t="str">
        <f>VLOOKUP(irregulares[[#This Row],[Similar a]],padroes[],2,0)</f>
        <v>GREDIR</v>
      </c>
      <c r="D3329" s="3"/>
    </row>
    <row r="3330" spans="1:4" x14ac:dyDescent="0.25">
      <c r="A3330" s="2" t="s">
        <v>1907</v>
      </c>
      <c r="B3330" s="2" t="s">
        <v>154</v>
      </c>
      <c r="C3330" s="31" t="str">
        <f>VLOOKUP(irregulares[[#This Row],[Similar a]],padroes[],2,0)</f>
        <v>GIR</v>
      </c>
      <c r="D3330" s="3"/>
    </row>
    <row r="3331" spans="1:4" x14ac:dyDescent="0.25">
      <c r="A3331" s="2" t="s">
        <v>1908</v>
      </c>
      <c r="B3331" s="2" t="s">
        <v>185</v>
      </c>
      <c r="C3331" s="31" t="str">
        <f>VLOOKUP(irregulares[[#This Row],[Similar a]],padroes[],2,0)</f>
        <v>Defectivo 2</v>
      </c>
      <c r="D3331" s="3"/>
    </row>
    <row r="3332" spans="1:4" x14ac:dyDescent="0.25">
      <c r="A3332" s="2" t="s">
        <v>1909</v>
      </c>
      <c r="B3332" s="2" t="s">
        <v>53</v>
      </c>
      <c r="C3332" s="31" t="str">
        <f>VLOOKUP(irregulares[[#This Row],[Similar a]],padroes[],2,0)</f>
        <v>EAR</v>
      </c>
      <c r="D3332" s="3"/>
    </row>
    <row r="3333" spans="1:4" x14ac:dyDescent="0.25">
      <c r="A3333" s="2" t="s">
        <v>1910</v>
      </c>
      <c r="B3333" s="2" t="s">
        <v>1887</v>
      </c>
      <c r="C3333" s="31" t="str">
        <f>VLOOKUP(irregulares[[#This Row],[Similar a]],padroes[],2,0)</f>
        <v>UZIR</v>
      </c>
      <c r="D3333" s="3"/>
    </row>
    <row r="3334" spans="1:4" x14ac:dyDescent="0.25">
      <c r="A3334" s="2" t="s">
        <v>1911</v>
      </c>
      <c r="B3334" s="2" t="s">
        <v>63</v>
      </c>
      <c r="C3334" s="31" t="str">
        <f>VLOOKUP(irregulares[[#This Row],[Similar a]],padroes[],2,0)</f>
        <v>CER</v>
      </c>
      <c r="D3334" s="3"/>
    </row>
    <row r="3335" spans="1:4" x14ac:dyDescent="0.25">
      <c r="A3335" s="2" t="s">
        <v>1912</v>
      </c>
      <c r="B3335" s="2" t="s">
        <v>267</v>
      </c>
      <c r="C3335" s="31" t="str">
        <f>VLOOKUP(irregulares[[#This Row],[Similar a]],padroes[],2,0)</f>
        <v>POR</v>
      </c>
      <c r="D3335" s="3"/>
    </row>
    <row r="3336" spans="1:4" x14ac:dyDescent="0.25">
      <c r="A3336" s="2" t="s">
        <v>1913</v>
      </c>
      <c r="B3336" s="2" t="s">
        <v>44</v>
      </c>
      <c r="C3336" s="31" t="str">
        <f>VLOOKUP(irregulares[[#This Row],[Similar a]],padroes[],2,0)</f>
        <v>CAR</v>
      </c>
      <c r="D3336" s="3"/>
    </row>
    <row r="3337" spans="1:4" x14ac:dyDescent="0.25">
      <c r="A3337" s="2" t="s">
        <v>1914</v>
      </c>
      <c r="B3337" s="2" t="s">
        <v>2069</v>
      </c>
      <c r="C3337" s="31" t="str">
        <f>VLOOKUP(irregulares[[#This Row],[Similar a]],padroes[],2,0)</f>
        <v>E-X-IR</v>
      </c>
      <c r="D3337" s="3"/>
    </row>
    <row r="3338" spans="1:4" x14ac:dyDescent="0.25">
      <c r="A3338" s="2" t="s">
        <v>1915</v>
      </c>
      <c r="B3338" s="2" t="s">
        <v>49</v>
      </c>
      <c r="C3338" s="31" t="str">
        <f>VLOOKUP(irregulares[[#This Row],[Similar a]],padroes[],2,0)</f>
        <v>OAR</v>
      </c>
      <c r="D3338" s="3"/>
    </row>
    <row r="3339" spans="1:4" x14ac:dyDescent="0.25">
      <c r="A3339" s="2" t="s">
        <v>1916</v>
      </c>
      <c r="B3339" s="2" t="s">
        <v>53</v>
      </c>
      <c r="C3339" s="31" t="str">
        <f>VLOOKUP(irregulares[[#This Row],[Similar a]],padroes[],2,0)</f>
        <v>EAR</v>
      </c>
      <c r="D3339" s="3"/>
    </row>
    <row r="3340" spans="1:4" x14ac:dyDescent="0.25">
      <c r="A3340" s="2" t="s">
        <v>1917</v>
      </c>
      <c r="B3340" s="2" t="s">
        <v>53</v>
      </c>
      <c r="C3340" s="31" t="str">
        <f>VLOOKUP(irregulares[[#This Row],[Similar a]],padroes[],2,0)</f>
        <v>EAR</v>
      </c>
      <c r="D3340" s="3"/>
    </row>
    <row r="3341" spans="1:4" x14ac:dyDescent="0.25">
      <c r="A3341" s="2" t="s">
        <v>1918</v>
      </c>
      <c r="B3341" s="2" t="s">
        <v>55</v>
      </c>
      <c r="C3341" s="31" t="str">
        <f>VLOOKUP(irregulares[[#This Row],[Similar a]],padroes[],2,0)</f>
        <v>EJAR ô</v>
      </c>
      <c r="D3341" s="3"/>
    </row>
    <row r="3342" spans="1:4" x14ac:dyDescent="0.25">
      <c r="A3342" s="2" t="s">
        <v>1919</v>
      </c>
      <c r="B3342" s="2" t="s">
        <v>53</v>
      </c>
      <c r="C3342" s="31" t="str">
        <f>VLOOKUP(irregulares[[#This Row],[Similar a]],padroes[],2,0)</f>
        <v>EAR</v>
      </c>
      <c r="D3342" s="3"/>
    </row>
    <row r="3343" spans="1:4" x14ac:dyDescent="0.25">
      <c r="A3343" s="2" t="s">
        <v>1920</v>
      </c>
      <c r="B3343" s="2" t="s">
        <v>55</v>
      </c>
      <c r="C3343" s="31" t="str">
        <f>VLOOKUP(irregulares[[#This Row],[Similar a]],padroes[],2,0)</f>
        <v>EJAR ô</v>
      </c>
      <c r="D3343" s="3"/>
    </row>
    <row r="3344" spans="1:4" x14ac:dyDescent="0.25">
      <c r="A3344" s="2" t="s">
        <v>1921</v>
      </c>
      <c r="B3344" s="2" t="s">
        <v>60</v>
      </c>
      <c r="C3344" s="31" t="str">
        <f>VLOOKUP(irregulares[[#This Row],[Similar a]],padroes[],2,0)</f>
        <v>GAR</v>
      </c>
      <c r="D3344" s="3"/>
    </row>
    <row r="3345" spans="1:4" x14ac:dyDescent="0.25">
      <c r="A3345" s="2" t="s">
        <v>1922</v>
      </c>
      <c r="B3345" s="2" t="s">
        <v>53</v>
      </c>
      <c r="C3345" s="31" t="str">
        <f>VLOOKUP(irregulares[[#This Row],[Similar a]],padroes[],2,0)</f>
        <v>EAR</v>
      </c>
      <c r="D3345" s="3"/>
    </row>
    <row r="3346" spans="1:4" x14ac:dyDescent="0.25">
      <c r="A3346" s="2" t="s">
        <v>1923</v>
      </c>
      <c r="B3346" s="2" t="s">
        <v>55</v>
      </c>
      <c r="C3346" s="31" t="str">
        <f>VLOOKUP(irregulares[[#This Row],[Similar a]],padroes[],2,0)</f>
        <v>EJAR ô</v>
      </c>
      <c r="D3346" s="3"/>
    </row>
    <row r="3347" spans="1:4" x14ac:dyDescent="0.25">
      <c r="A3347" s="2" t="s">
        <v>1924</v>
      </c>
      <c r="B3347" s="2" t="s">
        <v>53</v>
      </c>
      <c r="C3347" s="31" t="str">
        <f>VLOOKUP(irregulares[[#This Row],[Similar a]],padroes[],2,0)</f>
        <v>EAR</v>
      </c>
      <c r="D3347" s="3"/>
    </row>
    <row r="3348" spans="1:4" x14ac:dyDescent="0.25">
      <c r="A3348" s="2" t="s">
        <v>1925</v>
      </c>
      <c r="B3348" s="2" t="s">
        <v>53</v>
      </c>
      <c r="C3348" s="31" t="str">
        <f>VLOOKUP(irregulares[[#This Row],[Similar a]],padroes[],2,0)</f>
        <v>EAR</v>
      </c>
      <c r="D3348" s="3"/>
    </row>
    <row r="3349" spans="1:4" x14ac:dyDescent="0.25">
      <c r="A3349" s="2" t="s">
        <v>1926</v>
      </c>
      <c r="B3349" s="2" t="s">
        <v>53</v>
      </c>
      <c r="C3349" s="31" t="str">
        <f>VLOOKUP(irregulares[[#This Row],[Similar a]],padroes[],2,0)</f>
        <v>EAR</v>
      </c>
      <c r="D3349" s="3"/>
    </row>
    <row r="3350" spans="1:4" x14ac:dyDescent="0.25">
      <c r="A3350" s="2" t="s">
        <v>1927</v>
      </c>
      <c r="B3350" s="2" t="s">
        <v>55</v>
      </c>
      <c r="C3350" s="31" t="str">
        <f>VLOOKUP(irregulares[[#This Row],[Similar a]],padroes[],2,0)</f>
        <v>EJAR ô</v>
      </c>
      <c r="D3350" s="3"/>
    </row>
    <row r="3351" spans="1:4" x14ac:dyDescent="0.25">
      <c r="A3351" s="2" t="s">
        <v>1928</v>
      </c>
      <c r="B3351" s="2" t="s">
        <v>53</v>
      </c>
      <c r="C3351" s="31" t="str">
        <f>VLOOKUP(irregulares[[#This Row],[Similar a]],padroes[],2,0)</f>
        <v>EAR</v>
      </c>
      <c r="D3351" s="3"/>
    </row>
    <row r="3352" spans="1:4" x14ac:dyDescent="0.25">
      <c r="A3352" s="2" t="s">
        <v>2527</v>
      </c>
      <c r="B3352" s="2" t="s">
        <v>2069</v>
      </c>
      <c r="C3352" s="31" t="str">
        <f>VLOOKUP(irregulares[[#This Row],[Similar a]],padroes[],2,0)</f>
        <v>E-X-IR</v>
      </c>
      <c r="D3352" s="3"/>
    </row>
    <row r="3353" spans="1:4" x14ac:dyDescent="0.25">
      <c r="A3353" s="2" t="s">
        <v>1929</v>
      </c>
      <c r="B3353" s="2" t="s">
        <v>1929</v>
      </c>
      <c r="C3353" s="31" t="str">
        <f>VLOOKUP(irregulares[[#This Row],[Similar a]],padroes[],2,0)</f>
        <v>TRAZER</v>
      </c>
      <c r="D3353" s="3"/>
    </row>
    <row r="3354" spans="1:4" x14ac:dyDescent="0.25">
      <c r="A3354" s="2" t="s">
        <v>1930</v>
      </c>
      <c r="B3354" s="2" t="s">
        <v>157</v>
      </c>
      <c r="C3354" s="31" t="str">
        <f>VLOOKUP(irregulares[[#This Row],[Similar a]],padroes[],2,0)</f>
        <v>ELHAR</v>
      </c>
      <c r="D3354" s="3"/>
    </row>
    <row r="3355" spans="1:4" x14ac:dyDescent="0.25">
      <c r="A3355" s="2" t="s">
        <v>1931</v>
      </c>
      <c r="B3355" s="2" t="s">
        <v>60</v>
      </c>
      <c r="C3355" s="31" t="str">
        <f>VLOOKUP(irregulares[[#This Row],[Similar a]],padroes[],2,0)</f>
        <v>GAR</v>
      </c>
      <c r="D3355" s="3"/>
    </row>
    <row r="3356" spans="1:4" x14ac:dyDescent="0.25">
      <c r="A3356" s="2" t="s">
        <v>1932</v>
      </c>
      <c r="B3356" s="2" t="s">
        <v>53</v>
      </c>
      <c r="C3356" s="31" t="str">
        <f>VLOOKUP(irregulares[[#This Row],[Similar a]],padroes[],2,0)</f>
        <v>EAR</v>
      </c>
      <c r="D3356" s="3"/>
    </row>
    <row r="3357" spans="1:4" x14ac:dyDescent="0.25">
      <c r="A3357" s="2" t="s">
        <v>1933</v>
      </c>
      <c r="B3357" s="2" t="s">
        <v>1607</v>
      </c>
      <c r="C3357" s="31" t="str">
        <f>VLOOKUP(irregulares[[#This Row],[Similar a]],padroes[],2,0)</f>
        <v>CRER</v>
      </c>
      <c r="D3357" s="3"/>
    </row>
    <row r="3358" spans="1:4" x14ac:dyDescent="0.25">
      <c r="A3358" s="2" t="s">
        <v>1934</v>
      </c>
      <c r="B3358" s="2" t="s">
        <v>53</v>
      </c>
      <c r="C3358" s="31" t="str">
        <f>VLOOKUP(irregulares[[#This Row],[Similar a]],padroes[],2,0)</f>
        <v>EAR</v>
      </c>
      <c r="D3358" s="3"/>
    </row>
    <row r="3359" spans="1:4" x14ac:dyDescent="0.25">
      <c r="A3359" s="2" t="s">
        <v>1935</v>
      </c>
      <c r="B3359" s="2" t="s">
        <v>44</v>
      </c>
      <c r="C3359" s="31" t="str">
        <f>VLOOKUP(irregulares[[#This Row],[Similar a]],padroes[],2,0)</f>
        <v>CAR</v>
      </c>
      <c r="D3359" s="3"/>
    </row>
    <row r="3360" spans="1:4" x14ac:dyDescent="0.25">
      <c r="A3360" s="2" t="s">
        <v>1936</v>
      </c>
      <c r="B3360" s="2" t="s">
        <v>2859</v>
      </c>
      <c r="C3360" s="31" t="str">
        <f>VLOOKUP(irregulares[[#This Row],[Similar a]],padroes[],2,0)</f>
        <v>Defectivo 3</v>
      </c>
      <c r="D3360" s="3"/>
    </row>
    <row r="3361" spans="1:4" x14ac:dyDescent="0.25">
      <c r="A3361" s="2" t="s">
        <v>1937</v>
      </c>
      <c r="B3361" s="2" t="s">
        <v>44</v>
      </c>
      <c r="C3361" s="31" t="str">
        <f>VLOOKUP(irregulares[[#This Row],[Similar a]],padroes[],2,0)</f>
        <v>CAR</v>
      </c>
      <c r="D3361" s="3"/>
    </row>
    <row r="3362" spans="1:4" x14ac:dyDescent="0.25">
      <c r="A3362" s="2" t="s">
        <v>1940</v>
      </c>
      <c r="B3362" s="2" t="s">
        <v>74</v>
      </c>
      <c r="C3362" s="31" t="str">
        <f>VLOOKUP(irregulares[[#This Row],[Similar a]],padroes[],2,0)</f>
        <v>GAR</v>
      </c>
      <c r="D3362" s="3"/>
    </row>
    <row r="3363" spans="1:4" x14ac:dyDescent="0.25">
      <c r="A3363" s="2" t="s">
        <v>1941</v>
      </c>
      <c r="B3363" s="2" t="s">
        <v>1607</v>
      </c>
      <c r="C3363" s="31" t="str">
        <f>VLOOKUP(irregulares[[#This Row],[Similar a]],padroes[],2,0)</f>
        <v>CRER</v>
      </c>
      <c r="D3363" s="3"/>
    </row>
    <row r="3364" spans="1:4" x14ac:dyDescent="0.25">
      <c r="A3364" s="2" t="s">
        <v>1942</v>
      </c>
      <c r="B3364" s="2" t="s">
        <v>44</v>
      </c>
      <c r="C3364" s="31" t="str">
        <f>VLOOKUP(irregulares[[#This Row],[Similar a]],padroes[],2,0)</f>
        <v>CAR</v>
      </c>
      <c r="D3364" s="3"/>
    </row>
    <row r="3365" spans="1:4" x14ac:dyDescent="0.25">
      <c r="A3365" s="2" t="s">
        <v>1943</v>
      </c>
      <c r="B3365" s="2" t="s">
        <v>53</v>
      </c>
      <c r="C3365" s="31" t="str">
        <f>VLOOKUP(irregulares[[#This Row],[Similar a]],padroes[],2,0)</f>
        <v>EAR</v>
      </c>
      <c r="D3365" s="3"/>
    </row>
    <row r="3366" spans="1:4" x14ac:dyDescent="0.25">
      <c r="A3366" s="2" t="s">
        <v>1944</v>
      </c>
      <c r="B3366" s="2" t="s">
        <v>53</v>
      </c>
      <c r="C3366" s="31" t="str">
        <f>VLOOKUP(irregulares[[#This Row],[Similar a]],padroes[],2,0)</f>
        <v>EAR</v>
      </c>
      <c r="D3366" s="3"/>
    </row>
    <row r="3367" spans="1:4" x14ac:dyDescent="0.25">
      <c r="A3367" s="2" t="s">
        <v>1945</v>
      </c>
      <c r="B3367" s="2" t="s">
        <v>53</v>
      </c>
      <c r="C3367" s="31" t="str">
        <f>VLOOKUP(irregulares[[#This Row],[Similar a]],padroes[],2,0)</f>
        <v>EAR</v>
      </c>
      <c r="D3367" s="3"/>
    </row>
    <row r="3368" spans="1:4" x14ac:dyDescent="0.25">
      <c r="A3368" s="2" t="s">
        <v>1946</v>
      </c>
      <c r="B3368" s="2" t="s">
        <v>44</v>
      </c>
      <c r="C3368" s="31" t="str">
        <f>VLOOKUP(irregulares[[#This Row],[Similar a]],padroes[],2,0)</f>
        <v>CAR</v>
      </c>
      <c r="D3368" s="3"/>
    </row>
    <row r="3369" spans="1:4" x14ac:dyDescent="0.25">
      <c r="A3369" s="2" t="s">
        <v>1947</v>
      </c>
      <c r="B3369" s="2" t="s">
        <v>74</v>
      </c>
      <c r="C3369" s="31" t="str">
        <f>VLOOKUP(irregulares[[#This Row],[Similar a]],padroes[],2,0)</f>
        <v>GAR</v>
      </c>
      <c r="D3369" s="3"/>
    </row>
    <row r="3370" spans="1:4" x14ac:dyDescent="0.25">
      <c r="A3370" s="2" t="s">
        <v>1948</v>
      </c>
      <c r="B3370" s="2" t="s">
        <v>44</v>
      </c>
      <c r="C3370" s="31" t="str">
        <f>VLOOKUP(irregulares[[#This Row],[Similar a]],padroes[],2,0)</f>
        <v>CAR</v>
      </c>
      <c r="D3370" s="3"/>
    </row>
    <row r="3371" spans="1:4" x14ac:dyDescent="0.25">
      <c r="A3371" s="2" t="s">
        <v>1949</v>
      </c>
      <c r="B3371" s="2" t="s">
        <v>55</v>
      </c>
      <c r="C3371" s="31" t="str">
        <f>VLOOKUP(irregulares[[#This Row],[Similar a]],padroes[],2,0)</f>
        <v>EJAR ô</v>
      </c>
      <c r="D3371" s="3"/>
    </row>
    <row r="3372" spans="1:4" x14ac:dyDescent="0.25">
      <c r="A3372" s="2" t="s">
        <v>1950</v>
      </c>
      <c r="B3372" s="2" t="s">
        <v>1542</v>
      </c>
      <c r="C3372" s="31" t="str">
        <f>VLOOKUP(irregulares[[#This Row],[Similar a]],padroes[],2,0)</f>
        <v>Defectivo 3</v>
      </c>
      <c r="D3372" s="3"/>
    </row>
    <row r="3373" spans="1:4" x14ac:dyDescent="0.25">
      <c r="A3373" s="2" t="s">
        <v>1951</v>
      </c>
      <c r="B3373" s="2" t="s">
        <v>44</v>
      </c>
      <c r="C3373" s="31" t="str">
        <f>VLOOKUP(irregulares[[#This Row],[Similar a]],padroes[],2,0)</f>
        <v>CAR</v>
      </c>
      <c r="D3373" s="3"/>
    </row>
    <row r="3374" spans="1:4" x14ac:dyDescent="0.25">
      <c r="A3374" s="2" t="s">
        <v>1952</v>
      </c>
      <c r="B3374" s="2" t="s">
        <v>44</v>
      </c>
      <c r="C3374" s="31" t="str">
        <f>VLOOKUP(irregulares[[#This Row],[Similar a]],padroes[],2,0)</f>
        <v>CAR</v>
      </c>
      <c r="D3374" s="3"/>
    </row>
    <row r="3375" spans="1:4" x14ac:dyDescent="0.25">
      <c r="A3375" s="2" t="s">
        <v>1953</v>
      </c>
      <c r="B3375" s="2" t="s">
        <v>44</v>
      </c>
      <c r="C3375" s="31" t="str">
        <f>VLOOKUP(irregulares[[#This Row],[Similar a]],padroes[],2,0)</f>
        <v>CAR</v>
      </c>
      <c r="D3375" s="3"/>
    </row>
    <row r="3376" spans="1:4" x14ac:dyDescent="0.25">
      <c r="A3376" s="2" t="s">
        <v>1954</v>
      </c>
      <c r="B3376" s="2" t="s">
        <v>49</v>
      </c>
      <c r="C3376" s="31" t="str">
        <f>VLOOKUP(irregulares[[#This Row],[Similar a]],padroes[],2,0)</f>
        <v>OAR</v>
      </c>
      <c r="D3376" s="3"/>
    </row>
    <row r="3377" spans="1:4" x14ac:dyDescent="0.25">
      <c r="A3377" s="2" t="s">
        <v>1955</v>
      </c>
      <c r="B3377" s="2" t="s">
        <v>44</v>
      </c>
      <c r="C3377" s="31" t="str">
        <f>VLOOKUP(irregulares[[#This Row],[Similar a]],padroes[],2,0)</f>
        <v>CAR</v>
      </c>
      <c r="D3377" s="3"/>
    </row>
    <row r="3378" spans="1:4" x14ac:dyDescent="0.25">
      <c r="A3378" s="2" t="s">
        <v>1956</v>
      </c>
      <c r="B3378" s="2" t="s">
        <v>42</v>
      </c>
      <c r="C3378" s="31" t="str">
        <f>VLOOKUP(irregulares[[#This Row],[Similar a]],padroes[],2,0)</f>
        <v>ÇAR</v>
      </c>
      <c r="D3378" s="3"/>
    </row>
    <row r="3379" spans="1:4" x14ac:dyDescent="0.25">
      <c r="A3379" s="2" t="s">
        <v>1957</v>
      </c>
      <c r="B3379" s="2" t="s">
        <v>44</v>
      </c>
      <c r="C3379" s="31" t="str">
        <f>VLOOKUP(irregulares[[#This Row],[Similar a]],padroes[],2,0)</f>
        <v>CAR</v>
      </c>
      <c r="D3379" s="3"/>
    </row>
    <row r="3380" spans="1:4" x14ac:dyDescent="0.25">
      <c r="A3380" s="2" t="s">
        <v>1958</v>
      </c>
      <c r="B3380" s="2" t="s">
        <v>458</v>
      </c>
      <c r="C3380" s="31" t="str">
        <f>VLOOKUP(irregulares[[#This Row],[Similar a]],padroes[],2,0)</f>
        <v>OIAR</v>
      </c>
      <c r="D3380" s="3"/>
    </row>
    <row r="3381" spans="1:4" x14ac:dyDescent="0.25">
      <c r="A3381" s="2" t="s">
        <v>1959</v>
      </c>
      <c r="B3381" s="2" t="s">
        <v>53</v>
      </c>
      <c r="C3381" s="31" t="str">
        <f>VLOOKUP(irregulares[[#This Row],[Similar a]],padroes[],2,0)</f>
        <v>EAR</v>
      </c>
      <c r="D3381" s="3"/>
    </row>
    <row r="3382" spans="1:4" x14ac:dyDescent="0.25">
      <c r="A3382" s="2" t="s">
        <v>1960</v>
      </c>
      <c r="B3382" s="2" t="s">
        <v>44</v>
      </c>
      <c r="C3382" s="31" t="str">
        <f>VLOOKUP(irregulares[[#This Row],[Similar a]],padroes[],2,0)</f>
        <v>CAR</v>
      </c>
      <c r="D3382" s="3"/>
    </row>
    <row r="3383" spans="1:4" x14ac:dyDescent="0.25">
      <c r="A3383" s="2" t="s">
        <v>1961</v>
      </c>
      <c r="B3383" s="2" t="s">
        <v>53</v>
      </c>
      <c r="C3383" s="31" t="str">
        <f>VLOOKUP(irregulares[[#This Row],[Similar a]],padroes[],2,0)</f>
        <v>EAR</v>
      </c>
      <c r="D3383" s="3"/>
    </row>
    <row r="3384" spans="1:4" x14ac:dyDescent="0.25">
      <c r="A3384" s="2" t="s">
        <v>1962</v>
      </c>
      <c r="B3384" s="2" t="s">
        <v>53</v>
      </c>
      <c r="C3384" s="31" t="str">
        <f>VLOOKUP(irregulares[[#This Row],[Similar a]],padroes[],2,0)</f>
        <v>EAR</v>
      </c>
      <c r="D3384" s="3"/>
    </row>
    <row r="3385" spans="1:4" x14ac:dyDescent="0.25">
      <c r="A3385" s="2" t="s">
        <v>1963</v>
      </c>
      <c r="B3385" s="2" t="s">
        <v>55</v>
      </c>
      <c r="C3385" s="31" t="str">
        <f>VLOOKUP(irregulares[[#This Row],[Similar a]],padroes[],2,0)</f>
        <v>EJAR ô</v>
      </c>
      <c r="D3385" s="3"/>
    </row>
    <row r="3386" spans="1:4" x14ac:dyDescent="0.25">
      <c r="A3386" s="2" t="s">
        <v>1964</v>
      </c>
      <c r="B3386" s="2" t="s">
        <v>53</v>
      </c>
      <c r="C3386" s="31" t="str">
        <f>VLOOKUP(irregulares[[#This Row],[Similar a]],padroes[],2,0)</f>
        <v>EAR</v>
      </c>
      <c r="D3386" s="3"/>
    </row>
    <row r="3387" spans="1:4" x14ac:dyDescent="0.25">
      <c r="A3387" s="2" t="s">
        <v>1965</v>
      </c>
      <c r="B3387" s="2" t="s">
        <v>42</v>
      </c>
      <c r="C3387" s="31" t="str">
        <f>VLOOKUP(irregulares[[#This Row],[Similar a]],padroes[],2,0)</f>
        <v>ÇAR</v>
      </c>
      <c r="D3387" s="3"/>
    </row>
    <row r="3388" spans="1:4" x14ac:dyDescent="0.25">
      <c r="A3388" s="2" t="s">
        <v>1966</v>
      </c>
      <c r="B3388" s="2" t="s">
        <v>44</v>
      </c>
      <c r="C3388" s="31" t="str">
        <f>VLOOKUP(irregulares[[#This Row],[Similar a]],padroes[],2,0)</f>
        <v>CAR</v>
      </c>
      <c r="D3388" s="3"/>
    </row>
    <row r="3389" spans="1:4" x14ac:dyDescent="0.25">
      <c r="A3389" s="2" t="s">
        <v>1967</v>
      </c>
      <c r="B3389" s="2" t="s">
        <v>53</v>
      </c>
      <c r="C3389" s="31" t="str">
        <f>VLOOKUP(irregulares[[#This Row],[Similar a]],padroes[],2,0)</f>
        <v>EAR</v>
      </c>
      <c r="D3389" s="3"/>
    </row>
    <row r="3390" spans="1:4" x14ac:dyDescent="0.25">
      <c r="A3390" s="2" t="s">
        <v>1968</v>
      </c>
      <c r="B3390" s="2" t="s">
        <v>55</v>
      </c>
      <c r="C3390" s="31" t="str">
        <f>VLOOKUP(irregulares[[#This Row],[Similar a]],padroes[],2,0)</f>
        <v>EJAR ô</v>
      </c>
      <c r="D3390" s="3"/>
    </row>
    <row r="3391" spans="1:4" x14ac:dyDescent="0.25">
      <c r="A3391" s="2" t="s">
        <v>1969</v>
      </c>
      <c r="B3391" s="2" t="s">
        <v>44</v>
      </c>
      <c r="C3391" s="31" t="str">
        <f>VLOOKUP(irregulares[[#This Row],[Similar a]],padroes[],2,0)</f>
        <v>CAR</v>
      </c>
      <c r="D3391" s="3"/>
    </row>
    <row r="3392" spans="1:4" x14ac:dyDescent="0.25">
      <c r="A3392" s="2" t="s">
        <v>1970</v>
      </c>
      <c r="B3392" s="2" t="s">
        <v>1377</v>
      </c>
      <c r="C3392" s="31" t="str">
        <f>VLOOKUP(irregulares[[#This Row],[Similar a]],padroes[],2,0)</f>
        <v>Defectivo 3</v>
      </c>
      <c r="D3392" s="3"/>
    </row>
    <row r="3393" spans="1:4" x14ac:dyDescent="0.25">
      <c r="A3393" s="2" t="s">
        <v>1971</v>
      </c>
      <c r="B3393" s="2" t="s">
        <v>53</v>
      </c>
      <c r="C3393" s="31" t="str">
        <f>VLOOKUP(irregulares[[#This Row],[Similar a]],padroes[],2,0)</f>
        <v>EAR</v>
      </c>
      <c r="D3393" s="3"/>
    </row>
    <row r="3394" spans="1:4" x14ac:dyDescent="0.25">
      <c r="A3394" s="2" t="s">
        <v>1972</v>
      </c>
      <c r="B3394" s="2" t="s">
        <v>44</v>
      </c>
      <c r="C3394" s="31" t="str">
        <f>VLOOKUP(irregulares[[#This Row],[Similar a]],padroes[],2,0)</f>
        <v>CAR</v>
      </c>
      <c r="D3394" s="3"/>
    </row>
    <row r="3395" spans="1:4" x14ac:dyDescent="0.25">
      <c r="A3395" s="2" t="s">
        <v>1973</v>
      </c>
      <c r="B3395" s="2" t="s">
        <v>44</v>
      </c>
      <c r="C3395" s="31" t="str">
        <f>VLOOKUP(irregulares[[#This Row],[Similar a]],padroes[],2,0)</f>
        <v>CAR</v>
      </c>
      <c r="D3395" s="3"/>
    </row>
    <row r="3396" spans="1:4" x14ac:dyDescent="0.25">
      <c r="A3396" s="2" t="s">
        <v>1974</v>
      </c>
      <c r="B3396" s="2" t="s">
        <v>44</v>
      </c>
      <c r="C3396" s="31" t="str">
        <f>VLOOKUP(irregulares[[#This Row],[Similar a]],padroes[],2,0)</f>
        <v>CAR</v>
      </c>
      <c r="D3396" s="3"/>
    </row>
    <row r="3397" spans="1:4" x14ac:dyDescent="0.25">
      <c r="A3397" s="2" t="s">
        <v>1975</v>
      </c>
      <c r="B3397" s="2" t="s">
        <v>1717</v>
      </c>
      <c r="C3397" s="31" t="str">
        <f>VLOOKUP(irregulares[[#This Row],[Similar a]],padroes[],2,0)</f>
        <v>Defectivo 1</v>
      </c>
      <c r="D3397" s="3"/>
    </row>
    <row r="3398" spans="1:4" x14ac:dyDescent="0.25">
      <c r="A3398" s="2" t="s">
        <v>1976</v>
      </c>
      <c r="B3398" s="2" t="s">
        <v>859</v>
      </c>
      <c r="C3398" s="31" t="str">
        <f>VLOOKUP(irregulares[[#This Row],[Similar a]],padroes[],2,0)</f>
        <v>FAZER</v>
      </c>
      <c r="D3398" s="3"/>
    </row>
    <row r="3399" spans="1:4" x14ac:dyDescent="0.25">
      <c r="A3399" s="2" t="s">
        <v>1977</v>
      </c>
      <c r="B3399" s="2" t="s">
        <v>44</v>
      </c>
      <c r="C3399" s="31" t="str">
        <f>VLOOKUP(irregulares[[#This Row],[Similar a]],padroes[],2,0)</f>
        <v>CAR</v>
      </c>
      <c r="D3399" s="3"/>
    </row>
    <row r="3400" spans="1:4" x14ac:dyDescent="0.25">
      <c r="A3400" s="2" t="s">
        <v>1978</v>
      </c>
      <c r="B3400" s="2" t="s">
        <v>63</v>
      </c>
      <c r="C3400" s="31" t="str">
        <f>VLOOKUP(irregulares[[#This Row],[Similar a]],padroes[],2,0)</f>
        <v>CER</v>
      </c>
      <c r="D3400" s="3"/>
    </row>
    <row r="3401" spans="1:4" x14ac:dyDescent="0.25">
      <c r="A3401" s="2" t="s">
        <v>1979</v>
      </c>
      <c r="B3401" s="2" t="s">
        <v>74</v>
      </c>
      <c r="C3401" s="31" t="str">
        <f>VLOOKUP(irregulares[[#This Row],[Similar a]],padroes[],2,0)</f>
        <v>GAR</v>
      </c>
      <c r="D3401" s="3"/>
    </row>
    <row r="3402" spans="1:4" x14ac:dyDescent="0.25">
      <c r="A3402" s="2" t="s">
        <v>1980</v>
      </c>
      <c r="B3402" s="2" t="s">
        <v>53</v>
      </c>
      <c r="C3402" s="31" t="str">
        <f>VLOOKUP(irregulares[[#This Row],[Similar a]],padroes[],2,0)</f>
        <v>EAR</v>
      </c>
      <c r="D3402" s="3"/>
    </row>
    <row r="3403" spans="1:4" x14ac:dyDescent="0.25">
      <c r="A3403" s="2" t="s">
        <v>1981</v>
      </c>
      <c r="B3403" s="2" t="s">
        <v>63</v>
      </c>
      <c r="C3403" s="31" t="str">
        <f>VLOOKUP(irregulares[[#This Row],[Similar a]],padroes[],2,0)</f>
        <v>CER</v>
      </c>
      <c r="D3403" s="3"/>
    </row>
    <row r="3404" spans="1:4" x14ac:dyDescent="0.25">
      <c r="A3404" s="2" t="s">
        <v>1982</v>
      </c>
      <c r="B3404" s="2" t="s">
        <v>44</v>
      </c>
      <c r="C3404" s="31" t="str">
        <f>VLOOKUP(irregulares[[#This Row],[Similar a]],padroes[],2,0)</f>
        <v>CAR</v>
      </c>
      <c r="D3404" s="3"/>
    </row>
    <row r="3405" spans="1:4" x14ac:dyDescent="0.25">
      <c r="A3405" s="2" t="s">
        <v>1983</v>
      </c>
      <c r="B3405" s="2" t="s">
        <v>55</v>
      </c>
      <c r="C3405" s="31" t="str">
        <f>VLOOKUP(irregulares[[#This Row],[Similar a]],padroes[],2,0)</f>
        <v>EJAR ô</v>
      </c>
      <c r="D3405" s="3"/>
    </row>
    <row r="3406" spans="1:4" x14ac:dyDescent="0.25">
      <c r="A3406" s="2" t="s">
        <v>1984</v>
      </c>
      <c r="B3406" s="2" t="s">
        <v>53</v>
      </c>
      <c r="C3406" s="31" t="str">
        <f>VLOOKUP(irregulares[[#This Row],[Similar a]],padroes[],2,0)</f>
        <v>EAR</v>
      </c>
      <c r="D3406" s="3"/>
    </row>
    <row r="3407" spans="1:4" x14ac:dyDescent="0.25">
      <c r="A3407" s="2" t="s">
        <v>1985</v>
      </c>
      <c r="B3407" s="2" t="s">
        <v>44</v>
      </c>
      <c r="C3407" s="31" t="str">
        <f>VLOOKUP(irregulares[[#This Row],[Similar a]],padroes[],2,0)</f>
        <v>CAR</v>
      </c>
      <c r="D3407" s="3"/>
    </row>
    <row r="3408" spans="1:4" x14ac:dyDescent="0.25">
      <c r="A3408" s="2" t="s">
        <v>1345</v>
      </c>
      <c r="B3408" s="2" t="s">
        <v>63</v>
      </c>
      <c r="C3408" s="31" t="str">
        <f>VLOOKUP(irregulares[[#This Row],[Similar a]],padroes[],2,0)</f>
        <v>CER</v>
      </c>
      <c r="D3408" s="3"/>
    </row>
    <row r="3409" spans="1:4" x14ac:dyDescent="0.25">
      <c r="A3409" s="2" t="s">
        <v>1346</v>
      </c>
      <c r="B3409" s="2" t="s">
        <v>44</v>
      </c>
      <c r="C3409" s="31" t="str">
        <f>VLOOKUP(irregulares[[#This Row],[Similar a]],padroes[],2,0)</f>
        <v>CAR</v>
      </c>
      <c r="D3409" s="3"/>
    </row>
    <row r="3410" spans="1:4" x14ac:dyDescent="0.25">
      <c r="A3410" s="2" t="s">
        <v>1347</v>
      </c>
      <c r="B3410" s="2" t="s">
        <v>44</v>
      </c>
      <c r="C3410" s="31" t="str">
        <f>VLOOKUP(irregulares[[#This Row],[Similar a]],padroes[],2,0)</f>
        <v>CAR</v>
      </c>
      <c r="D3410" s="3"/>
    </row>
    <row r="3411" spans="1:4" x14ac:dyDescent="0.25">
      <c r="A3411" s="2" t="s">
        <v>1348</v>
      </c>
      <c r="B3411" s="2" t="s">
        <v>1717</v>
      </c>
      <c r="C3411" s="31" t="str">
        <f>VLOOKUP(irregulares[[#This Row],[Similar a]],padroes[],2,0)</f>
        <v>Defectivo 1</v>
      </c>
      <c r="D3411" s="3"/>
    </row>
    <row r="3412" spans="1:4" x14ac:dyDescent="0.25">
      <c r="A3412" s="2" t="s">
        <v>1349</v>
      </c>
      <c r="B3412" s="2" t="s">
        <v>44</v>
      </c>
      <c r="C3412" s="31" t="str">
        <f>VLOOKUP(irregulares[[#This Row],[Similar a]],padroes[],2,0)</f>
        <v>CAR</v>
      </c>
      <c r="D3412" s="3"/>
    </row>
    <row r="3413" spans="1:4" x14ac:dyDescent="0.25">
      <c r="A3413" s="2" t="s">
        <v>1350</v>
      </c>
      <c r="B3413" s="2" t="s">
        <v>1717</v>
      </c>
      <c r="C3413" s="31" t="str">
        <f>VLOOKUP(irregulares[[#This Row],[Similar a]],padroes[],2,0)</f>
        <v>Defectivo 1</v>
      </c>
      <c r="D3413" s="3"/>
    </row>
    <row r="3414" spans="1:4" x14ac:dyDescent="0.25">
      <c r="A3414" s="2" t="s">
        <v>1351</v>
      </c>
      <c r="B3414" s="2" t="s">
        <v>44</v>
      </c>
      <c r="C3414" s="31" t="str">
        <f>VLOOKUP(irregulares[[#This Row],[Similar a]],padroes[],2,0)</f>
        <v>CAR</v>
      </c>
      <c r="D3414" s="3"/>
    </row>
    <row r="3415" spans="1:4" x14ac:dyDescent="0.25">
      <c r="A3415" s="2" t="s">
        <v>1352</v>
      </c>
      <c r="B3415" s="2" t="s">
        <v>74</v>
      </c>
      <c r="C3415" s="31" t="str">
        <f>VLOOKUP(irregulares[[#This Row],[Similar a]],padroes[],2,0)</f>
        <v>GAR</v>
      </c>
      <c r="D3415" s="3"/>
    </row>
    <row r="3416" spans="1:4" x14ac:dyDescent="0.25">
      <c r="A3416" s="2" t="s">
        <v>1353</v>
      </c>
      <c r="B3416" s="2" t="s">
        <v>82</v>
      </c>
      <c r="C3416" s="31" t="str">
        <f>VLOOKUP(irregulares[[#This Row],[Similar a]],padroes[],2,0)</f>
        <v>UIR</v>
      </c>
      <c r="D3416" s="3"/>
    </row>
    <row r="3417" spans="1:4" x14ac:dyDescent="0.25">
      <c r="A3417" s="2" t="s">
        <v>1273</v>
      </c>
      <c r="B3417" s="2" t="s">
        <v>53</v>
      </c>
      <c r="C3417" s="31" t="str">
        <f>VLOOKUP(irregulares[[#This Row],[Similar a]],padroes[],2,0)</f>
        <v>EAR</v>
      </c>
      <c r="D3417" s="3"/>
    </row>
    <row r="3418" spans="1:4" x14ac:dyDescent="0.25">
      <c r="A3418" s="2" t="s">
        <v>1274</v>
      </c>
      <c r="B3418" s="2" t="s">
        <v>53</v>
      </c>
      <c r="C3418" s="31" t="str">
        <f>VLOOKUP(irregulares[[#This Row],[Similar a]],padroes[],2,0)</f>
        <v>EAR</v>
      </c>
      <c r="D3418" s="3"/>
    </row>
    <row r="3419" spans="1:4" x14ac:dyDescent="0.25">
      <c r="A3419" s="2" t="s">
        <v>1275</v>
      </c>
      <c r="B3419" s="2" t="s">
        <v>53</v>
      </c>
      <c r="C3419" s="31" t="str">
        <f>VLOOKUP(irregulares[[#This Row],[Similar a]],padroes[],2,0)</f>
        <v>EAR</v>
      </c>
      <c r="D3419" s="3"/>
    </row>
    <row r="3420" spans="1:4" x14ac:dyDescent="0.25">
      <c r="A3420" s="2" t="s">
        <v>1277</v>
      </c>
      <c r="B3420" s="2" t="s">
        <v>1717</v>
      </c>
      <c r="C3420" s="31" t="str">
        <f>VLOOKUP(irregulares[[#This Row],[Similar a]],padroes[],2,0)</f>
        <v>Defectivo 1</v>
      </c>
      <c r="D3420" s="3"/>
    </row>
    <row r="3421" spans="1:4" x14ac:dyDescent="0.25">
      <c r="A3421" s="2" t="s">
        <v>1278</v>
      </c>
      <c r="B3421" s="2" t="s">
        <v>53</v>
      </c>
      <c r="C3421" s="31" t="str">
        <f>VLOOKUP(irregulares[[#This Row],[Similar a]],padroes[],2,0)</f>
        <v>EAR</v>
      </c>
      <c r="D3421" s="3"/>
    </row>
    <row r="3422" spans="1:4" x14ac:dyDescent="0.25">
      <c r="A3422" s="2" t="s">
        <v>1279</v>
      </c>
      <c r="B3422" s="2" t="s">
        <v>55</v>
      </c>
      <c r="C3422" s="31" t="str">
        <f>VLOOKUP(irregulares[[#This Row],[Similar a]],padroes[],2,0)</f>
        <v>EJAR ô</v>
      </c>
      <c r="D3422" s="3"/>
    </row>
    <row r="3423" spans="1:4" x14ac:dyDescent="0.25">
      <c r="A3423" s="2" t="s">
        <v>1280</v>
      </c>
      <c r="B3423" s="2" t="s">
        <v>53</v>
      </c>
      <c r="C3423" s="31" t="str">
        <f>VLOOKUP(irregulares[[#This Row],[Similar a]],padroes[],2,0)</f>
        <v>EAR</v>
      </c>
      <c r="D3423" s="3"/>
    </row>
    <row r="3424" spans="1:4" x14ac:dyDescent="0.25">
      <c r="A3424" s="2" t="s">
        <v>1281</v>
      </c>
      <c r="B3424" s="2" t="s">
        <v>1281</v>
      </c>
      <c r="C3424" s="31" t="str">
        <f>VLOOKUP(irregulares[[#This Row],[Similar a]],padroes[],2,0)</f>
        <v>VALER</v>
      </c>
      <c r="D3424" s="3"/>
    </row>
    <row r="3425" spans="1:4" x14ac:dyDescent="0.25">
      <c r="A3425" s="2" t="s">
        <v>1282</v>
      </c>
      <c r="B3425" s="2" t="s">
        <v>63</v>
      </c>
      <c r="C3425" s="31" t="str">
        <f>VLOOKUP(irregulares[[#This Row],[Similar a]],padroes[],2,0)</f>
        <v>CER</v>
      </c>
      <c r="D3425" s="3"/>
    </row>
    <row r="3426" spans="1:4" x14ac:dyDescent="0.25">
      <c r="A3426" s="2" t="s">
        <v>1283</v>
      </c>
      <c r="B3426" s="2" t="s">
        <v>55</v>
      </c>
      <c r="C3426" s="31" t="str">
        <f>VLOOKUP(irregulares[[#This Row],[Similar a]],padroes[],2,0)</f>
        <v>EJAR ô</v>
      </c>
      <c r="D3426" s="3"/>
    </row>
    <row r="3427" spans="1:4" x14ac:dyDescent="0.25">
      <c r="A3427" s="2" t="s">
        <v>1284</v>
      </c>
      <c r="B3427" s="2" t="s">
        <v>55</v>
      </c>
      <c r="C3427" s="31" t="str">
        <f>VLOOKUP(irregulares[[#This Row],[Similar a]],padroes[],2,0)</f>
        <v>EJAR ô</v>
      </c>
      <c r="D3427" s="3"/>
    </row>
    <row r="3428" spans="1:4" x14ac:dyDescent="0.25">
      <c r="A3428" s="2" t="s">
        <v>1285</v>
      </c>
      <c r="B3428" s="2" t="s">
        <v>55</v>
      </c>
      <c r="C3428" s="31" t="str">
        <f>VLOOKUP(irregulares[[#This Row],[Similar a]],padroes[],2,0)</f>
        <v>EJAR ô</v>
      </c>
      <c r="D3428" s="3"/>
    </row>
    <row r="3429" spans="1:4" x14ac:dyDescent="0.25">
      <c r="A3429" s="2" t="s">
        <v>1286</v>
      </c>
      <c r="B3429" s="2" t="s">
        <v>60</v>
      </c>
      <c r="C3429" s="31" t="str">
        <f>VLOOKUP(irregulares[[#This Row],[Similar a]],padroes[],2,0)</f>
        <v>GAR</v>
      </c>
      <c r="D3429" s="3"/>
    </row>
    <row r="3430" spans="1:4" x14ac:dyDescent="0.25">
      <c r="A3430" s="2" t="s">
        <v>1287</v>
      </c>
      <c r="B3430" s="2" t="s">
        <v>55</v>
      </c>
      <c r="C3430" s="31" t="str">
        <f>VLOOKUP(irregulares[[#This Row],[Similar a]],padroes[],2,0)</f>
        <v>EJAR ô</v>
      </c>
      <c r="D3430" s="3"/>
    </row>
    <row r="3431" spans="1:4" x14ac:dyDescent="0.25">
      <c r="A3431" s="2" t="s">
        <v>1288</v>
      </c>
      <c r="B3431" s="2" t="s">
        <v>53</v>
      </c>
      <c r="C3431" s="31" t="str">
        <f>VLOOKUP(irregulares[[#This Row],[Similar a]],padroes[],2,0)</f>
        <v>EAR</v>
      </c>
      <c r="D3431" s="3"/>
    </row>
    <row r="3432" spans="1:4" x14ac:dyDescent="0.25">
      <c r="A3432" s="2" t="s">
        <v>1289</v>
      </c>
      <c r="B3432" s="2" t="s">
        <v>53</v>
      </c>
      <c r="C3432" s="31" t="str">
        <f>VLOOKUP(irregulares[[#This Row],[Similar a]],padroes[],2,0)</f>
        <v>EAR</v>
      </c>
      <c r="D3432" s="3"/>
    </row>
    <row r="3433" spans="1:4" x14ac:dyDescent="0.25">
      <c r="A3433" s="2" t="s">
        <v>1290</v>
      </c>
      <c r="B3433" s="2" t="s">
        <v>55</v>
      </c>
      <c r="C3433" s="31" t="str">
        <f>VLOOKUP(irregulares[[#This Row],[Similar a]],padroes[],2,0)</f>
        <v>EJAR ô</v>
      </c>
      <c r="D3433" s="3"/>
    </row>
    <row r="3434" spans="1:4" x14ac:dyDescent="0.25">
      <c r="A3434" s="2" t="s">
        <v>1291</v>
      </c>
      <c r="B3434" s="2" t="s">
        <v>53</v>
      </c>
      <c r="C3434" s="31" t="str">
        <f>VLOOKUP(irregulares[[#This Row],[Similar a]],padroes[],2,0)</f>
        <v>EAR</v>
      </c>
      <c r="D3434" s="3"/>
    </row>
    <row r="3435" spans="1:4" x14ac:dyDescent="0.25">
      <c r="A3435" s="2" t="s">
        <v>1292</v>
      </c>
      <c r="B3435" s="2" t="s">
        <v>55</v>
      </c>
      <c r="C3435" s="31" t="str">
        <f>VLOOKUP(irregulares[[#This Row],[Similar a]],padroes[],2,0)</f>
        <v>EJAR ô</v>
      </c>
      <c r="D3435" s="3"/>
    </row>
    <row r="3436" spans="1:4" x14ac:dyDescent="0.25">
      <c r="A3436" s="2" t="s">
        <v>1293</v>
      </c>
      <c r="B3436" s="2" t="s">
        <v>44</v>
      </c>
      <c r="C3436" s="31" t="str">
        <f>VLOOKUP(irregulares[[#This Row],[Similar a]],padroes[],2,0)</f>
        <v>CAR</v>
      </c>
      <c r="D3436" s="3"/>
    </row>
    <row r="3437" spans="1:4" x14ac:dyDescent="0.25">
      <c r="A3437" s="2" t="s">
        <v>1294</v>
      </c>
      <c r="B3437" s="2" t="s">
        <v>53</v>
      </c>
      <c r="C3437" s="31" t="str">
        <f>VLOOKUP(irregulares[[#This Row],[Similar a]],padroes[],2,0)</f>
        <v>EAR</v>
      </c>
      <c r="D3437" s="3"/>
    </row>
    <row r="3438" spans="1:4" x14ac:dyDescent="0.25">
      <c r="A3438" s="2" t="s">
        <v>1295</v>
      </c>
      <c r="B3438" s="2" t="s">
        <v>44</v>
      </c>
      <c r="C3438" s="31" t="str">
        <f>VLOOKUP(irregulares[[#This Row],[Similar a]],padroes[],2,0)</f>
        <v>CAR</v>
      </c>
      <c r="D3438" s="3"/>
    </row>
    <row r="3439" spans="1:4" x14ac:dyDescent="0.25">
      <c r="A3439" s="2" t="s">
        <v>1296</v>
      </c>
      <c r="B3439" s="2" t="s">
        <v>63</v>
      </c>
      <c r="C3439" s="31" t="str">
        <f>VLOOKUP(irregulares[[#This Row],[Similar a]],padroes[],2,0)</f>
        <v>CER</v>
      </c>
      <c r="D3439" s="3"/>
    </row>
    <row r="3440" spans="1:4" x14ac:dyDescent="0.25">
      <c r="A3440" s="2" t="s">
        <v>1297</v>
      </c>
      <c r="B3440" s="2" t="s">
        <v>44</v>
      </c>
      <c r="C3440" s="31" t="str">
        <f>VLOOKUP(irregulares[[#This Row],[Similar a]],padroes[],2,0)</f>
        <v>CAR</v>
      </c>
      <c r="D3440" s="3"/>
    </row>
    <row r="3441" spans="1:4" x14ac:dyDescent="0.25">
      <c r="A3441" s="2" t="s">
        <v>1298</v>
      </c>
      <c r="B3441" s="2" t="s">
        <v>74</v>
      </c>
      <c r="C3441" s="31" t="str">
        <f>VLOOKUP(irregulares[[#This Row],[Similar a]],padroes[],2,0)</f>
        <v>GAR</v>
      </c>
      <c r="D3441" s="3"/>
    </row>
    <row r="3442" spans="1:4" x14ac:dyDescent="0.25">
      <c r="A3442" s="2" t="s">
        <v>1299</v>
      </c>
      <c r="B3442" s="2" t="s">
        <v>53</v>
      </c>
      <c r="C3442" s="31" t="str">
        <f>VLOOKUP(irregulares[[#This Row],[Similar a]],padroes[],2,0)</f>
        <v>EAR</v>
      </c>
      <c r="D3442" s="3"/>
    </row>
    <row r="3443" spans="1:4" x14ac:dyDescent="0.25">
      <c r="A3443" s="2" t="s">
        <v>1300</v>
      </c>
      <c r="B3443" s="2" t="s">
        <v>55</v>
      </c>
      <c r="C3443" s="31" t="str">
        <f>VLOOKUP(irregulares[[#This Row],[Similar a]],padroes[],2,0)</f>
        <v>EJAR ô</v>
      </c>
      <c r="D3443" s="3"/>
    </row>
    <row r="3444" spans="1:4" x14ac:dyDescent="0.25">
      <c r="A3444" s="2" t="s">
        <v>250</v>
      </c>
      <c r="B3444" s="2" t="s">
        <v>250</v>
      </c>
      <c r="C3444" s="2" t="str">
        <f>VLOOKUP(irregulares[[#This Row],[Similar a]],padroes[],2,0)</f>
        <v>VER</v>
      </c>
      <c r="D3444" s="3"/>
    </row>
    <row r="3445" spans="1:4" x14ac:dyDescent="0.25">
      <c r="A3445" s="2" t="s">
        <v>1301</v>
      </c>
      <c r="B3445" s="2" t="s">
        <v>53</v>
      </c>
      <c r="C3445" s="31" t="str">
        <f>VLOOKUP(irregulares[[#This Row],[Similar a]],padroes[],2,0)</f>
        <v>EAR</v>
      </c>
      <c r="D3445" s="3"/>
    </row>
    <row r="3446" spans="1:4" x14ac:dyDescent="0.25">
      <c r="A3446" s="2" t="s">
        <v>1302</v>
      </c>
      <c r="B3446" s="2" t="s">
        <v>53</v>
      </c>
      <c r="C3446" s="31" t="str">
        <f>VLOOKUP(irregulares[[#This Row],[Similar a]],padroes[],2,0)</f>
        <v>EAR</v>
      </c>
      <c r="D3446" s="3"/>
    </row>
    <row r="3447" spans="1:4" x14ac:dyDescent="0.25">
      <c r="A3447" s="2" t="s">
        <v>1303</v>
      </c>
      <c r="B3447" s="2" t="s">
        <v>63</v>
      </c>
      <c r="C3447" s="31" t="str">
        <f>VLOOKUP(irregulares[[#This Row],[Similar a]],padroes[],2,0)</f>
        <v>CER</v>
      </c>
      <c r="D3447" s="3"/>
    </row>
    <row r="3448" spans="1:4" x14ac:dyDescent="0.25">
      <c r="A3448" s="2" t="s">
        <v>1304</v>
      </c>
      <c r="B3448" s="2" t="s">
        <v>55</v>
      </c>
      <c r="C3448" s="31" t="str">
        <f>VLOOKUP(irregulares[[#This Row],[Similar a]],padroes[],2,0)</f>
        <v>EJAR ô</v>
      </c>
      <c r="D3448" s="3"/>
    </row>
    <row r="3449" spans="1:4" x14ac:dyDescent="0.25">
      <c r="A3449" s="2" t="s">
        <v>1305</v>
      </c>
      <c r="B3449" s="2" t="s">
        <v>53</v>
      </c>
      <c r="C3449" s="31" t="str">
        <f>VLOOKUP(irregulares[[#This Row],[Similar a]],padroes[],2,0)</f>
        <v>EAR</v>
      </c>
      <c r="D3449" s="3"/>
    </row>
    <row r="3450" spans="1:4" x14ac:dyDescent="0.25">
      <c r="A3450" s="2" t="s">
        <v>1306</v>
      </c>
      <c r="B3450" s="2" t="s">
        <v>74</v>
      </c>
      <c r="C3450" s="31" t="str">
        <f>VLOOKUP(irregulares[[#This Row],[Similar a]],padroes[],2,0)</f>
        <v>GAR</v>
      </c>
      <c r="D3450" s="3"/>
    </row>
    <row r="3451" spans="1:4" x14ac:dyDescent="0.25">
      <c r="A3451" s="2" t="s">
        <v>1307</v>
      </c>
      <c r="B3451" s="2" t="s">
        <v>53</v>
      </c>
      <c r="C3451" s="31" t="str">
        <f>VLOOKUP(irregulares[[#This Row],[Similar a]],padroes[],2,0)</f>
        <v>EAR</v>
      </c>
      <c r="D3451" s="3"/>
    </row>
    <row r="3452" spans="1:4" x14ac:dyDescent="0.25">
      <c r="A3452" s="2" t="s">
        <v>1308</v>
      </c>
      <c r="B3452" s="2" t="s">
        <v>44</v>
      </c>
      <c r="C3452" s="31" t="str">
        <f>VLOOKUP(irregulares[[#This Row],[Similar a]],padroes[],2,0)</f>
        <v>CAR</v>
      </c>
      <c r="D3452" s="3"/>
    </row>
    <row r="3453" spans="1:4" x14ac:dyDescent="0.25">
      <c r="A3453" s="2" t="s">
        <v>1309</v>
      </c>
      <c r="B3453" s="2" t="s">
        <v>53</v>
      </c>
      <c r="C3453" s="31" t="str">
        <f>VLOOKUP(irregulares[[#This Row],[Similar a]],padroes[],2,0)</f>
        <v>EAR</v>
      </c>
      <c r="D3453" s="3"/>
    </row>
    <row r="3454" spans="1:4" x14ac:dyDescent="0.25">
      <c r="A3454" s="2" t="s">
        <v>1310</v>
      </c>
      <c r="B3454" s="2" t="s">
        <v>63</v>
      </c>
      <c r="C3454" s="31" t="str">
        <f>VLOOKUP(irregulares[[#This Row],[Similar a]],padroes[],2,0)</f>
        <v>CER</v>
      </c>
      <c r="D3454" s="3"/>
    </row>
    <row r="3455" spans="1:4" x14ac:dyDescent="0.25">
      <c r="A3455" s="2" t="s">
        <v>1311</v>
      </c>
      <c r="B3455" s="2" t="s">
        <v>55</v>
      </c>
      <c r="C3455" s="31" t="str">
        <f>VLOOKUP(irregulares[[#This Row],[Similar a]],padroes[],2,0)</f>
        <v>EJAR ô</v>
      </c>
      <c r="D3455" s="3"/>
    </row>
    <row r="3456" spans="1:4" x14ac:dyDescent="0.25">
      <c r="A3456" s="2" t="s">
        <v>1312</v>
      </c>
      <c r="B3456" s="2" t="s">
        <v>1542</v>
      </c>
      <c r="C3456" s="31" t="str">
        <f>VLOOKUP(irregulares[[#This Row],[Similar a]],padroes[],2,0)</f>
        <v>Defectivo 3</v>
      </c>
      <c r="D3456" s="3"/>
    </row>
    <row r="3457" spans="1:4" x14ac:dyDescent="0.25">
      <c r="A3457" s="2" t="s">
        <v>1313</v>
      </c>
      <c r="B3457" s="2" t="s">
        <v>55</v>
      </c>
      <c r="C3457" s="31" t="str">
        <f>VLOOKUP(irregulares[[#This Row],[Similar a]],padroes[],2,0)</f>
        <v>EJAR ô</v>
      </c>
      <c r="D3457" s="3"/>
    </row>
    <row r="3458" spans="1:4" x14ac:dyDescent="0.25">
      <c r="A3458" s="2" t="s">
        <v>1314</v>
      </c>
      <c r="B3458" s="2" t="s">
        <v>44</v>
      </c>
      <c r="C3458" s="31" t="str">
        <f>VLOOKUP(irregulares[[#This Row],[Similar a]],padroes[],2,0)</f>
        <v>CAR</v>
      </c>
      <c r="D3458" s="3"/>
    </row>
    <row r="3459" spans="1:4" x14ac:dyDescent="0.25">
      <c r="A3459" s="2" t="s">
        <v>1315</v>
      </c>
      <c r="B3459" s="2" t="s">
        <v>53</v>
      </c>
      <c r="C3459" s="31" t="str">
        <f>VLOOKUP(irregulares[[#This Row],[Similar a]],padroes[],2,0)</f>
        <v>EAR</v>
      </c>
      <c r="D3459" s="3"/>
    </row>
    <row r="3460" spans="1:4" x14ac:dyDescent="0.25">
      <c r="A3460" s="2" t="s">
        <v>1316</v>
      </c>
      <c r="B3460" s="2" t="s">
        <v>44</v>
      </c>
      <c r="C3460" s="31" t="str">
        <f>VLOOKUP(irregulares[[#This Row],[Similar a]],padroes[],2,0)</f>
        <v>CAR</v>
      </c>
      <c r="D3460" s="3"/>
    </row>
    <row r="3461" spans="1:4" x14ac:dyDescent="0.25">
      <c r="A3461" s="2" t="s">
        <v>2069</v>
      </c>
      <c r="B3461" s="2" t="s">
        <v>2069</v>
      </c>
      <c r="C3461" s="31" t="str">
        <f>VLOOKUP(irregulares[[#This Row],[Similar a]],padroes[],2,0)</f>
        <v>E-X-IR</v>
      </c>
      <c r="D3461" s="3"/>
    </row>
    <row r="3462" spans="1:4" x14ac:dyDescent="0.25">
      <c r="A3462" s="2" t="s">
        <v>1317</v>
      </c>
      <c r="B3462" s="2" t="s">
        <v>53</v>
      </c>
      <c r="C3462" s="31" t="str">
        <f>VLOOKUP(irregulares[[#This Row],[Similar a]],padroes[],2,0)</f>
        <v>EAR</v>
      </c>
      <c r="D3462" s="3"/>
    </row>
    <row r="3463" spans="1:4" x14ac:dyDescent="0.25">
      <c r="A3463" s="2" t="s">
        <v>1318</v>
      </c>
      <c r="B3463" s="2" t="s">
        <v>42</v>
      </c>
      <c r="C3463" s="31" t="str">
        <f>VLOOKUP(irregulares[[#This Row],[Similar a]],padroes[],2,0)</f>
        <v>ÇAR</v>
      </c>
      <c r="D3463" s="3"/>
    </row>
    <row r="3464" spans="1:4" x14ac:dyDescent="0.25">
      <c r="A3464" s="2" t="s">
        <v>1319</v>
      </c>
      <c r="B3464" s="2" t="s">
        <v>55</v>
      </c>
      <c r="C3464" s="31" t="str">
        <f>VLOOKUP(irregulares[[#This Row],[Similar a]],padroes[],2,0)</f>
        <v>EJAR ô</v>
      </c>
      <c r="D3464" s="3"/>
    </row>
    <row r="3465" spans="1:4" x14ac:dyDescent="0.25">
      <c r="A3465" s="2" t="s">
        <v>1320</v>
      </c>
      <c r="B3465" s="2" t="s">
        <v>74</v>
      </c>
      <c r="C3465" s="31" t="str">
        <f>VLOOKUP(irregulares[[#This Row],[Similar a]],padroes[],2,0)</f>
        <v>GAR</v>
      </c>
      <c r="D3465" s="3"/>
    </row>
    <row r="3466" spans="1:4" x14ac:dyDescent="0.25">
      <c r="A3466" s="2" t="s">
        <v>1321</v>
      </c>
      <c r="B3466" s="2" t="s">
        <v>1717</v>
      </c>
      <c r="C3466" s="31" t="str">
        <f>VLOOKUP(irregulares[[#This Row],[Similar a]],padroes[],2,0)</f>
        <v>Defectivo 1</v>
      </c>
      <c r="D3466" s="3"/>
    </row>
    <row r="3467" spans="1:4" x14ac:dyDescent="0.25">
      <c r="A3467" s="2" t="s">
        <v>1322</v>
      </c>
      <c r="B3467" s="2" t="s">
        <v>44</v>
      </c>
      <c r="C3467" s="31" t="str">
        <f>VLOOKUP(irregulares[[#This Row],[Similar a]],padroes[],2,0)</f>
        <v>CAR</v>
      </c>
      <c r="D3467" s="3"/>
    </row>
    <row r="3468" spans="1:4" x14ac:dyDescent="0.25">
      <c r="A3468" s="2" t="s">
        <v>1323</v>
      </c>
      <c r="B3468" s="2" t="s">
        <v>44</v>
      </c>
      <c r="C3468" s="31" t="str">
        <f>VLOOKUP(irregulares[[#This Row],[Similar a]],padroes[],2,0)</f>
        <v>CAR</v>
      </c>
      <c r="D3468" s="3"/>
    </row>
    <row r="3469" spans="1:4" x14ac:dyDescent="0.25">
      <c r="A3469" s="2" t="s">
        <v>1324</v>
      </c>
      <c r="B3469" s="2" t="s">
        <v>44</v>
      </c>
      <c r="C3469" s="31" t="str">
        <f>VLOOKUP(irregulares[[#This Row],[Similar a]],padroes[],2,0)</f>
        <v>CAR</v>
      </c>
      <c r="D3469" s="3"/>
    </row>
    <row r="3470" spans="1:4" x14ac:dyDescent="0.25">
      <c r="A3470" s="2" t="s">
        <v>1325</v>
      </c>
      <c r="B3470" s="2" t="s">
        <v>74</v>
      </c>
      <c r="C3470" s="31" t="str">
        <f>VLOOKUP(irregulares[[#This Row],[Similar a]],padroes[],2,0)</f>
        <v>GAR</v>
      </c>
      <c r="D3470" s="3"/>
    </row>
    <row r="3471" spans="1:4" x14ac:dyDescent="0.25">
      <c r="A3471" s="2" t="s">
        <v>1326</v>
      </c>
      <c r="B3471" s="2" t="s">
        <v>44</v>
      </c>
      <c r="C3471" s="31" t="str">
        <f>VLOOKUP(irregulares[[#This Row],[Similar a]],padroes[],2,0)</f>
        <v>CAR</v>
      </c>
      <c r="D3471" s="3"/>
    </row>
    <row r="3472" spans="1:4" x14ac:dyDescent="0.25">
      <c r="A3472" s="2" t="s">
        <v>247</v>
      </c>
      <c r="B3472" s="2" t="s">
        <v>247</v>
      </c>
      <c r="C3472" s="2" t="str">
        <f>VLOOKUP(irregulares[[#This Row],[Similar a]],padroes[],2,0)</f>
        <v>VIR</v>
      </c>
      <c r="D3472" s="3"/>
    </row>
    <row r="3473" spans="1:4" x14ac:dyDescent="0.25">
      <c r="A3473" s="2" t="s">
        <v>1327</v>
      </c>
      <c r="B3473" s="2" t="s">
        <v>53</v>
      </c>
      <c r="C3473" s="31" t="str">
        <f>VLOOKUP(irregulares[[#This Row],[Similar a]],padroes[],2,0)</f>
        <v>EAR</v>
      </c>
      <c r="D3473" s="3"/>
    </row>
    <row r="3474" spans="1:4" x14ac:dyDescent="0.25">
      <c r="A3474" s="2" t="s">
        <v>1328</v>
      </c>
      <c r="B3474" s="2" t="s">
        <v>44</v>
      </c>
      <c r="C3474" s="31" t="str">
        <f>VLOOKUP(irregulares[[#This Row],[Similar a]],padroes[],2,0)</f>
        <v>CAR</v>
      </c>
      <c r="D3474" s="3"/>
    </row>
    <row r="3475" spans="1:4" x14ac:dyDescent="0.25">
      <c r="A3475" s="2" t="s">
        <v>1329</v>
      </c>
      <c r="B3475" s="2" t="s">
        <v>1329</v>
      </c>
      <c r="C3475" s="31" t="str">
        <f>VLOOKUP(irregulares[[#This Row],[Similar a]],padroes[],2,0)</f>
        <v>Ú-X-AR</v>
      </c>
      <c r="D3475" s="3"/>
    </row>
    <row r="3476" spans="1:4" x14ac:dyDescent="0.25">
      <c r="A3476" s="2" t="s">
        <v>1330</v>
      </c>
      <c r="B3476" s="2" t="s">
        <v>44</v>
      </c>
      <c r="C3476" s="31" t="str">
        <f>VLOOKUP(irregulares[[#This Row],[Similar a]],padroes[],2,0)</f>
        <v>CAR</v>
      </c>
      <c r="D3476" s="3"/>
    </row>
    <row r="3477" spans="1:4" x14ac:dyDescent="0.25">
      <c r="A3477" s="2" t="s">
        <v>1331</v>
      </c>
      <c r="B3477" s="2" t="s">
        <v>49</v>
      </c>
      <c r="C3477" s="31" t="str">
        <f>VLOOKUP(irregulares[[#This Row],[Similar a]],padroes[],2,0)</f>
        <v>OAR</v>
      </c>
      <c r="D3477" s="3"/>
    </row>
    <row r="3478" spans="1:4" x14ac:dyDescent="0.25">
      <c r="A3478" s="2" t="s">
        <v>1332</v>
      </c>
      <c r="B3478" s="2" t="s">
        <v>55</v>
      </c>
      <c r="C3478" s="31" t="str">
        <f>VLOOKUP(irregulares[[#This Row],[Similar a]],padroes[],2,0)</f>
        <v>EJAR ô</v>
      </c>
      <c r="D3478" s="3"/>
    </row>
    <row r="3479" spans="1:4" x14ac:dyDescent="0.25">
      <c r="A3479" s="2" t="s">
        <v>1333</v>
      </c>
      <c r="B3479" s="2" t="s">
        <v>74</v>
      </c>
      <c r="C3479" s="31" t="str">
        <f>VLOOKUP(irregulares[[#This Row],[Similar a]],padroes[],2,0)</f>
        <v>GAR</v>
      </c>
      <c r="D3479" s="3"/>
    </row>
    <row r="3480" spans="1:4" x14ac:dyDescent="0.25">
      <c r="A3480" s="2" t="s">
        <v>1334</v>
      </c>
      <c r="B3480" s="2" t="s">
        <v>53</v>
      </c>
      <c r="C3480" s="31" t="str">
        <f>VLOOKUP(irregulares[[#This Row],[Similar a]],padroes[],2,0)</f>
        <v>EAR</v>
      </c>
      <c r="D3480" s="3"/>
    </row>
    <row r="3481" spans="1:4" x14ac:dyDescent="0.25">
      <c r="A3481" s="2" t="s">
        <v>1335</v>
      </c>
      <c r="B3481" s="2" t="s">
        <v>53</v>
      </c>
      <c r="C3481" s="31" t="str">
        <f>VLOOKUP(irregulares[[#This Row],[Similar a]],padroes[],2,0)</f>
        <v>EAR</v>
      </c>
      <c r="D3481" s="3"/>
    </row>
    <row r="3482" spans="1:4" x14ac:dyDescent="0.25">
      <c r="A3482" s="2" t="s">
        <v>1336</v>
      </c>
      <c r="B3482" s="2" t="s">
        <v>53</v>
      </c>
      <c r="C3482" s="31" t="str">
        <f>VLOOKUP(irregulares[[#This Row],[Similar a]],padroes[],2,0)</f>
        <v>EAR</v>
      </c>
      <c r="D3482" s="3"/>
    </row>
    <row r="3483" spans="1:4" x14ac:dyDescent="0.25">
      <c r="A3483" s="2" t="s">
        <v>1337</v>
      </c>
      <c r="B3483" s="2" t="s">
        <v>1337</v>
      </c>
      <c r="C3483" s="31" t="str">
        <f>VLOOKUP(irregulares[[#This Row],[Similar a]],padroes[],2,0)</f>
        <v>Abundante</v>
      </c>
      <c r="D3483" s="3"/>
    </row>
    <row r="3484" spans="1:4" x14ac:dyDescent="0.25">
      <c r="A3484" s="2" t="s">
        <v>1338</v>
      </c>
      <c r="B3484" s="2" t="s">
        <v>53</v>
      </c>
      <c r="C3484" s="31" t="str">
        <f>VLOOKUP(irregulares[[#This Row],[Similar a]],padroes[],2,0)</f>
        <v>EAR</v>
      </c>
      <c r="D3484" s="3"/>
    </row>
    <row r="3485" spans="1:4" x14ac:dyDescent="0.25">
      <c r="A3485" s="2" t="s">
        <v>1339</v>
      </c>
      <c r="B3485" s="2" t="s">
        <v>74</v>
      </c>
      <c r="C3485" s="31" t="str">
        <f>VLOOKUP(irregulares[[#This Row],[Similar a]],padroes[],2,0)</f>
        <v>GAR</v>
      </c>
      <c r="D3485" s="3"/>
    </row>
    <row r="3486" spans="1:4" x14ac:dyDescent="0.25">
      <c r="A3486" s="2" t="s">
        <v>1266</v>
      </c>
      <c r="B3486" s="2" t="s">
        <v>53</v>
      </c>
      <c r="C3486" s="31" t="str">
        <f>VLOOKUP(irregulares[[#This Row],[Similar a]],padroes[],2,0)</f>
        <v>EAR</v>
      </c>
      <c r="D3486" s="3"/>
    </row>
    <row r="3487" spans="1:4" x14ac:dyDescent="0.25">
      <c r="A3487" s="2" t="s">
        <v>1267</v>
      </c>
      <c r="B3487" s="2" t="s">
        <v>44</v>
      </c>
      <c r="C3487" s="31" t="str">
        <f>VLOOKUP(irregulares[[#This Row],[Similar a]],padroes[],2,0)</f>
        <v>CAR</v>
      </c>
      <c r="D3487" s="3"/>
    </row>
    <row r="3488" spans="1:4" x14ac:dyDescent="0.25">
      <c r="A3488" s="2" t="s">
        <v>1268</v>
      </c>
      <c r="B3488" s="2" t="s">
        <v>53</v>
      </c>
      <c r="C3488" s="31" t="str">
        <f>VLOOKUP(irregulares[[#This Row],[Similar a]],padroes[],2,0)</f>
        <v>EAR</v>
      </c>
      <c r="D3488" s="3"/>
    </row>
    <row r="3489" spans="1:4" x14ac:dyDescent="0.25">
      <c r="A3489" s="2" t="s">
        <v>1269</v>
      </c>
      <c r="B3489" s="2" t="s">
        <v>44</v>
      </c>
      <c r="C3489" s="31" t="str">
        <f>VLOOKUP(irregulares[[#This Row],[Similar a]],padroes[],2,0)</f>
        <v>CAR</v>
      </c>
      <c r="D3489" s="3"/>
    </row>
    <row r="3490" spans="1:4" x14ac:dyDescent="0.25">
      <c r="A3490" s="2" t="s">
        <v>1270</v>
      </c>
      <c r="B3490" s="2" t="s">
        <v>74</v>
      </c>
      <c r="C3490" s="31" t="str">
        <f>VLOOKUP(irregulares[[#This Row],[Similar a]],padroes[],2,0)</f>
        <v>GAR</v>
      </c>
      <c r="D3490" s="3"/>
    </row>
    <row r="3491" spans="1:4" x14ac:dyDescent="0.25">
      <c r="A3491" s="2" t="s">
        <v>1271</v>
      </c>
      <c r="B3491" s="2" t="s">
        <v>74</v>
      </c>
      <c r="C3491" s="31" t="str">
        <f>VLOOKUP(irregulares[[#This Row],[Similar a]],padroes[],2,0)</f>
        <v>GAR</v>
      </c>
      <c r="D3491" s="3"/>
    </row>
    <row r="3492" spans="1:4" x14ac:dyDescent="0.25">
      <c r="A3492" s="2" t="s">
        <v>1272</v>
      </c>
      <c r="B3492" s="2" t="s">
        <v>60</v>
      </c>
      <c r="C3492" s="31" t="str">
        <f>VLOOKUP(irregulares[[#This Row],[Similar a]],padroes[],2,0)</f>
        <v>GAR</v>
      </c>
      <c r="D3492" s="3"/>
    </row>
    <row r="3493" spans="1:4" x14ac:dyDescent="0.25">
      <c r="A3493" s="2" t="s">
        <v>633</v>
      </c>
      <c r="B3493" s="2" t="s">
        <v>633</v>
      </c>
      <c r="C3493" s="2" t="str">
        <f>VLOOKUP(irregulares[[#This Row],[Similar a]],padroes[],2,0)</f>
        <v>AR regular</v>
      </c>
      <c r="D3493" s="3"/>
    </row>
    <row r="3494" spans="1:4" x14ac:dyDescent="0.25">
      <c r="A3494" s="2" t="s">
        <v>634</v>
      </c>
      <c r="B3494" s="2" t="s">
        <v>634</v>
      </c>
      <c r="C3494" s="2" t="str">
        <f>VLOOKUP(irregulares[[#This Row],[Similar a]],padroes[],2,0)</f>
        <v>ER regular</v>
      </c>
      <c r="D3494" s="3"/>
    </row>
    <row r="3495" spans="1:4" x14ac:dyDescent="0.25">
      <c r="A3495" s="2" t="s">
        <v>635</v>
      </c>
      <c r="B3495" s="2" t="s">
        <v>635</v>
      </c>
      <c r="C3495" s="2" t="str">
        <f>VLOOKUP(irregulares[[#This Row],[Similar a]],padroes[],2,0)</f>
        <v>IR regular</v>
      </c>
      <c r="D3495" s="3"/>
    </row>
    <row r="3496" spans="1:4" x14ac:dyDescent="0.25">
      <c r="A3496" s="2" t="s">
        <v>1231</v>
      </c>
      <c r="B3496" s="2" t="s">
        <v>74</v>
      </c>
      <c r="C3496" s="31" t="str">
        <f>VLOOKUP(irregulares[[#This Row],[Similar a]],padroes[],2,0)</f>
        <v>GAR</v>
      </c>
      <c r="D3496" s="3"/>
    </row>
    <row r="3497" spans="1:4" x14ac:dyDescent="0.25">
      <c r="A3497" s="2" t="s">
        <v>1232</v>
      </c>
      <c r="B3497" s="2" t="s">
        <v>53</v>
      </c>
      <c r="C3497" s="31" t="str">
        <f>VLOOKUP(irregulares[[#This Row],[Similar a]],padroes[],2,0)</f>
        <v>EAR</v>
      </c>
      <c r="D3497" s="3"/>
    </row>
    <row r="3498" spans="1:4" x14ac:dyDescent="0.25">
      <c r="A3498" s="2" t="s">
        <v>1233</v>
      </c>
      <c r="B3498" s="2" t="s">
        <v>53</v>
      </c>
      <c r="C3498" s="31" t="str">
        <f>VLOOKUP(irregulares[[#This Row],[Similar a]],padroes[],2,0)</f>
        <v>EAR</v>
      </c>
      <c r="D3498" s="3"/>
    </row>
    <row r="3499" spans="1:4" x14ac:dyDescent="0.25">
      <c r="A3499" s="2" t="s">
        <v>1234</v>
      </c>
      <c r="B3499" s="2" t="s">
        <v>157</v>
      </c>
      <c r="C3499" s="31" t="str">
        <f>VLOOKUP(irregulares[[#This Row],[Similar a]],padroes[],2,0)</f>
        <v>ELHAR</v>
      </c>
      <c r="D3499" s="3"/>
    </row>
    <row r="3500" spans="1:4" x14ac:dyDescent="0.25">
      <c r="A3500" s="2" t="s">
        <v>1235</v>
      </c>
      <c r="B3500" s="2" t="s">
        <v>53</v>
      </c>
      <c r="C3500" s="31" t="str">
        <f>VLOOKUP(irregulares[[#This Row],[Similar a]],padroes[],2,0)</f>
        <v>EAR</v>
      </c>
    </row>
    <row r="3501" spans="1:4" x14ac:dyDescent="0.25">
      <c r="A3501" s="2" t="s">
        <v>1236</v>
      </c>
      <c r="B3501" s="2" t="s">
        <v>44</v>
      </c>
      <c r="C3501" s="31" t="str">
        <f>VLOOKUP(irregulares[[#This Row],[Similar a]],padroes[],2,0)</f>
        <v>CAR</v>
      </c>
    </row>
    <row r="3502" spans="1:4" x14ac:dyDescent="0.25">
      <c r="A3502" s="2" t="s">
        <v>1237</v>
      </c>
      <c r="B3502" s="2" t="s">
        <v>74</v>
      </c>
      <c r="C3502" s="31" t="str">
        <f>VLOOKUP(irregulares[[#This Row],[Similar a]],padroes[],2,0)</f>
        <v>GAR</v>
      </c>
    </row>
    <row r="3503" spans="1:4" x14ac:dyDescent="0.25">
      <c r="A3503" s="2" t="s">
        <v>1238</v>
      </c>
      <c r="B3503" s="2" t="s">
        <v>53</v>
      </c>
      <c r="C3503" s="31" t="str">
        <f>VLOOKUP(irregulares[[#This Row],[Similar a]],padroes[],2,0)</f>
        <v>EAR</v>
      </c>
    </row>
    <row r="3504" spans="1:4" x14ac:dyDescent="0.25">
      <c r="A3504" s="2" t="s">
        <v>1239</v>
      </c>
      <c r="B3504" s="2" t="s">
        <v>53</v>
      </c>
      <c r="C3504" s="31" t="str">
        <f>VLOOKUP(irregulares[[#This Row],[Similar a]],padroes[],2,0)</f>
        <v>EAR</v>
      </c>
    </row>
    <row r="3505" spans="1:3" x14ac:dyDescent="0.25">
      <c r="A3505" s="2" t="s">
        <v>1240</v>
      </c>
      <c r="B3505" s="2" t="s">
        <v>53</v>
      </c>
      <c r="C3505" s="31" t="str">
        <f>VLOOKUP(irregulares[[#This Row],[Similar a]],padroes[],2,0)</f>
        <v>EAR</v>
      </c>
    </row>
    <row r="3506" spans="1:3" x14ac:dyDescent="0.25">
      <c r="A3506" s="2" t="s">
        <v>1241</v>
      </c>
      <c r="B3506" s="2" t="s">
        <v>53</v>
      </c>
      <c r="C3506" s="31" t="str">
        <f>VLOOKUP(irregulares[[#This Row],[Similar a]],padroes[],2,0)</f>
        <v>EAR</v>
      </c>
    </row>
    <row r="3507" spans="1:3" x14ac:dyDescent="0.25">
      <c r="A3507" s="2" t="s">
        <v>1242</v>
      </c>
      <c r="B3507" s="2" t="s">
        <v>74</v>
      </c>
      <c r="C3507" s="31" t="str">
        <f>VLOOKUP(irregulares[[#This Row],[Similar a]],padroes[],2,0)</f>
        <v>GAR</v>
      </c>
    </row>
    <row r="3508" spans="1:3" x14ac:dyDescent="0.25">
      <c r="A3508" s="2" t="s">
        <v>1243</v>
      </c>
      <c r="B3508" s="2" t="s">
        <v>82</v>
      </c>
      <c r="C3508" s="31" t="str">
        <f>VLOOKUP(irregulares[[#This Row],[Similar a]],padroes[],2,0)</f>
        <v>UIR</v>
      </c>
    </row>
    <row r="3509" spans="1:3" x14ac:dyDescent="0.25">
      <c r="A3509" s="2" t="s">
        <v>4893</v>
      </c>
      <c r="B3509" s="2" t="s">
        <v>141</v>
      </c>
      <c r="C3509" s="31" t="str">
        <f>VLOOKUP(irregulares[[#This Row],[Similar a]],padroes[],2,0)</f>
        <v>Abundante</v>
      </c>
    </row>
    <row r="3510" spans="1:3" x14ac:dyDescent="0.25">
      <c r="A3510" s="2" t="s">
        <v>4894</v>
      </c>
      <c r="B3510" s="2" t="s">
        <v>1337</v>
      </c>
      <c r="C3510" s="31" t="str">
        <f>VLOOKUP(irregulares[[#This Row],[Similar a]],padroes[],2,0)</f>
        <v>Abundante</v>
      </c>
    </row>
    <row r="3511" spans="1:3" x14ac:dyDescent="0.25">
      <c r="A3511" s="2" t="s">
        <v>4620</v>
      </c>
      <c r="B3511" s="2" t="s">
        <v>2008</v>
      </c>
      <c r="C3511" s="31" t="str">
        <f>VLOOKUP(irregulares[[#This Row],[Similar a]],padroes[],2,0)</f>
        <v>Abundante</v>
      </c>
    </row>
    <row r="3512" spans="1:3" x14ac:dyDescent="0.25">
      <c r="A3512" s="2" t="s">
        <v>4898</v>
      </c>
      <c r="B3512" s="2" t="s">
        <v>141</v>
      </c>
      <c r="C3512" s="31" t="str">
        <f>VLOOKUP(irregulares[[#This Row],[Similar a]],padroes[],2,0)</f>
        <v>Abundante</v>
      </c>
    </row>
    <row r="3513" spans="1:3" x14ac:dyDescent="0.25">
      <c r="A3513" s="2" t="s">
        <v>4901</v>
      </c>
      <c r="B3513" s="2" t="s">
        <v>141</v>
      </c>
      <c r="C3513" s="31" t="str">
        <f>VLOOKUP(irregulares[[#This Row],[Similar a]],padroes[],2,0)</f>
        <v>Abundante</v>
      </c>
    </row>
    <row r="3514" spans="1:3" x14ac:dyDescent="0.25">
      <c r="A3514" s="2" t="s">
        <v>1276</v>
      </c>
      <c r="B3514" s="2" t="s">
        <v>423</v>
      </c>
      <c r="C3514" s="31" t="str">
        <f>VLOOKUP(irregulares[[#This Row],[Similar a]],padroes[],2,0)</f>
        <v>GAR</v>
      </c>
    </row>
    <row r="3515" spans="1:3" x14ac:dyDescent="0.25">
      <c r="A3515" s="2" t="s">
        <v>4904</v>
      </c>
      <c r="B3515" s="2" t="s">
        <v>1337</v>
      </c>
      <c r="C3515" s="31" t="str">
        <f>VLOOKUP(irregulares[[#This Row],[Similar a]],padroes[],2,0)</f>
        <v>Abundante</v>
      </c>
    </row>
    <row r="3516" spans="1:3" x14ac:dyDescent="0.25">
      <c r="A3516" s="2" t="s">
        <v>4907</v>
      </c>
      <c r="B3516" s="2" t="s">
        <v>4907</v>
      </c>
      <c r="C3516" s="31" t="str">
        <f>VLOOKUP(irregulares[[#This Row],[Similar a]],padroes[],2,0)</f>
        <v>Abundante</v>
      </c>
    </row>
    <row r="3517" spans="1:3" x14ac:dyDescent="0.25">
      <c r="A3517" s="2" t="s">
        <v>4909</v>
      </c>
      <c r="B3517" s="2" t="s">
        <v>4909</v>
      </c>
      <c r="C3517" s="31" t="str">
        <f>VLOOKUP(irregulares[[#This Row],[Similar a]],padroes[],2,0)</f>
        <v>Abundante</v>
      </c>
    </row>
    <row r="3518" spans="1:3" x14ac:dyDescent="0.25">
      <c r="A3518" s="2" t="s">
        <v>4910</v>
      </c>
      <c r="B3518" s="2" t="s">
        <v>4910</v>
      </c>
      <c r="C3518" s="31" t="str">
        <f>VLOOKUP(irregulares[[#This Row],[Similar a]],padroes[],2,0)</f>
        <v>Abundante</v>
      </c>
    </row>
    <row r="3519" spans="1:3" x14ac:dyDescent="0.25">
      <c r="A3519" s="2" t="s">
        <v>4916</v>
      </c>
      <c r="B3519" s="2" t="s">
        <v>141</v>
      </c>
      <c r="C3519" s="31" t="str">
        <f>VLOOKUP(irregulares[[#This Row],[Similar a]],padroes[],2,0)</f>
        <v>Abundante</v>
      </c>
    </row>
    <row r="3520" spans="1:3" x14ac:dyDescent="0.25">
      <c r="A3520" s="2" t="s">
        <v>4917</v>
      </c>
      <c r="B3520" s="2" t="s">
        <v>4917</v>
      </c>
      <c r="C3520" s="31" t="str">
        <f>VLOOKUP(irregulares[[#This Row],[Similar a]],padroes[],2,0)</f>
        <v>Abundante</v>
      </c>
    </row>
    <row r="3521" spans="1:3" x14ac:dyDescent="0.25">
      <c r="A3521" s="2" t="s">
        <v>4920</v>
      </c>
      <c r="B3521" s="2" t="s">
        <v>141</v>
      </c>
      <c r="C3521" s="31" t="str">
        <f>VLOOKUP(irregulares[[#This Row],[Similar a]],padroes[],2,0)</f>
        <v>Abundante</v>
      </c>
    </row>
    <row r="3522" spans="1:3" x14ac:dyDescent="0.25">
      <c r="A3522" s="2" t="s">
        <v>4925</v>
      </c>
      <c r="B3522" s="2" t="s">
        <v>141</v>
      </c>
      <c r="C3522" s="31" t="str">
        <f>VLOOKUP(irregulares[[#This Row],[Similar a]],padroes[],2,0)</f>
        <v>Abundante</v>
      </c>
    </row>
    <row r="3523" spans="1:3" x14ac:dyDescent="0.25">
      <c r="A3523" s="2" t="s">
        <v>4927</v>
      </c>
      <c r="B3523" s="2" t="s">
        <v>4927</v>
      </c>
      <c r="C3523" s="31" t="str">
        <f>VLOOKUP(irregulares[[#This Row],[Similar a]],padroes[],2,0)</f>
        <v>QUERER</v>
      </c>
    </row>
    <row r="3524" spans="1:3" x14ac:dyDescent="0.25">
      <c r="A3524" s="2" t="s">
        <v>4932</v>
      </c>
      <c r="B3524" s="2" t="s">
        <v>141</v>
      </c>
      <c r="C3524" s="31" t="str">
        <f>VLOOKUP(irregulares[[#This Row],[Similar a]],padroes[],2,0)</f>
        <v>Abundante</v>
      </c>
    </row>
    <row r="3525" spans="1:3" x14ac:dyDescent="0.25">
      <c r="A3525" s="2" t="s">
        <v>4933</v>
      </c>
      <c r="B3525" s="2" t="s">
        <v>141</v>
      </c>
      <c r="C3525" s="31" t="str">
        <f>VLOOKUP(irregulares[[#This Row],[Similar a]],padroes[],2,0)</f>
        <v>Abundante</v>
      </c>
    </row>
    <row r="3526" spans="1:3" x14ac:dyDescent="0.25">
      <c r="A3526" s="2" t="s">
        <v>4940</v>
      </c>
      <c r="B3526" s="2" t="s">
        <v>141</v>
      </c>
      <c r="C3526" s="31" t="str">
        <f>VLOOKUP(irregulares[[#This Row],[Similar a]],padroes[],2,0)</f>
        <v>Abundante</v>
      </c>
    </row>
    <row r="3527" spans="1:3" x14ac:dyDescent="0.25">
      <c r="A3527" s="2" t="s">
        <v>4943</v>
      </c>
      <c r="B3527" s="2" t="s">
        <v>141</v>
      </c>
      <c r="C3527" s="31" t="str">
        <f>VLOOKUP(irregulares[[#This Row],[Similar a]],padroes[],2,0)</f>
        <v>Abundante</v>
      </c>
    </row>
    <row r="3528" spans="1:3" x14ac:dyDescent="0.25">
      <c r="A3528" s="2" t="s">
        <v>4948</v>
      </c>
      <c r="B3528" s="2" t="s">
        <v>4948</v>
      </c>
      <c r="C3528" s="31" t="str">
        <f>VLOOKUP(irregulares[[#This Row],[Similar a]],padroes[],2,0)</f>
        <v>PROVER</v>
      </c>
    </row>
  </sheetData>
  <sortState xmlns:xlrd2="http://schemas.microsoft.com/office/spreadsheetml/2017/richdata2" ref="F3:G20">
    <sortCondition descending="1" ref="G3:G20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E163"/>
  <sheetViews>
    <sheetView topLeftCell="A34" workbookViewId="0">
      <pane xSplit="2" topLeftCell="C1" activePane="topRight" state="frozen"/>
      <selection activeCell="A19" sqref="A19"/>
      <selection pane="topRight" activeCell="N46" sqref="N46"/>
    </sheetView>
  </sheetViews>
  <sheetFormatPr defaultRowHeight="15" x14ac:dyDescent="0.25"/>
  <cols>
    <col min="1" max="2" width="13" style="2" customWidth="1"/>
    <col min="3" max="3" width="10.28515625" style="3" customWidth="1"/>
    <col min="4" max="4" width="9.140625" style="3"/>
    <col min="5" max="5" width="10.28515625" style="3" customWidth="1"/>
    <col min="6" max="6" width="9.140625" style="3"/>
    <col min="7" max="7" width="10.28515625" style="3" customWidth="1"/>
    <col min="8" max="8" width="9.140625" style="3"/>
    <col min="9" max="9" width="10.28515625" style="3" customWidth="1"/>
    <col min="10" max="10" width="9.140625" style="3"/>
    <col min="11" max="11" width="10.28515625" style="3" customWidth="1"/>
    <col min="12" max="12" width="9.140625" style="3"/>
    <col min="13" max="13" width="10.28515625" style="3" customWidth="1"/>
    <col min="14" max="14" width="9.140625" style="3"/>
    <col min="15" max="15" width="10.28515625" style="3" customWidth="1"/>
    <col min="16" max="16" width="9.140625" style="3"/>
    <col min="17" max="17" width="10.28515625" style="3" customWidth="1"/>
    <col min="18" max="18" width="9.140625" style="3"/>
    <col min="19" max="19" width="10.28515625" style="3" customWidth="1"/>
    <col min="20" max="20" width="9.140625" style="3"/>
    <col min="21" max="21" width="11.28515625" style="3" customWidth="1"/>
    <col min="22" max="22" width="9.140625" style="3"/>
    <col min="23" max="23" width="11.28515625" style="3" customWidth="1"/>
    <col min="24" max="24" width="9.140625" style="3"/>
    <col min="25" max="25" width="11.28515625" style="3" customWidth="1"/>
    <col min="26" max="26" width="9.140625" style="3"/>
    <col min="27" max="27" width="11.28515625" style="3" customWidth="1"/>
    <col min="28" max="28" width="9.140625" style="3"/>
    <col min="29" max="29" width="11.28515625" style="3" customWidth="1"/>
    <col min="30" max="30" width="9.140625" style="3"/>
    <col min="31" max="31" width="11.28515625" style="3" customWidth="1"/>
    <col min="32" max="32" width="9.140625" style="3"/>
    <col min="33" max="33" width="11.28515625" style="3" customWidth="1"/>
    <col min="34" max="34" width="9.140625" style="3"/>
    <col min="35" max="35" width="11.28515625" style="3" customWidth="1"/>
    <col min="36" max="36" width="9.140625" style="3"/>
    <col min="37" max="37" width="11.28515625" style="3" customWidth="1"/>
    <col min="38" max="38" width="9.140625" style="2"/>
    <col min="39" max="39" width="11.28515625" style="2" customWidth="1"/>
    <col min="40" max="40" width="9.140625" style="2"/>
    <col min="41" max="41" width="11.28515625" style="2" customWidth="1"/>
    <col min="42" max="42" width="9.140625" style="2"/>
    <col min="43" max="43" width="11.28515625" style="2" customWidth="1"/>
    <col min="44" max="44" width="9.140625" style="2"/>
    <col min="45" max="45" width="11.28515625" style="2" customWidth="1"/>
    <col min="46" max="46" width="9.140625" style="2"/>
    <col min="47" max="47" width="11.28515625" style="2" customWidth="1"/>
    <col min="48" max="48" width="9.140625" style="2"/>
    <col min="49" max="49" width="11.28515625" style="2" customWidth="1"/>
    <col min="50" max="50" width="9.140625" style="2"/>
    <col min="51" max="51" width="11.28515625" style="2" customWidth="1"/>
    <col min="52" max="52" width="9.140625" style="2"/>
    <col min="53" max="53" width="11.28515625" style="2" customWidth="1"/>
    <col min="54" max="54" width="9.140625" style="2"/>
    <col min="55" max="55" width="11.28515625" style="2" customWidth="1"/>
    <col min="56" max="56" width="9.140625" style="2"/>
    <col min="57" max="57" width="11.28515625" style="2" customWidth="1"/>
    <col min="58" max="58" width="9.140625" style="2"/>
    <col min="59" max="59" width="11.28515625" style="2" customWidth="1"/>
    <col min="60" max="60" width="9.140625" style="2"/>
    <col min="61" max="61" width="11.28515625" style="2" customWidth="1"/>
    <col min="62" max="62" width="9.140625" style="2"/>
    <col min="63" max="63" width="11.28515625" style="2" customWidth="1"/>
    <col min="64" max="64" width="9.140625" style="2"/>
    <col min="65" max="65" width="11.28515625" style="2" customWidth="1"/>
    <col min="66" max="66" width="9.140625" style="2"/>
    <col min="67" max="67" width="11.28515625" style="2" customWidth="1"/>
    <col min="68" max="68" width="9.140625" style="2"/>
    <col min="69" max="69" width="11.28515625" style="2" customWidth="1"/>
    <col min="70" max="70" width="9.140625" style="2"/>
    <col min="71" max="71" width="11.28515625" style="2" customWidth="1"/>
    <col min="72" max="72" width="9.140625" style="2"/>
    <col min="73" max="73" width="11.28515625" style="2" customWidth="1"/>
    <col min="74" max="74" width="9.140625" style="2"/>
    <col min="75" max="75" width="11.28515625" style="2" customWidth="1"/>
    <col min="76" max="76" width="9.140625" style="2"/>
    <col min="77" max="77" width="11.28515625" style="2" customWidth="1"/>
    <col min="78" max="78" width="9.140625" style="2"/>
    <col min="79" max="79" width="11.28515625" style="2" customWidth="1"/>
    <col min="80" max="80" width="9.140625" style="2"/>
    <col min="81" max="81" width="11.28515625" style="2" customWidth="1"/>
    <col min="82" max="82" width="9.140625" style="2"/>
    <col min="83" max="83" width="11.28515625" style="2" customWidth="1"/>
    <col min="84" max="84" width="9.140625" style="2"/>
    <col min="85" max="85" width="11.28515625" style="2" customWidth="1"/>
    <col min="86" max="86" width="9.140625" style="2"/>
    <col min="87" max="87" width="11.28515625" style="2" customWidth="1"/>
    <col min="88" max="88" width="9.140625" style="2"/>
    <col min="89" max="89" width="11.28515625" style="2" customWidth="1"/>
    <col min="90" max="90" width="9.140625" style="2"/>
    <col min="91" max="91" width="11.28515625" style="2" customWidth="1"/>
    <col min="92" max="92" width="9.140625" style="2"/>
    <col min="93" max="93" width="11.28515625" style="2" customWidth="1"/>
    <col min="94" max="94" width="9.140625" style="2"/>
    <col min="95" max="95" width="11.28515625" style="2" customWidth="1"/>
    <col min="96" max="96" width="9.140625" style="2"/>
    <col min="97" max="97" width="11.28515625" style="2" customWidth="1"/>
    <col min="98" max="98" width="9.140625" style="2"/>
    <col min="99" max="99" width="11.28515625" style="2" customWidth="1"/>
    <col min="100" max="100" width="9.140625" style="2"/>
    <col min="101" max="101" width="11.28515625" style="2" customWidth="1"/>
    <col min="102" max="102" width="9.140625" style="2"/>
    <col min="103" max="103" width="11.28515625" style="2" customWidth="1"/>
    <col min="104" max="104" width="9.140625" style="2"/>
    <col min="105" max="105" width="11.28515625" style="2" customWidth="1"/>
    <col min="106" max="106" width="9.140625" style="2"/>
    <col min="107" max="107" width="11.28515625" style="2" customWidth="1"/>
    <col min="108" max="108" width="9.140625" style="2"/>
    <col min="109" max="109" width="11.28515625" style="2" customWidth="1"/>
    <col min="110" max="110" width="9.140625" style="2"/>
    <col min="111" max="111" width="11.28515625" style="2" customWidth="1"/>
    <col min="112" max="112" width="9.140625" style="2"/>
    <col min="113" max="113" width="11.28515625" style="2" customWidth="1"/>
    <col min="114" max="114" width="9.140625" style="2"/>
    <col min="115" max="115" width="11.28515625" style="2" customWidth="1"/>
    <col min="116" max="116" width="9.140625" style="2"/>
    <col min="117" max="117" width="11.28515625" style="2" customWidth="1"/>
    <col min="118" max="118" width="9.140625" style="2"/>
    <col min="119" max="119" width="11.28515625" style="2" customWidth="1"/>
    <col min="120" max="120" width="9.140625" style="2"/>
    <col min="121" max="121" width="11.28515625" style="2" customWidth="1"/>
    <col min="122" max="122" width="9.140625" style="2"/>
    <col min="123" max="123" width="11.28515625" style="2" customWidth="1"/>
    <col min="124" max="124" width="9.140625" style="2"/>
    <col min="125" max="126" width="11.28515625" style="2" customWidth="1"/>
    <col min="127" max="131" width="9.140625" style="2"/>
    <col min="132" max="132" width="85.7109375" style="2" bestFit="1" customWidth="1"/>
    <col min="133" max="16384" width="9.140625" style="2"/>
  </cols>
  <sheetData>
    <row r="1" spans="1:135" s="17" customFormat="1" x14ac:dyDescent="0.25">
      <c r="A1" s="17" t="s">
        <v>0</v>
      </c>
      <c r="B1" s="17" t="s">
        <v>239</v>
      </c>
      <c r="C1" s="17" t="s">
        <v>462</v>
      </c>
      <c r="D1" s="17" t="s">
        <v>524</v>
      </c>
      <c r="E1" s="17" t="s">
        <v>463</v>
      </c>
      <c r="F1" s="17" t="s">
        <v>525</v>
      </c>
      <c r="G1" s="17" t="s">
        <v>464</v>
      </c>
      <c r="H1" s="17" t="s">
        <v>526</v>
      </c>
      <c r="I1" s="17" t="s">
        <v>465</v>
      </c>
      <c r="J1" s="17" t="s">
        <v>527</v>
      </c>
      <c r="K1" s="17" t="s">
        <v>466</v>
      </c>
      <c r="L1" s="17" t="s">
        <v>528</v>
      </c>
      <c r="M1" s="17" t="s">
        <v>467</v>
      </c>
      <c r="N1" s="17" t="s">
        <v>529</v>
      </c>
      <c r="O1" s="17" t="s">
        <v>468</v>
      </c>
      <c r="P1" s="17" t="s">
        <v>530</v>
      </c>
      <c r="Q1" s="17" t="s">
        <v>469</v>
      </c>
      <c r="R1" s="17" t="s">
        <v>531</v>
      </c>
      <c r="S1" s="17" t="s">
        <v>470</v>
      </c>
      <c r="T1" s="17" t="s">
        <v>532</v>
      </c>
      <c r="U1" s="17" t="s">
        <v>471</v>
      </c>
      <c r="V1" s="17" t="s">
        <v>533</v>
      </c>
      <c r="W1" s="17" t="s">
        <v>472</v>
      </c>
      <c r="X1" s="17" t="s">
        <v>534</v>
      </c>
      <c r="Y1" s="17" t="s">
        <v>473</v>
      </c>
      <c r="Z1" s="17" t="s">
        <v>535</v>
      </c>
      <c r="AA1" s="17" t="s">
        <v>474</v>
      </c>
      <c r="AB1" s="17" t="s">
        <v>536</v>
      </c>
      <c r="AC1" s="17" t="s">
        <v>475</v>
      </c>
      <c r="AD1" s="17" t="s">
        <v>537</v>
      </c>
      <c r="AE1" s="17" t="s">
        <v>476</v>
      </c>
      <c r="AF1" s="17" t="s">
        <v>538</v>
      </c>
      <c r="AG1" s="17" t="s">
        <v>477</v>
      </c>
      <c r="AH1" s="17" t="s">
        <v>539</v>
      </c>
      <c r="AI1" s="17" t="s">
        <v>478</v>
      </c>
      <c r="AJ1" s="17" t="s">
        <v>540</v>
      </c>
      <c r="AK1" s="17" t="s">
        <v>479</v>
      </c>
      <c r="AL1" s="17" t="s">
        <v>541</v>
      </c>
      <c r="AM1" s="17" t="s">
        <v>480</v>
      </c>
      <c r="AN1" s="17" t="s">
        <v>542</v>
      </c>
      <c r="AO1" s="17" t="s">
        <v>481</v>
      </c>
      <c r="AP1" s="17" t="s">
        <v>543</v>
      </c>
      <c r="AQ1" s="17" t="s">
        <v>482</v>
      </c>
      <c r="AR1" s="17" t="s">
        <v>544</v>
      </c>
      <c r="AS1" s="17" t="s">
        <v>483</v>
      </c>
      <c r="AT1" s="17" t="s">
        <v>545</v>
      </c>
      <c r="AU1" s="17" t="s">
        <v>484</v>
      </c>
      <c r="AV1" s="17" t="s">
        <v>546</v>
      </c>
      <c r="AW1" s="17" t="s">
        <v>485</v>
      </c>
      <c r="AX1" s="17" t="s">
        <v>547</v>
      </c>
      <c r="AY1" s="17" t="s">
        <v>486</v>
      </c>
      <c r="AZ1" s="17" t="s">
        <v>548</v>
      </c>
      <c r="BA1" s="17" t="s">
        <v>487</v>
      </c>
      <c r="BB1" s="17" t="s">
        <v>549</v>
      </c>
      <c r="BC1" s="17" t="s">
        <v>488</v>
      </c>
      <c r="BD1" s="17" t="s">
        <v>550</v>
      </c>
      <c r="BE1" s="17" t="s">
        <v>489</v>
      </c>
      <c r="BF1" s="17" t="s">
        <v>551</v>
      </c>
      <c r="BG1" s="17" t="s">
        <v>490</v>
      </c>
      <c r="BH1" s="17" t="s">
        <v>552</v>
      </c>
      <c r="BI1" s="17" t="s">
        <v>491</v>
      </c>
      <c r="BJ1" s="17" t="s">
        <v>553</v>
      </c>
      <c r="BK1" s="17" t="s">
        <v>492</v>
      </c>
      <c r="BL1" s="17" t="s">
        <v>554</v>
      </c>
      <c r="BM1" s="17" t="s">
        <v>493</v>
      </c>
      <c r="BN1" s="17" t="s">
        <v>555</v>
      </c>
      <c r="BO1" s="17" t="s">
        <v>494</v>
      </c>
      <c r="BP1" s="17" t="s">
        <v>556</v>
      </c>
      <c r="BQ1" s="17" t="s">
        <v>495</v>
      </c>
      <c r="BR1" s="17" t="s">
        <v>557</v>
      </c>
      <c r="BS1" s="17" t="s">
        <v>496</v>
      </c>
      <c r="BT1" s="17" t="s">
        <v>558</v>
      </c>
      <c r="BU1" s="17" t="s">
        <v>497</v>
      </c>
      <c r="BV1" s="17" t="s">
        <v>559</v>
      </c>
      <c r="BW1" s="17" t="s">
        <v>498</v>
      </c>
      <c r="BX1" s="17" t="s">
        <v>560</v>
      </c>
      <c r="BY1" s="17" t="s">
        <v>499</v>
      </c>
      <c r="BZ1" s="17" t="s">
        <v>561</v>
      </c>
      <c r="CA1" s="17" t="s">
        <v>500</v>
      </c>
      <c r="CB1" s="17" t="s">
        <v>562</v>
      </c>
      <c r="CC1" s="17" t="s">
        <v>501</v>
      </c>
      <c r="CD1" s="17" t="s">
        <v>563</v>
      </c>
      <c r="CE1" s="17" t="s">
        <v>502</v>
      </c>
      <c r="CF1" s="17" t="s">
        <v>564</v>
      </c>
      <c r="CG1" s="17" t="s">
        <v>503</v>
      </c>
      <c r="CH1" s="17" t="s">
        <v>565</v>
      </c>
      <c r="CI1" s="17" t="s">
        <v>504</v>
      </c>
      <c r="CJ1" s="17" t="s">
        <v>566</v>
      </c>
      <c r="CK1" s="17" t="s">
        <v>505</v>
      </c>
      <c r="CL1" s="17" t="s">
        <v>567</v>
      </c>
      <c r="CM1" s="17" t="s">
        <v>506</v>
      </c>
      <c r="CN1" s="17" t="s">
        <v>568</v>
      </c>
      <c r="CO1" s="17" t="s">
        <v>507</v>
      </c>
      <c r="CP1" s="17" t="s">
        <v>569</v>
      </c>
      <c r="CQ1" s="17" t="s">
        <v>508</v>
      </c>
      <c r="CR1" s="17" t="s">
        <v>570</v>
      </c>
      <c r="CS1" s="17" t="s">
        <v>509</v>
      </c>
      <c r="CT1" s="17" t="s">
        <v>571</v>
      </c>
      <c r="CU1" s="17" t="s">
        <v>510</v>
      </c>
      <c r="CV1" s="17" t="s">
        <v>572</v>
      </c>
      <c r="CW1" s="17" t="s">
        <v>511</v>
      </c>
      <c r="CX1" s="17" t="s">
        <v>573</v>
      </c>
      <c r="CY1" s="17" t="s">
        <v>512</v>
      </c>
      <c r="CZ1" s="17" t="s">
        <v>574</v>
      </c>
      <c r="DA1" s="17" t="s">
        <v>513</v>
      </c>
      <c r="DB1" s="17" t="s">
        <v>575</v>
      </c>
      <c r="DC1" s="17" t="s">
        <v>514</v>
      </c>
      <c r="DD1" s="17" t="s">
        <v>576</v>
      </c>
      <c r="DE1" s="17" t="s">
        <v>515</v>
      </c>
      <c r="DF1" s="17" t="s">
        <v>577</v>
      </c>
      <c r="DG1" s="17" t="s">
        <v>516</v>
      </c>
      <c r="DH1" s="17" t="s">
        <v>578</v>
      </c>
      <c r="DI1" s="17" t="s">
        <v>517</v>
      </c>
      <c r="DJ1" s="17" t="s">
        <v>579</v>
      </c>
      <c r="DK1" s="17" t="s">
        <v>518</v>
      </c>
      <c r="DL1" s="17" t="s">
        <v>580</v>
      </c>
      <c r="DM1" s="17" t="s">
        <v>519</v>
      </c>
      <c r="DN1" s="17" t="s">
        <v>581</v>
      </c>
      <c r="DO1" s="17" t="s">
        <v>520</v>
      </c>
      <c r="DP1" s="17" t="s">
        <v>582</v>
      </c>
      <c r="DQ1" s="17" t="s">
        <v>521</v>
      </c>
      <c r="DR1" s="17" t="s">
        <v>583</v>
      </c>
      <c r="DS1" s="17" t="s">
        <v>522</v>
      </c>
      <c r="DT1" s="17" t="s">
        <v>584</v>
      </c>
      <c r="DU1" s="17" t="s">
        <v>523</v>
      </c>
      <c r="DV1" s="17" t="s">
        <v>892</v>
      </c>
      <c r="DW1" s="17" t="s">
        <v>585</v>
      </c>
      <c r="DX1" s="17" t="s">
        <v>893</v>
      </c>
      <c r="DY1" s="17" t="s">
        <v>586</v>
      </c>
      <c r="DZ1" s="17" t="s">
        <v>894</v>
      </c>
      <c r="EA1" s="17" t="s">
        <v>597</v>
      </c>
      <c r="EB1" s="17" t="s">
        <v>1030</v>
      </c>
    </row>
    <row r="2" spans="1:135" x14ac:dyDescent="0.25">
      <c r="A2" s="2" t="s">
        <v>65</v>
      </c>
      <c r="B2" s="2" t="s">
        <v>2130</v>
      </c>
      <c r="C2" s="3">
        <v>2</v>
      </c>
      <c r="D2" s="3" t="s">
        <v>1429</v>
      </c>
      <c r="E2" s="3">
        <v>2</v>
      </c>
      <c r="F2" s="3" t="s">
        <v>1430</v>
      </c>
      <c r="G2" s="3">
        <v>2</v>
      </c>
      <c r="H2" s="3" t="s">
        <v>1431</v>
      </c>
      <c r="M2" s="3">
        <v>2</v>
      </c>
      <c r="N2" s="3" t="s">
        <v>1432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>
        <v>2</v>
      </c>
      <c r="BX2" s="3" t="s">
        <v>1433</v>
      </c>
      <c r="BY2" s="3">
        <v>2</v>
      </c>
      <c r="BZ2" s="3" t="s">
        <v>1433</v>
      </c>
      <c r="CA2" s="3">
        <v>2</v>
      </c>
      <c r="CB2" s="3" t="s">
        <v>1433</v>
      </c>
      <c r="CC2" s="3"/>
      <c r="CD2" s="3"/>
      <c r="CE2" s="3"/>
      <c r="CF2" s="3"/>
      <c r="CG2" s="3">
        <v>2</v>
      </c>
      <c r="CH2" s="3" t="s">
        <v>1434</v>
      </c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</row>
    <row r="3" spans="1:135" x14ac:dyDescent="0.25">
      <c r="A3" s="2" t="s">
        <v>115</v>
      </c>
      <c r="B3" s="2" t="s">
        <v>1435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>
        <v>1</v>
      </c>
      <c r="DV3" s="3">
        <v>1</v>
      </c>
      <c r="DW3" s="3" t="s">
        <v>1065</v>
      </c>
      <c r="DX3" s="3"/>
      <c r="DY3" s="3"/>
      <c r="DZ3" s="3"/>
      <c r="EA3" s="3"/>
    </row>
    <row r="4" spans="1:135" x14ac:dyDescent="0.25">
      <c r="A4" s="2" t="s">
        <v>141</v>
      </c>
      <c r="B4" s="2" t="s">
        <v>1435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 t="s">
        <v>34</v>
      </c>
      <c r="DX4" s="3"/>
      <c r="DY4" s="3"/>
      <c r="DZ4" s="3"/>
      <c r="EA4" s="3"/>
      <c r="EE4" s="33"/>
    </row>
    <row r="5" spans="1:135" x14ac:dyDescent="0.25">
      <c r="A5" s="2" t="s">
        <v>163</v>
      </c>
      <c r="B5" s="2" t="s">
        <v>1641</v>
      </c>
      <c r="C5" s="3">
        <v>100</v>
      </c>
      <c r="D5" s="3" t="s">
        <v>829</v>
      </c>
      <c r="E5" s="3">
        <v>100</v>
      </c>
      <c r="F5" s="3" t="s">
        <v>829</v>
      </c>
      <c r="I5" s="3">
        <v>100</v>
      </c>
      <c r="J5" s="3" t="s">
        <v>829</v>
      </c>
      <c r="K5" s="3">
        <v>100</v>
      </c>
      <c r="L5" s="3" t="s">
        <v>829</v>
      </c>
      <c r="O5" s="3">
        <v>100</v>
      </c>
      <c r="P5" s="3" t="s">
        <v>829</v>
      </c>
      <c r="Q5" s="3">
        <v>100</v>
      </c>
      <c r="R5" s="3" t="s">
        <v>829</v>
      </c>
      <c r="U5" s="3">
        <v>100</v>
      </c>
      <c r="V5" s="3" t="s">
        <v>829</v>
      </c>
      <c r="W5" s="3">
        <v>100</v>
      </c>
      <c r="X5" s="3" t="s">
        <v>829</v>
      </c>
      <c r="AA5" s="3">
        <v>100</v>
      </c>
      <c r="AB5" s="3" t="s">
        <v>829</v>
      </c>
      <c r="AC5" s="3">
        <v>100</v>
      </c>
      <c r="AD5" s="3" t="s">
        <v>829</v>
      </c>
      <c r="AG5" s="3">
        <v>100</v>
      </c>
      <c r="AH5" s="3" t="s">
        <v>829</v>
      </c>
      <c r="AI5" s="3">
        <v>100</v>
      </c>
      <c r="AJ5" s="3" t="s">
        <v>829</v>
      </c>
      <c r="AL5" s="3"/>
      <c r="AM5" s="3">
        <v>100</v>
      </c>
      <c r="AN5" s="3" t="s">
        <v>829</v>
      </c>
      <c r="AO5" s="3">
        <v>100</v>
      </c>
      <c r="AP5" s="3" t="s">
        <v>829</v>
      </c>
      <c r="AQ5" s="3"/>
      <c r="AR5" s="3"/>
      <c r="AS5" s="3">
        <v>100</v>
      </c>
      <c r="AT5" s="3" t="s">
        <v>829</v>
      </c>
      <c r="AU5" s="3">
        <v>100</v>
      </c>
      <c r="AV5" s="3" t="s">
        <v>829</v>
      </c>
      <c r="AW5" s="3"/>
      <c r="AX5" s="3"/>
      <c r="AY5" s="3">
        <v>100</v>
      </c>
      <c r="AZ5" s="3" t="s">
        <v>829</v>
      </c>
      <c r="BA5" s="3">
        <v>100</v>
      </c>
      <c r="BB5" s="3" t="s">
        <v>829</v>
      </c>
      <c r="BC5" s="3"/>
      <c r="BD5" s="3"/>
      <c r="BE5" s="3">
        <v>100</v>
      </c>
      <c r="BF5" s="3" t="s">
        <v>829</v>
      </c>
      <c r="BG5" s="3">
        <v>100</v>
      </c>
      <c r="BH5" s="3" t="s">
        <v>829</v>
      </c>
      <c r="BI5" s="3"/>
      <c r="BJ5" s="3"/>
      <c r="BK5" s="3">
        <v>100</v>
      </c>
      <c r="BL5" s="3" t="s">
        <v>829</v>
      </c>
      <c r="BM5" s="3">
        <v>100</v>
      </c>
      <c r="BN5" s="3" t="s">
        <v>829</v>
      </c>
      <c r="BO5" s="3"/>
      <c r="BP5" s="3"/>
      <c r="BQ5" s="3">
        <v>100</v>
      </c>
      <c r="BR5" s="3" t="s">
        <v>829</v>
      </c>
      <c r="BS5" s="3">
        <v>100</v>
      </c>
      <c r="BT5" s="3" t="s">
        <v>829</v>
      </c>
      <c r="BU5" s="3"/>
      <c r="BV5" s="3"/>
      <c r="BW5" s="3">
        <v>100</v>
      </c>
      <c r="BX5" s="3" t="s">
        <v>829</v>
      </c>
      <c r="BY5" s="3">
        <v>100</v>
      </c>
      <c r="BZ5" s="3" t="s">
        <v>829</v>
      </c>
      <c r="CA5" s="3">
        <v>1</v>
      </c>
      <c r="CB5" s="3" t="s">
        <v>725</v>
      </c>
      <c r="CC5" s="3">
        <v>100</v>
      </c>
      <c r="CD5" s="3" t="s">
        <v>829</v>
      </c>
      <c r="CE5" s="3">
        <v>100</v>
      </c>
      <c r="CF5" s="3" t="s">
        <v>829</v>
      </c>
      <c r="CG5" s="3">
        <v>1</v>
      </c>
      <c r="CH5" s="3" t="s">
        <v>729</v>
      </c>
      <c r="CI5" s="3">
        <v>100</v>
      </c>
      <c r="CJ5" s="3" t="s">
        <v>829</v>
      </c>
      <c r="CK5" s="3">
        <v>100</v>
      </c>
      <c r="CL5" s="3" t="s">
        <v>829</v>
      </c>
      <c r="CM5" s="3"/>
      <c r="CN5" s="3"/>
      <c r="CO5" s="3">
        <v>100</v>
      </c>
      <c r="CP5" s="3" t="s">
        <v>829</v>
      </c>
      <c r="CQ5" s="3">
        <v>100</v>
      </c>
      <c r="CR5" s="3" t="s">
        <v>829</v>
      </c>
      <c r="CS5" s="3"/>
      <c r="CT5" s="3"/>
      <c r="CU5" s="3">
        <v>100</v>
      </c>
      <c r="CV5" s="3" t="s">
        <v>829</v>
      </c>
      <c r="CW5" s="3">
        <v>100</v>
      </c>
      <c r="CX5" s="3" t="s">
        <v>829</v>
      </c>
      <c r="CY5" s="3"/>
      <c r="CZ5" s="3"/>
      <c r="DA5" s="3">
        <v>100</v>
      </c>
      <c r="DB5" s="3" t="s">
        <v>829</v>
      </c>
      <c r="DC5" s="3">
        <v>100</v>
      </c>
      <c r="DD5" s="3" t="s">
        <v>829</v>
      </c>
      <c r="DE5" s="3"/>
      <c r="DF5" s="3"/>
      <c r="DG5" s="3">
        <v>100</v>
      </c>
      <c r="DH5" s="3" t="s">
        <v>829</v>
      </c>
      <c r="DI5" s="3">
        <v>100</v>
      </c>
      <c r="DJ5" s="3" t="s">
        <v>829</v>
      </c>
      <c r="DK5" s="3"/>
      <c r="DL5" s="3"/>
      <c r="DM5" s="3">
        <v>100</v>
      </c>
      <c r="DN5" s="3" t="s">
        <v>829</v>
      </c>
      <c r="DO5" s="3">
        <v>100</v>
      </c>
      <c r="DP5" s="3" t="s">
        <v>829</v>
      </c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E5" s="33"/>
    </row>
    <row r="6" spans="1:135" x14ac:dyDescent="0.25">
      <c r="A6" s="2" t="s">
        <v>171</v>
      </c>
      <c r="B6" s="2" t="s">
        <v>2148</v>
      </c>
      <c r="E6" s="3">
        <v>2</v>
      </c>
      <c r="F6" s="3" t="s">
        <v>1073</v>
      </c>
      <c r="G6" s="3">
        <v>2</v>
      </c>
      <c r="H6" s="3" t="s">
        <v>1074</v>
      </c>
      <c r="M6" s="3">
        <v>2</v>
      </c>
      <c r="N6" s="3" t="s">
        <v>1075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</row>
    <row r="7" spans="1:135" x14ac:dyDescent="0.25">
      <c r="A7" s="2" t="s">
        <v>180</v>
      </c>
      <c r="B7" s="2" t="s">
        <v>1640</v>
      </c>
      <c r="C7" s="3">
        <v>100</v>
      </c>
      <c r="D7" s="3" t="s">
        <v>829</v>
      </c>
      <c r="E7" s="3">
        <v>100</v>
      </c>
      <c r="F7" s="3" t="s">
        <v>829</v>
      </c>
      <c r="G7" s="3">
        <v>100</v>
      </c>
      <c r="H7" s="3" t="s">
        <v>829</v>
      </c>
      <c r="M7" s="3">
        <v>100</v>
      </c>
      <c r="N7" s="3" t="s">
        <v>829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>
        <v>100</v>
      </c>
      <c r="BX7" s="3" t="s">
        <v>829</v>
      </c>
      <c r="BY7" s="3">
        <v>100</v>
      </c>
      <c r="BZ7" s="3" t="s">
        <v>829</v>
      </c>
      <c r="CA7" s="3">
        <v>100</v>
      </c>
      <c r="CB7" s="3" t="s">
        <v>829</v>
      </c>
      <c r="CC7" s="3">
        <v>100</v>
      </c>
      <c r="CD7" s="3" t="s">
        <v>829</v>
      </c>
      <c r="CE7" s="3">
        <v>100</v>
      </c>
      <c r="CF7" s="3" t="s">
        <v>829</v>
      </c>
      <c r="CG7" s="3">
        <v>100</v>
      </c>
      <c r="CH7" s="3" t="s">
        <v>829</v>
      </c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</row>
    <row r="8" spans="1:135" x14ac:dyDescent="0.25">
      <c r="A8" s="2" t="s">
        <v>183</v>
      </c>
      <c r="B8" s="2" t="s">
        <v>2202</v>
      </c>
      <c r="C8" s="3">
        <v>2</v>
      </c>
      <c r="D8" s="3" t="s">
        <v>1021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>
        <v>2</v>
      </c>
      <c r="BX8" s="3" t="s">
        <v>663</v>
      </c>
      <c r="BY8" s="3">
        <v>2</v>
      </c>
      <c r="BZ8" s="3" t="s">
        <v>664</v>
      </c>
      <c r="CA8" s="3">
        <v>2</v>
      </c>
      <c r="CB8" s="3" t="s">
        <v>663</v>
      </c>
      <c r="CC8" s="3">
        <v>2</v>
      </c>
      <c r="CD8" s="3" t="s">
        <v>1022</v>
      </c>
      <c r="CE8" s="3">
        <v>2</v>
      </c>
      <c r="CF8" s="3" t="s">
        <v>1023</v>
      </c>
      <c r="CG8" s="3">
        <v>2</v>
      </c>
      <c r="CH8" s="3" t="s">
        <v>662</v>
      </c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</row>
    <row r="9" spans="1:135" x14ac:dyDescent="0.25">
      <c r="A9" s="2" t="s">
        <v>200</v>
      </c>
      <c r="B9" s="2" t="s">
        <v>2202</v>
      </c>
      <c r="C9" s="3">
        <v>3</v>
      </c>
      <c r="D9" s="3" t="s">
        <v>2201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>
        <v>3</v>
      </c>
      <c r="BX9" s="3" t="s">
        <v>2203</v>
      </c>
      <c r="BY9" s="3">
        <v>3</v>
      </c>
      <c r="BZ9" s="3" t="s">
        <v>2204</v>
      </c>
      <c r="CA9" s="3">
        <v>3</v>
      </c>
      <c r="CB9" s="3" t="s">
        <v>2203</v>
      </c>
      <c r="CC9" s="3">
        <v>3</v>
      </c>
      <c r="CD9" s="3" t="s">
        <v>2205</v>
      </c>
      <c r="CE9" s="3">
        <v>3</v>
      </c>
      <c r="CF9" s="3" t="s">
        <v>2206</v>
      </c>
      <c r="CG9" s="3">
        <v>3</v>
      </c>
      <c r="CH9" s="3" t="s">
        <v>2207</v>
      </c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</row>
    <row r="10" spans="1:135" x14ac:dyDescent="0.25">
      <c r="A10" s="2" t="s">
        <v>1252</v>
      </c>
      <c r="B10" s="2" t="s">
        <v>2130</v>
      </c>
      <c r="C10" s="3">
        <v>3</v>
      </c>
      <c r="D10" s="3" t="s">
        <v>2179</v>
      </c>
      <c r="E10" s="3">
        <v>3</v>
      </c>
      <c r="F10" s="3" t="s">
        <v>2180</v>
      </c>
      <c r="G10" s="3">
        <v>3</v>
      </c>
      <c r="H10" s="3" t="s">
        <v>2181</v>
      </c>
      <c r="M10" s="3">
        <v>3</v>
      </c>
      <c r="N10" s="3" t="s">
        <v>2182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>
        <v>3</v>
      </c>
      <c r="BX10" s="3" t="s">
        <v>2183</v>
      </c>
      <c r="BY10" s="3">
        <v>3</v>
      </c>
      <c r="BZ10" s="3" t="s">
        <v>2184</v>
      </c>
      <c r="CA10" s="3">
        <v>3</v>
      </c>
      <c r="CB10" s="3" t="s">
        <v>2183</v>
      </c>
      <c r="CC10" s="3"/>
      <c r="CD10" s="3"/>
      <c r="CE10" s="3"/>
      <c r="CF10" s="3"/>
      <c r="CG10" s="3">
        <v>3</v>
      </c>
      <c r="CH10" s="3" t="s">
        <v>2185</v>
      </c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</row>
    <row r="11" spans="1:135" x14ac:dyDescent="0.25">
      <c r="A11" s="2" t="s">
        <v>310</v>
      </c>
      <c r="B11" s="2" t="s">
        <v>3862</v>
      </c>
      <c r="C11" s="3">
        <v>2</v>
      </c>
      <c r="D11" s="3" t="s">
        <v>262</v>
      </c>
      <c r="E11" s="3">
        <v>2</v>
      </c>
      <c r="F11" s="3" t="s">
        <v>2208</v>
      </c>
      <c r="G11" s="3">
        <v>2</v>
      </c>
      <c r="H11" s="3" t="s">
        <v>2209</v>
      </c>
      <c r="M11" s="3">
        <v>2</v>
      </c>
      <c r="N11" s="3" t="s">
        <v>2215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>
        <v>2</v>
      </c>
      <c r="BX11" s="3" t="s">
        <v>2210</v>
      </c>
      <c r="BY11" s="3">
        <v>2</v>
      </c>
      <c r="BZ11" s="3" t="s">
        <v>2211</v>
      </c>
      <c r="CA11" s="3">
        <v>2</v>
      </c>
      <c r="CB11" s="3" t="s">
        <v>2210</v>
      </c>
      <c r="CC11" s="3">
        <v>2</v>
      </c>
      <c r="CD11" s="3" t="s">
        <v>2212</v>
      </c>
      <c r="CE11" s="3">
        <v>2</v>
      </c>
      <c r="CF11" s="3" t="s">
        <v>2213</v>
      </c>
      <c r="CG11" s="3">
        <v>2</v>
      </c>
      <c r="CH11" s="3" t="s">
        <v>2214</v>
      </c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</row>
    <row r="12" spans="1:135" x14ac:dyDescent="0.25">
      <c r="A12" s="2" t="s">
        <v>313</v>
      </c>
      <c r="B12" s="32" t="s">
        <v>2485</v>
      </c>
      <c r="C12" s="3">
        <v>3</v>
      </c>
      <c r="D12" s="3" t="s">
        <v>1654</v>
      </c>
      <c r="E12" s="3">
        <v>3</v>
      </c>
      <c r="F12" s="3" t="s">
        <v>1658</v>
      </c>
      <c r="G12" s="3">
        <v>3</v>
      </c>
      <c r="H12" s="3" t="s">
        <v>1659</v>
      </c>
      <c r="M12" s="3">
        <v>3</v>
      </c>
      <c r="N12" s="3" t="s">
        <v>1660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>
        <v>3</v>
      </c>
      <c r="BX12" s="3" t="s">
        <v>1656</v>
      </c>
      <c r="BY12" s="3">
        <v>3</v>
      </c>
      <c r="BZ12" s="3" t="s">
        <v>1655</v>
      </c>
      <c r="CA12" s="3">
        <v>3</v>
      </c>
      <c r="CB12" s="3" t="s">
        <v>1656</v>
      </c>
      <c r="CC12" s="3"/>
      <c r="CD12" s="3"/>
      <c r="CE12" s="3"/>
      <c r="CF12" s="3"/>
      <c r="CG12" s="3">
        <v>3</v>
      </c>
      <c r="CH12" s="3" t="s">
        <v>1657</v>
      </c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</row>
    <row r="13" spans="1:135" x14ac:dyDescent="0.25">
      <c r="A13" s="2" t="s">
        <v>2178</v>
      </c>
      <c r="B13" s="2" t="s">
        <v>2177</v>
      </c>
      <c r="C13" s="3">
        <v>2</v>
      </c>
      <c r="D13" s="3" t="s">
        <v>2487</v>
      </c>
      <c r="E13" s="3">
        <v>2</v>
      </c>
      <c r="F13" s="3" t="s">
        <v>2186</v>
      </c>
      <c r="G13" s="3">
        <v>2</v>
      </c>
      <c r="H13" s="3" t="s">
        <v>2187</v>
      </c>
      <c r="M13" s="3">
        <v>2</v>
      </c>
      <c r="N13" s="3" t="s">
        <v>2188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>
        <v>2</v>
      </c>
      <c r="BX13" s="3" t="s">
        <v>2189</v>
      </c>
      <c r="BY13" s="3">
        <v>2</v>
      </c>
      <c r="BZ13" s="3" t="s">
        <v>2191</v>
      </c>
      <c r="CA13" s="3">
        <v>2</v>
      </c>
      <c r="CB13" s="3" t="s">
        <v>2189</v>
      </c>
      <c r="CC13" s="3"/>
      <c r="CD13" s="3"/>
      <c r="CE13" s="3"/>
      <c r="CF13" s="3"/>
      <c r="CG13" s="3">
        <v>2</v>
      </c>
      <c r="CH13" s="3" t="s">
        <v>2192</v>
      </c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</row>
    <row r="14" spans="1:135" x14ac:dyDescent="0.25">
      <c r="A14" s="2" t="s">
        <v>319</v>
      </c>
      <c r="B14" s="2" t="s">
        <v>2177</v>
      </c>
      <c r="C14" s="3">
        <v>2</v>
      </c>
      <c r="D14" s="3" t="s">
        <v>1024</v>
      </c>
      <c r="E14" s="3">
        <v>2</v>
      </c>
      <c r="F14" s="3" t="s">
        <v>1025</v>
      </c>
      <c r="G14" s="3">
        <v>2</v>
      </c>
      <c r="H14" s="3" t="s">
        <v>1026</v>
      </c>
      <c r="M14" s="3">
        <v>2</v>
      </c>
      <c r="N14" s="3" t="s">
        <v>1027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>
        <v>2</v>
      </c>
      <c r="BX14" s="3" t="s">
        <v>1028</v>
      </c>
      <c r="BY14" s="3">
        <v>2</v>
      </c>
      <c r="BZ14" s="3" t="s">
        <v>2190</v>
      </c>
      <c r="CA14" s="3">
        <v>2</v>
      </c>
      <c r="CB14" s="3" t="s">
        <v>1028</v>
      </c>
      <c r="CC14" s="3"/>
      <c r="CD14" s="3"/>
      <c r="CE14" s="3"/>
      <c r="CF14" s="3"/>
      <c r="CG14" s="3">
        <v>2</v>
      </c>
      <c r="CH14" s="3" t="s">
        <v>1029</v>
      </c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</row>
    <row r="15" spans="1:135" x14ac:dyDescent="0.25">
      <c r="A15" s="2" t="s">
        <v>367</v>
      </c>
      <c r="B15" s="2" t="s">
        <v>1642</v>
      </c>
      <c r="C15" s="3">
        <v>100</v>
      </c>
      <c r="D15" s="3" t="s">
        <v>829</v>
      </c>
      <c r="E15" s="3">
        <v>100</v>
      </c>
      <c r="F15" s="3" t="s">
        <v>829</v>
      </c>
      <c r="I15" s="3">
        <v>100</v>
      </c>
      <c r="J15" s="3" t="s">
        <v>829</v>
      </c>
      <c r="K15" s="3">
        <v>100</v>
      </c>
      <c r="L15" s="3" t="s">
        <v>829</v>
      </c>
      <c r="M15" s="3">
        <v>100</v>
      </c>
      <c r="N15" s="3" t="s">
        <v>829</v>
      </c>
      <c r="O15" s="3">
        <v>100</v>
      </c>
      <c r="P15" s="3" t="s">
        <v>829</v>
      </c>
      <c r="Q15" s="3">
        <v>100</v>
      </c>
      <c r="R15" s="3" t="s">
        <v>829</v>
      </c>
      <c r="U15" s="3">
        <v>100</v>
      </c>
      <c r="V15" s="3" t="s">
        <v>829</v>
      </c>
      <c r="W15" s="3">
        <v>100</v>
      </c>
      <c r="X15" s="3" t="s">
        <v>829</v>
      </c>
      <c r="Y15" s="3">
        <v>100</v>
      </c>
      <c r="Z15" s="3" t="s">
        <v>829</v>
      </c>
      <c r="AA15" s="3">
        <v>100</v>
      </c>
      <c r="AB15" s="3" t="s">
        <v>829</v>
      </c>
      <c r="AC15" s="3">
        <v>100</v>
      </c>
      <c r="AD15" s="3" t="s">
        <v>829</v>
      </c>
      <c r="AG15" s="3">
        <v>100</v>
      </c>
      <c r="AH15" s="3" t="s">
        <v>829</v>
      </c>
      <c r="AI15" s="3">
        <v>100</v>
      </c>
      <c r="AJ15" s="3" t="s">
        <v>829</v>
      </c>
      <c r="AK15" s="3">
        <v>100</v>
      </c>
      <c r="AL15" s="3" t="s">
        <v>829</v>
      </c>
      <c r="AM15" s="3">
        <v>100</v>
      </c>
      <c r="AN15" s="3" t="s">
        <v>829</v>
      </c>
      <c r="AO15" s="3">
        <v>100</v>
      </c>
      <c r="AP15" s="3" t="s">
        <v>829</v>
      </c>
      <c r="AQ15" s="3"/>
      <c r="AR15" s="3"/>
      <c r="AS15" s="3">
        <v>100</v>
      </c>
      <c r="AT15" s="3" t="s">
        <v>829</v>
      </c>
      <c r="AU15" s="3">
        <v>100</v>
      </c>
      <c r="AV15" s="3" t="s">
        <v>829</v>
      </c>
      <c r="AW15" s="3">
        <v>100</v>
      </c>
      <c r="AX15" s="3" t="s">
        <v>829</v>
      </c>
      <c r="AY15" s="3">
        <v>100</v>
      </c>
      <c r="AZ15" s="3" t="s">
        <v>829</v>
      </c>
      <c r="BA15" s="3">
        <v>100</v>
      </c>
      <c r="BB15" s="3" t="s">
        <v>829</v>
      </c>
      <c r="BC15" s="3"/>
      <c r="BD15" s="3"/>
      <c r="BE15" s="3">
        <v>100</v>
      </c>
      <c r="BF15" s="3" t="s">
        <v>829</v>
      </c>
      <c r="BG15" s="3">
        <v>100</v>
      </c>
      <c r="BH15" s="3" t="s">
        <v>829</v>
      </c>
      <c r="BI15" s="3">
        <v>100</v>
      </c>
      <c r="BJ15" s="3" t="s">
        <v>829</v>
      </c>
      <c r="BK15" s="3">
        <v>100</v>
      </c>
      <c r="BL15" s="3" t="s">
        <v>829</v>
      </c>
      <c r="BM15" s="3">
        <v>100</v>
      </c>
      <c r="BN15" s="3" t="s">
        <v>829</v>
      </c>
      <c r="BO15" s="3"/>
      <c r="BP15" s="3"/>
      <c r="BQ15" s="3">
        <v>100</v>
      </c>
      <c r="BR15" s="3" t="s">
        <v>829</v>
      </c>
      <c r="BS15" s="3">
        <v>100</v>
      </c>
      <c r="BT15" s="3" t="s">
        <v>829</v>
      </c>
      <c r="BU15" s="3">
        <v>100</v>
      </c>
      <c r="BV15" s="3" t="s">
        <v>829</v>
      </c>
      <c r="BW15" s="3">
        <v>100</v>
      </c>
      <c r="BX15" s="3" t="s">
        <v>829</v>
      </c>
      <c r="BY15" s="3">
        <v>100</v>
      </c>
      <c r="BZ15" s="3" t="s">
        <v>829</v>
      </c>
      <c r="CA15" s="3">
        <v>1</v>
      </c>
      <c r="CB15" s="3" t="s">
        <v>725</v>
      </c>
      <c r="CC15" s="3">
        <v>100</v>
      </c>
      <c r="CD15" s="3" t="s">
        <v>829</v>
      </c>
      <c r="CE15" s="3">
        <v>100</v>
      </c>
      <c r="CF15" s="3" t="s">
        <v>829</v>
      </c>
      <c r="CG15" s="3">
        <v>100</v>
      </c>
      <c r="CH15" s="3" t="s">
        <v>829</v>
      </c>
      <c r="CI15" s="3">
        <v>100</v>
      </c>
      <c r="CJ15" s="3" t="s">
        <v>829</v>
      </c>
      <c r="CK15" s="3">
        <v>100</v>
      </c>
      <c r="CL15" s="3" t="s">
        <v>829</v>
      </c>
      <c r="CM15" s="3"/>
      <c r="CN15" s="3"/>
      <c r="CO15" s="3">
        <v>100</v>
      </c>
      <c r="CP15" s="3" t="s">
        <v>829</v>
      </c>
      <c r="CQ15" s="3">
        <v>100</v>
      </c>
      <c r="CR15" s="3" t="s">
        <v>829</v>
      </c>
      <c r="CS15" s="3">
        <v>100</v>
      </c>
      <c r="CT15" s="3" t="s">
        <v>829</v>
      </c>
      <c r="CU15" s="3">
        <v>100</v>
      </c>
      <c r="CV15" s="3" t="s">
        <v>829</v>
      </c>
      <c r="CW15" s="3">
        <v>100</v>
      </c>
      <c r="CX15" s="3" t="s">
        <v>829</v>
      </c>
      <c r="CY15" s="3"/>
      <c r="CZ15" s="3"/>
      <c r="DA15" s="3">
        <v>100</v>
      </c>
      <c r="DB15" s="3" t="s">
        <v>829</v>
      </c>
      <c r="DC15" s="3">
        <v>100</v>
      </c>
      <c r="DD15" s="3" t="s">
        <v>829</v>
      </c>
      <c r="DE15" s="3">
        <v>100</v>
      </c>
      <c r="DF15" s="3" t="s">
        <v>829</v>
      </c>
      <c r="DG15" s="3">
        <v>100</v>
      </c>
      <c r="DH15" s="3" t="s">
        <v>829</v>
      </c>
      <c r="DI15" s="3">
        <v>100</v>
      </c>
      <c r="DJ15" s="3" t="s">
        <v>829</v>
      </c>
      <c r="DK15" s="3"/>
      <c r="DL15" s="3"/>
      <c r="DM15" s="3">
        <v>100</v>
      </c>
      <c r="DN15" s="3" t="s">
        <v>829</v>
      </c>
      <c r="DO15" s="3">
        <v>100</v>
      </c>
      <c r="DP15" s="3" t="s">
        <v>829</v>
      </c>
      <c r="DQ15" s="3">
        <v>100</v>
      </c>
      <c r="DR15" s="3" t="s">
        <v>829</v>
      </c>
      <c r="DS15" s="3"/>
      <c r="DT15" s="3"/>
      <c r="DU15" s="3"/>
      <c r="DV15" s="3"/>
      <c r="DW15" s="3"/>
      <c r="DX15" s="3"/>
      <c r="DY15" s="3"/>
      <c r="DZ15" s="3"/>
      <c r="EA15" s="3"/>
    </row>
    <row r="16" spans="1:135" x14ac:dyDescent="0.25">
      <c r="A16" s="2" t="s">
        <v>392</v>
      </c>
      <c r="B16" s="32" t="s">
        <v>2485</v>
      </c>
      <c r="C16" s="3">
        <v>4</v>
      </c>
      <c r="D16" s="3" t="s">
        <v>2479</v>
      </c>
      <c r="E16" s="3">
        <v>4</v>
      </c>
      <c r="F16" s="3" t="s">
        <v>2480</v>
      </c>
      <c r="G16" s="3">
        <v>4</v>
      </c>
      <c r="H16" s="3" t="s">
        <v>2481</v>
      </c>
      <c r="M16" s="3">
        <v>4</v>
      </c>
      <c r="N16" s="3" t="s">
        <v>2482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>
        <v>4</v>
      </c>
      <c r="BX16" s="3" t="s">
        <v>2483</v>
      </c>
      <c r="BY16" s="3">
        <v>4</v>
      </c>
      <c r="BZ16" s="3" t="s">
        <v>2484</v>
      </c>
      <c r="CA16" s="3">
        <v>4</v>
      </c>
      <c r="CB16" s="3" t="s">
        <v>2483</v>
      </c>
      <c r="CC16" s="3"/>
      <c r="CD16" s="3"/>
      <c r="CE16" s="3"/>
      <c r="CF16" s="3"/>
      <c r="CG16" s="3">
        <v>3</v>
      </c>
      <c r="CH16" s="3" t="s">
        <v>2482</v>
      </c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</row>
    <row r="17" spans="1:132" x14ac:dyDescent="0.25">
      <c r="A17" s="2" t="s">
        <v>157</v>
      </c>
      <c r="B17" s="2" t="s">
        <v>1340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2" t="s">
        <v>1031</v>
      </c>
    </row>
    <row r="18" spans="1:132" x14ac:dyDescent="0.25">
      <c r="A18" s="2" t="s">
        <v>458</v>
      </c>
      <c r="B18" s="2" t="s">
        <v>1646</v>
      </c>
      <c r="C18" s="3">
        <v>2</v>
      </c>
      <c r="D18" s="3" t="s">
        <v>1647</v>
      </c>
      <c r="E18" s="3">
        <v>2</v>
      </c>
      <c r="F18" s="3" t="s">
        <v>1648</v>
      </c>
      <c r="G18" s="3">
        <v>2</v>
      </c>
      <c r="H18" s="3" t="s">
        <v>1649</v>
      </c>
      <c r="M18" s="3">
        <v>2</v>
      </c>
      <c r="N18" s="3" t="s">
        <v>1653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>
        <v>2</v>
      </c>
      <c r="BX18" s="3" t="s">
        <v>1650</v>
      </c>
      <c r="BY18" s="3">
        <v>2</v>
      </c>
      <c r="BZ18" s="3" t="s">
        <v>1651</v>
      </c>
      <c r="CA18" s="3">
        <v>2</v>
      </c>
      <c r="CB18" s="3" t="s">
        <v>1650</v>
      </c>
      <c r="CC18" s="3"/>
      <c r="CD18" s="3"/>
      <c r="CE18" s="3"/>
      <c r="CF18" s="3"/>
      <c r="CG18" s="3">
        <v>2</v>
      </c>
      <c r="CH18" s="3" t="s">
        <v>1652</v>
      </c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</row>
    <row r="19" spans="1:132" x14ac:dyDescent="0.25">
      <c r="A19" s="2" t="s">
        <v>187</v>
      </c>
      <c r="B19" s="2" t="s">
        <v>3863</v>
      </c>
      <c r="G19" s="3">
        <v>1</v>
      </c>
      <c r="H19" s="3" t="s">
        <v>865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</row>
    <row r="20" spans="1:132" x14ac:dyDescent="0.25">
      <c r="A20" s="2" t="s">
        <v>358</v>
      </c>
      <c r="B20" s="2" t="s">
        <v>2177</v>
      </c>
      <c r="C20" s="3">
        <v>4</v>
      </c>
      <c r="D20" s="3" t="s">
        <v>2600</v>
      </c>
      <c r="E20" s="3">
        <v>4</v>
      </c>
      <c r="F20" s="3" t="s">
        <v>2601</v>
      </c>
      <c r="G20" s="3">
        <v>4</v>
      </c>
      <c r="H20" s="3" t="s">
        <v>2602</v>
      </c>
      <c r="M20" s="3">
        <v>2</v>
      </c>
      <c r="N20" s="3" t="s">
        <v>2603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>
        <v>4</v>
      </c>
      <c r="BX20" s="3" t="s">
        <v>2604</v>
      </c>
      <c r="BY20" s="3">
        <v>4</v>
      </c>
      <c r="BZ20" s="3" t="s">
        <v>2605</v>
      </c>
      <c r="CA20" s="3">
        <v>4</v>
      </c>
      <c r="CB20" s="3" t="s">
        <v>2604</v>
      </c>
      <c r="CC20" s="3"/>
      <c r="CD20" s="3"/>
      <c r="CE20" s="3"/>
      <c r="CF20" s="3"/>
      <c r="CG20" s="3">
        <v>4</v>
      </c>
      <c r="CH20" s="3" t="s">
        <v>2606</v>
      </c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</row>
    <row r="21" spans="1:132" x14ac:dyDescent="0.25">
      <c r="A21" s="2" t="s">
        <v>63</v>
      </c>
      <c r="B21" s="2" t="s">
        <v>595</v>
      </c>
      <c r="C21" s="3">
        <v>1</v>
      </c>
      <c r="D21" s="3" t="s">
        <v>596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>
        <v>1</v>
      </c>
      <c r="BX21" s="3" t="s">
        <v>725</v>
      </c>
      <c r="BY21" s="3">
        <v>1</v>
      </c>
      <c r="BZ21" s="3" t="s">
        <v>726</v>
      </c>
      <c r="CA21" s="3">
        <v>1</v>
      </c>
      <c r="CB21" s="3" t="s">
        <v>725</v>
      </c>
      <c r="CC21" s="3">
        <v>1</v>
      </c>
      <c r="CD21" s="3" t="s">
        <v>727</v>
      </c>
      <c r="CE21" s="3">
        <v>1</v>
      </c>
      <c r="CF21" s="3" t="s">
        <v>728</v>
      </c>
      <c r="CG21" s="3">
        <v>1</v>
      </c>
      <c r="CH21" s="3" t="s">
        <v>729</v>
      </c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</row>
    <row r="22" spans="1:132" x14ac:dyDescent="0.25">
      <c r="A22" s="2" t="s">
        <v>913</v>
      </c>
      <c r="B22" s="2" t="s">
        <v>2597</v>
      </c>
      <c r="E22" s="3">
        <v>1</v>
      </c>
      <c r="F22" s="3" t="s">
        <v>2598</v>
      </c>
      <c r="G22" s="3">
        <v>1</v>
      </c>
      <c r="H22" s="3" t="s">
        <v>2599</v>
      </c>
      <c r="M22" s="3">
        <v>1</v>
      </c>
      <c r="N22" s="3" t="s">
        <v>1049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</row>
    <row r="23" spans="1:132" x14ac:dyDescent="0.25">
      <c r="A23" s="2" t="s">
        <v>943</v>
      </c>
      <c r="B23" s="2" t="s">
        <v>2177</v>
      </c>
      <c r="C23" s="3">
        <v>2</v>
      </c>
      <c r="D23" s="3" t="s">
        <v>2486</v>
      </c>
      <c r="E23" s="3">
        <v>2</v>
      </c>
      <c r="F23" s="3" t="s">
        <v>2488</v>
      </c>
      <c r="G23" s="3">
        <v>2</v>
      </c>
      <c r="H23" s="3" t="s">
        <v>2489</v>
      </c>
      <c r="M23" s="3">
        <v>2</v>
      </c>
      <c r="N23" s="3" t="s">
        <v>2490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>
        <v>2</v>
      </c>
      <c r="BX23" s="3" t="s">
        <v>2491</v>
      </c>
      <c r="BY23" s="3">
        <v>2</v>
      </c>
      <c r="BZ23" s="3" t="s">
        <v>2492</v>
      </c>
      <c r="CA23" s="3">
        <v>2</v>
      </c>
      <c r="CB23" s="3" t="s">
        <v>2491</v>
      </c>
      <c r="CC23" s="3"/>
      <c r="CD23" s="3"/>
      <c r="CE23" s="3"/>
      <c r="CF23" s="3"/>
      <c r="CG23" s="3">
        <v>2</v>
      </c>
      <c r="CH23" s="3" t="s">
        <v>2493</v>
      </c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</row>
    <row r="24" spans="1:132" x14ac:dyDescent="0.25">
      <c r="A24" s="2" t="s">
        <v>950</v>
      </c>
      <c r="B24" s="2" t="s">
        <v>2202</v>
      </c>
      <c r="C24" s="3">
        <v>3</v>
      </c>
      <c r="D24" s="3" t="s">
        <v>2216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>
        <v>3</v>
      </c>
      <c r="BX24" s="3" t="s">
        <v>2217</v>
      </c>
      <c r="BY24" s="3">
        <v>3</v>
      </c>
      <c r="BZ24" s="3" t="s">
        <v>2218</v>
      </c>
      <c r="CA24" s="3">
        <v>3</v>
      </c>
      <c r="CB24" s="3" t="s">
        <v>2217</v>
      </c>
      <c r="CC24" s="3">
        <v>3</v>
      </c>
      <c r="CD24" s="3" t="s">
        <v>2219</v>
      </c>
      <c r="CE24" s="3">
        <v>3</v>
      </c>
      <c r="CF24" s="3" t="s">
        <v>2220</v>
      </c>
      <c r="CG24" s="3">
        <v>3</v>
      </c>
      <c r="CH24" s="3" t="s">
        <v>2221</v>
      </c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2" t="s">
        <v>2222</v>
      </c>
    </row>
    <row r="25" spans="1:132" x14ac:dyDescent="0.25">
      <c r="A25" s="2" t="s">
        <v>4917</v>
      </c>
      <c r="B25" s="2" t="s">
        <v>1435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 t="s">
        <v>38</v>
      </c>
      <c r="DX25" s="3"/>
      <c r="DY25" s="3"/>
      <c r="DZ25" s="3"/>
      <c r="EA25" s="3"/>
    </row>
    <row r="26" spans="1:132" x14ac:dyDescent="0.25">
      <c r="A26" s="2" t="s">
        <v>82</v>
      </c>
      <c r="B26" s="2" t="s">
        <v>1050</v>
      </c>
      <c r="F26" s="3" t="s">
        <v>40</v>
      </c>
      <c r="H26" s="3" t="s">
        <v>636</v>
      </c>
      <c r="J26" s="3" t="s">
        <v>1032</v>
      </c>
      <c r="L26" s="3" t="s">
        <v>1033</v>
      </c>
      <c r="P26" s="3" t="s">
        <v>1034</v>
      </c>
      <c r="R26" s="3" t="s">
        <v>1035</v>
      </c>
      <c r="V26" s="3" t="s">
        <v>1032</v>
      </c>
      <c r="X26" s="3" t="s">
        <v>1036</v>
      </c>
      <c r="Z26" s="3" t="s">
        <v>1042</v>
      </c>
      <c r="AB26" s="3" t="s">
        <v>1037</v>
      </c>
      <c r="AD26" s="3" t="s">
        <v>1038</v>
      </c>
      <c r="AF26" s="3" t="s">
        <v>1037</v>
      </c>
      <c r="AL26" s="3" t="s">
        <v>1039</v>
      </c>
      <c r="AM26" s="3"/>
      <c r="AN26" s="3" t="s">
        <v>1040</v>
      </c>
      <c r="AO26" s="3"/>
      <c r="AP26" s="3" t="s">
        <v>1041</v>
      </c>
      <c r="AQ26" s="3"/>
      <c r="AR26" s="3" t="s">
        <v>1040</v>
      </c>
      <c r="AS26" s="3"/>
      <c r="AT26" s="3"/>
      <c r="AU26" s="3"/>
      <c r="AV26" s="3"/>
      <c r="AW26" s="3"/>
      <c r="AX26" s="3" t="s">
        <v>1042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 t="s">
        <v>1043</v>
      </c>
      <c r="CK26" s="3"/>
      <c r="CL26" s="3" t="s">
        <v>1044</v>
      </c>
      <c r="CM26" s="3"/>
      <c r="CN26" s="3" t="s">
        <v>1043</v>
      </c>
      <c r="CO26" s="3"/>
      <c r="CP26" s="3"/>
      <c r="CQ26" s="3"/>
      <c r="CR26" s="3"/>
      <c r="CS26" s="3"/>
      <c r="CT26" s="3" t="s">
        <v>1045</v>
      </c>
      <c r="CU26" s="3"/>
      <c r="CV26" s="3"/>
      <c r="CW26" s="3"/>
      <c r="CX26" s="3" t="s">
        <v>2118</v>
      </c>
      <c r="CY26" s="3"/>
      <c r="CZ26" s="3"/>
      <c r="DA26" s="3"/>
      <c r="DB26" s="3"/>
      <c r="DC26" s="3"/>
      <c r="DD26" s="3"/>
      <c r="DE26" s="3"/>
      <c r="DF26" s="3" t="s">
        <v>2119</v>
      </c>
      <c r="DG26" s="3"/>
      <c r="DH26" s="3"/>
      <c r="DI26" s="3"/>
      <c r="DJ26" s="3" t="s">
        <v>2118</v>
      </c>
      <c r="DK26" s="3"/>
      <c r="DL26" s="3"/>
      <c r="DM26" s="3"/>
      <c r="DN26" s="3"/>
      <c r="DO26" s="3"/>
      <c r="DP26" s="3"/>
      <c r="DQ26" s="3"/>
      <c r="DR26" s="3" t="s">
        <v>2119</v>
      </c>
      <c r="DS26" s="3"/>
      <c r="DT26" s="3"/>
      <c r="DU26" s="3">
        <v>1</v>
      </c>
      <c r="DV26" s="3"/>
      <c r="DW26" s="3" t="s">
        <v>1046</v>
      </c>
      <c r="DX26" s="3"/>
      <c r="DY26" s="3"/>
      <c r="DZ26" s="3"/>
      <c r="EA26" s="3"/>
    </row>
    <row r="27" spans="1:132" x14ac:dyDescent="0.25">
      <c r="A27" s="2" t="s">
        <v>995</v>
      </c>
      <c r="B27" s="2" t="s">
        <v>2130</v>
      </c>
      <c r="C27" s="3">
        <v>2</v>
      </c>
      <c r="D27" s="3" t="s">
        <v>2494</v>
      </c>
      <c r="E27" s="3">
        <v>2</v>
      </c>
      <c r="F27" s="3" t="s">
        <v>2495</v>
      </c>
      <c r="G27" s="3">
        <v>2</v>
      </c>
      <c r="H27" s="3" t="s">
        <v>2496</v>
      </c>
      <c r="M27" s="3">
        <v>2</v>
      </c>
      <c r="N27" s="3" t="s">
        <v>2497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>
        <v>2</v>
      </c>
      <c r="BX27" s="3" t="s">
        <v>2498</v>
      </c>
      <c r="BY27" s="3">
        <v>2</v>
      </c>
      <c r="BZ27" s="3" t="s">
        <v>2499</v>
      </c>
      <c r="CA27" s="3">
        <v>2</v>
      </c>
      <c r="CB27" s="3" t="s">
        <v>2498</v>
      </c>
      <c r="CC27" s="3"/>
      <c r="CD27" s="3"/>
      <c r="CE27" s="3"/>
      <c r="CF27" s="3"/>
      <c r="CG27" s="3">
        <v>2</v>
      </c>
      <c r="CH27" s="3" t="s">
        <v>2500</v>
      </c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</row>
    <row r="28" spans="1:132" x14ac:dyDescent="0.25">
      <c r="A28" s="2" t="s">
        <v>434</v>
      </c>
      <c r="B28" s="2" t="s">
        <v>1245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>
        <v>1</v>
      </c>
      <c r="BX28" s="3" t="s">
        <v>1047</v>
      </c>
      <c r="BY28" s="3">
        <v>1</v>
      </c>
      <c r="BZ28" s="3" t="s">
        <v>1048</v>
      </c>
      <c r="CA28" s="3">
        <v>1</v>
      </c>
      <c r="CB28" s="3" t="s">
        <v>1047</v>
      </c>
      <c r="CC28" s="3"/>
      <c r="CD28" s="3"/>
      <c r="CE28" s="3"/>
      <c r="CF28" s="3"/>
      <c r="CG28" s="3">
        <v>1</v>
      </c>
      <c r="CH28" s="3" t="s">
        <v>1049</v>
      </c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2" t="s">
        <v>2122</v>
      </c>
    </row>
    <row r="29" spans="1:132" x14ac:dyDescent="0.25">
      <c r="A29" s="2" t="s">
        <v>1014</v>
      </c>
      <c r="B29" s="2" t="s">
        <v>2130</v>
      </c>
      <c r="C29" s="3">
        <v>2</v>
      </c>
      <c r="D29" s="3" t="s">
        <v>2131</v>
      </c>
      <c r="E29" s="3">
        <v>2</v>
      </c>
      <c r="F29" s="3" t="s">
        <v>2132</v>
      </c>
      <c r="G29" s="3">
        <v>2</v>
      </c>
      <c r="H29" s="3" t="s">
        <v>2133</v>
      </c>
      <c r="M29" s="3">
        <v>2</v>
      </c>
      <c r="N29" s="3" t="s">
        <v>2134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>
        <v>2</v>
      </c>
      <c r="BX29" s="3" t="s">
        <v>2135</v>
      </c>
      <c r="BY29" s="3">
        <v>2</v>
      </c>
      <c r="BZ29" s="3" t="s">
        <v>2136</v>
      </c>
      <c r="CA29" s="3">
        <v>2</v>
      </c>
      <c r="CB29" s="3" t="s">
        <v>2135</v>
      </c>
      <c r="CC29" s="3"/>
      <c r="CD29" s="3"/>
      <c r="CE29" s="3"/>
      <c r="CF29" s="3"/>
      <c r="CG29" s="3">
        <v>2</v>
      </c>
      <c r="CH29" s="3" t="s">
        <v>2137</v>
      </c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</row>
    <row r="30" spans="1:132" x14ac:dyDescent="0.25">
      <c r="A30" s="2" t="s">
        <v>1095</v>
      </c>
      <c r="B30" s="2" t="s">
        <v>2130</v>
      </c>
      <c r="C30" s="3">
        <v>4</v>
      </c>
      <c r="D30" s="3" t="s">
        <v>2193</v>
      </c>
      <c r="E30" s="3">
        <v>4</v>
      </c>
      <c r="F30" s="3" t="s">
        <v>2194</v>
      </c>
      <c r="G30" s="3">
        <v>4</v>
      </c>
      <c r="H30" s="3" t="s">
        <v>2195</v>
      </c>
      <c r="M30" s="3">
        <v>4</v>
      </c>
      <c r="N30" s="3" t="s">
        <v>2196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>
        <v>4</v>
      </c>
      <c r="BX30" s="3" t="s">
        <v>2197</v>
      </c>
      <c r="BY30" s="3">
        <v>4</v>
      </c>
      <c r="BZ30" s="3" t="s">
        <v>2198</v>
      </c>
      <c r="CA30" s="3">
        <v>4</v>
      </c>
      <c r="CB30" s="3" t="s">
        <v>2197</v>
      </c>
      <c r="CC30" s="3"/>
      <c r="CD30" s="3"/>
      <c r="CE30" s="3"/>
      <c r="CF30" s="3"/>
      <c r="CG30" s="3">
        <v>4</v>
      </c>
      <c r="CH30" s="3" t="s">
        <v>2199</v>
      </c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</row>
    <row r="31" spans="1:132" x14ac:dyDescent="0.25">
      <c r="A31" s="2" t="s">
        <v>4927</v>
      </c>
      <c r="B31" s="2" t="s">
        <v>2149</v>
      </c>
      <c r="G31" s="3">
        <v>1</v>
      </c>
      <c r="H31" s="3" t="s">
        <v>2150</v>
      </c>
      <c r="O31" s="3">
        <v>2</v>
      </c>
      <c r="P31" s="3" t="s">
        <v>40</v>
      </c>
      <c r="Q31" s="3">
        <v>2</v>
      </c>
      <c r="R31" s="3" t="s">
        <v>2151</v>
      </c>
      <c r="S31" s="3">
        <v>2</v>
      </c>
      <c r="T31" s="3" t="s">
        <v>40</v>
      </c>
      <c r="U31" s="3">
        <v>2</v>
      </c>
      <c r="V31" s="3" t="s">
        <v>2152</v>
      </c>
      <c r="W31" s="3">
        <v>2</v>
      </c>
      <c r="X31" s="3" t="s">
        <v>2153</v>
      </c>
      <c r="Y31" s="3">
        <v>2</v>
      </c>
      <c r="Z31" s="3" t="s">
        <v>2154</v>
      </c>
      <c r="AL31" s="3"/>
      <c r="AM31" s="3">
        <v>2</v>
      </c>
      <c r="AN31" s="3" t="s">
        <v>2155</v>
      </c>
      <c r="AO31" s="3">
        <v>2</v>
      </c>
      <c r="AP31" s="3" t="s">
        <v>2156</v>
      </c>
      <c r="AQ31" s="3">
        <v>2</v>
      </c>
      <c r="AR31" s="3" t="s">
        <v>2155</v>
      </c>
      <c r="AS31" s="3">
        <v>2</v>
      </c>
      <c r="AT31" s="3" t="s">
        <v>2157</v>
      </c>
      <c r="AU31" s="3">
        <v>2</v>
      </c>
      <c r="AV31" s="3" t="s">
        <v>2158</v>
      </c>
      <c r="AW31" s="3">
        <v>2</v>
      </c>
      <c r="AX31" s="3" t="s">
        <v>2154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>
        <v>1</v>
      </c>
      <c r="BX31" s="3" t="s">
        <v>663</v>
      </c>
      <c r="BY31" s="3">
        <v>2</v>
      </c>
      <c r="BZ31" s="3" t="s">
        <v>2172</v>
      </c>
      <c r="CA31" s="3">
        <v>2</v>
      </c>
      <c r="CB31" s="3" t="s">
        <v>2173</v>
      </c>
      <c r="CC31" s="3">
        <v>2</v>
      </c>
      <c r="CD31" s="3" t="s">
        <v>2159</v>
      </c>
      <c r="CE31" s="3">
        <v>2</v>
      </c>
      <c r="CF31" s="3" t="s">
        <v>2160</v>
      </c>
      <c r="CG31" s="3">
        <v>2</v>
      </c>
      <c r="CH31" s="3" t="s">
        <v>2161</v>
      </c>
      <c r="CI31" s="3">
        <v>2</v>
      </c>
      <c r="CJ31" s="3" t="s">
        <v>2162</v>
      </c>
      <c r="CK31" s="3">
        <v>2</v>
      </c>
      <c r="CL31" s="3" t="s">
        <v>2163</v>
      </c>
      <c r="CM31" s="3">
        <v>2</v>
      </c>
      <c r="CN31" s="3" t="s">
        <v>2162</v>
      </c>
      <c r="CO31" s="3">
        <v>2</v>
      </c>
      <c r="CP31" s="3" t="s">
        <v>2164</v>
      </c>
      <c r="CQ31" s="3">
        <v>2</v>
      </c>
      <c r="CR31" s="3" t="s">
        <v>2165</v>
      </c>
      <c r="CS31" s="3">
        <v>2</v>
      </c>
      <c r="CT31" s="3" t="s">
        <v>2166</v>
      </c>
      <c r="CU31" s="3">
        <v>2</v>
      </c>
      <c r="CV31" s="3" t="s">
        <v>2167</v>
      </c>
      <c r="CW31" s="3">
        <v>2</v>
      </c>
      <c r="CX31" s="3" t="s">
        <v>2168</v>
      </c>
      <c r="CY31" s="3">
        <v>2</v>
      </c>
      <c r="CZ31" s="3" t="s">
        <v>2167</v>
      </c>
      <c r="DA31" s="3">
        <v>2</v>
      </c>
      <c r="DB31" s="3" t="s">
        <v>2169</v>
      </c>
      <c r="DC31" s="3">
        <v>2</v>
      </c>
      <c r="DD31" s="3" t="s">
        <v>2170</v>
      </c>
      <c r="DE31" s="3">
        <v>2</v>
      </c>
      <c r="DF31" s="3" t="s">
        <v>2171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>
        <v>2</v>
      </c>
      <c r="DW31" s="3" t="s">
        <v>264</v>
      </c>
      <c r="DX31" s="3"/>
      <c r="DY31" s="3"/>
      <c r="DZ31" s="3"/>
      <c r="EA31" s="3"/>
    </row>
    <row r="32" spans="1:132" x14ac:dyDescent="0.25">
      <c r="A32" s="2" t="s">
        <v>1220</v>
      </c>
      <c r="B32" s="2" t="s">
        <v>2148</v>
      </c>
      <c r="E32" s="3">
        <v>2</v>
      </c>
      <c r="F32" s="3" t="s">
        <v>2145</v>
      </c>
      <c r="G32" s="3">
        <v>2</v>
      </c>
      <c r="H32" s="3" t="s">
        <v>2146</v>
      </c>
      <c r="M32" s="3">
        <v>2</v>
      </c>
      <c r="N32" s="3" t="s">
        <v>2147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</row>
    <row r="33" spans="1:132" x14ac:dyDescent="0.25">
      <c r="A33" s="2" t="s">
        <v>3214</v>
      </c>
      <c r="B33" s="2" t="s">
        <v>3323</v>
      </c>
      <c r="C33" s="3">
        <v>1</v>
      </c>
      <c r="D33" s="3" t="s">
        <v>3324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>
        <v>1</v>
      </c>
      <c r="BX33" s="3" t="s">
        <v>3325</v>
      </c>
      <c r="BY33" s="3">
        <v>1</v>
      </c>
      <c r="BZ33" s="3" t="s">
        <v>3326</v>
      </c>
      <c r="CA33" s="3">
        <v>1</v>
      </c>
      <c r="CB33" s="3" t="s">
        <v>3325</v>
      </c>
      <c r="CC33" s="3">
        <v>1</v>
      </c>
      <c r="CD33" s="3" t="s">
        <v>3327</v>
      </c>
      <c r="CE33" s="3">
        <v>1</v>
      </c>
      <c r="CF33" s="3" t="s">
        <v>3328</v>
      </c>
      <c r="CG33" s="3">
        <v>1</v>
      </c>
      <c r="CH33" s="3" t="s">
        <v>3329</v>
      </c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</row>
    <row r="34" spans="1:132" x14ac:dyDescent="0.25">
      <c r="A34" s="2" t="s">
        <v>3222</v>
      </c>
      <c r="B34" s="2" t="s">
        <v>2202</v>
      </c>
      <c r="C34" s="3">
        <v>3</v>
      </c>
      <c r="D34" s="3" t="s">
        <v>3311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>
        <v>3</v>
      </c>
      <c r="BX34" s="3" t="s">
        <v>3309</v>
      </c>
      <c r="BY34" s="3">
        <v>3</v>
      </c>
      <c r="BZ34" s="3" t="s">
        <v>3312</v>
      </c>
      <c r="CA34" s="3">
        <v>3</v>
      </c>
      <c r="CB34" s="3" t="s">
        <v>3309</v>
      </c>
      <c r="CC34" s="3">
        <v>3</v>
      </c>
      <c r="CD34" s="3" t="s">
        <v>3313</v>
      </c>
      <c r="CE34" s="3">
        <v>3</v>
      </c>
      <c r="CF34" s="3" t="s">
        <v>3314</v>
      </c>
      <c r="CG34" s="3">
        <v>3</v>
      </c>
      <c r="CH34" s="3" t="s">
        <v>3310</v>
      </c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</row>
    <row r="35" spans="1:132" x14ac:dyDescent="0.25">
      <c r="A35" s="2" t="s">
        <v>3224</v>
      </c>
      <c r="B35" s="2" t="s">
        <v>3341</v>
      </c>
      <c r="C35" s="3">
        <v>3</v>
      </c>
      <c r="D35" s="3" t="s">
        <v>3332</v>
      </c>
      <c r="E35" s="3">
        <v>3</v>
      </c>
      <c r="F35" s="3" t="s">
        <v>3338</v>
      </c>
      <c r="G35" s="3">
        <v>3</v>
      </c>
      <c r="H35" s="3" t="s">
        <v>3339</v>
      </c>
      <c r="M35" s="3">
        <v>3</v>
      </c>
      <c r="N35" s="3" t="s">
        <v>3340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>
        <v>3</v>
      </c>
      <c r="BX35" s="3" t="s">
        <v>3333</v>
      </c>
      <c r="BY35" s="3">
        <v>3</v>
      </c>
      <c r="BZ35" s="3" t="s">
        <v>3334</v>
      </c>
      <c r="CA35" s="3">
        <v>3</v>
      </c>
      <c r="CB35" s="3" t="s">
        <v>3333</v>
      </c>
      <c r="CC35" s="3">
        <v>3</v>
      </c>
      <c r="CD35" s="3" t="s">
        <v>3335</v>
      </c>
      <c r="CE35" s="3">
        <v>3</v>
      </c>
      <c r="CF35" s="3" t="s">
        <v>3336</v>
      </c>
      <c r="CG35" s="3">
        <v>3</v>
      </c>
      <c r="CH35" s="3" t="s">
        <v>3337</v>
      </c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</row>
    <row r="36" spans="1:132" x14ac:dyDescent="0.25">
      <c r="A36" s="2" t="s">
        <v>161</v>
      </c>
      <c r="B36" s="2" t="s">
        <v>1058</v>
      </c>
      <c r="O36" s="3">
        <v>1</v>
      </c>
      <c r="P36" s="3" t="s">
        <v>1059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>
        <v>1</v>
      </c>
      <c r="BX36" s="3" t="s">
        <v>1060</v>
      </c>
      <c r="BY36" s="3">
        <v>1</v>
      </c>
      <c r="BZ36" s="3" t="s">
        <v>1061</v>
      </c>
      <c r="CA36" s="3">
        <v>1</v>
      </c>
      <c r="CB36" s="3" t="s">
        <v>1060</v>
      </c>
      <c r="CC36" s="3">
        <v>1</v>
      </c>
      <c r="CD36" s="3" t="s">
        <v>1062</v>
      </c>
      <c r="CE36" s="3">
        <v>1</v>
      </c>
      <c r="CF36" s="3" t="s">
        <v>1063</v>
      </c>
      <c r="CG36" s="3">
        <v>1</v>
      </c>
      <c r="CH36" s="3" t="s">
        <v>1064</v>
      </c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2" t="s">
        <v>2117</v>
      </c>
    </row>
    <row r="37" spans="1:132" x14ac:dyDescent="0.25">
      <c r="A37" s="2" t="s">
        <v>1902</v>
      </c>
      <c r="B37" s="2" t="s">
        <v>2233</v>
      </c>
      <c r="C37" s="3">
        <v>1</v>
      </c>
      <c r="D37" s="3" t="s">
        <v>297</v>
      </c>
      <c r="E37" s="3">
        <v>1</v>
      </c>
      <c r="F37" s="3" t="s">
        <v>2234</v>
      </c>
      <c r="G37" s="3">
        <v>1</v>
      </c>
      <c r="H37" s="3" t="s">
        <v>2235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</row>
    <row r="38" spans="1:132" x14ac:dyDescent="0.25">
      <c r="A38" s="2" t="s">
        <v>3237</v>
      </c>
      <c r="B38" s="2" t="s">
        <v>3316</v>
      </c>
      <c r="C38" s="3">
        <v>3</v>
      </c>
      <c r="D38" s="3" t="s">
        <v>3317</v>
      </c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>
        <v>3</v>
      </c>
      <c r="BX38" s="3" t="s">
        <v>3318</v>
      </c>
      <c r="BY38" s="3">
        <v>3</v>
      </c>
      <c r="BZ38" s="3" t="s">
        <v>3319</v>
      </c>
      <c r="CA38" s="3">
        <v>3</v>
      </c>
      <c r="CB38" s="3" t="s">
        <v>3318</v>
      </c>
      <c r="CC38" s="3">
        <v>3</v>
      </c>
      <c r="CD38" s="3" t="s">
        <v>3320</v>
      </c>
      <c r="CE38" s="3">
        <v>3</v>
      </c>
      <c r="CF38" s="3" t="s">
        <v>3321</v>
      </c>
      <c r="CG38" s="3">
        <v>3</v>
      </c>
      <c r="CH38" s="3" t="s">
        <v>3322</v>
      </c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>
        <v>1</v>
      </c>
      <c r="DV38" s="3">
        <v>1</v>
      </c>
      <c r="DW38" s="3" t="s">
        <v>1065</v>
      </c>
      <c r="DX38" s="3"/>
      <c r="DY38" s="3"/>
      <c r="DZ38" s="3"/>
      <c r="EA38" s="3"/>
    </row>
    <row r="39" spans="1:132" x14ac:dyDescent="0.25">
      <c r="A39" s="2" t="s">
        <v>3238</v>
      </c>
      <c r="B39" s="2" t="s">
        <v>2202</v>
      </c>
      <c r="C39" s="3">
        <v>2</v>
      </c>
      <c r="D39" s="3" t="s">
        <v>3315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>
        <v>2</v>
      </c>
      <c r="BX39" s="3" t="s">
        <v>1040</v>
      </c>
      <c r="BY39" s="3">
        <v>2</v>
      </c>
      <c r="BZ39" s="3" t="s">
        <v>1041</v>
      </c>
      <c r="CA39" s="3">
        <v>2</v>
      </c>
      <c r="CB39" s="3" t="s">
        <v>1040</v>
      </c>
      <c r="CC39" s="3">
        <v>2</v>
      </c>
      <c r="CD39" s="3" t="s">
        <v>1022</v>
      </c>
      <c r="CE39" s="3">
        <v>2</v>
      </c>
      <c r="CF39" s="3" t="s">
        <v>1023</v>
      </c>
      <c r="CG39" s="3">
        <v>2</v>
      </c>
      <c r="CH39" s="3" t="s">
        <v>1042</v>
      </c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</row>
    <row r="40" spans="1:132" x14ac:dyDescent="0.25">
      <c r="A40" s="2" t="s">
        <v>351</v>
      </c>
      <c r="B40" s="2" t="s">
        <v>1051</v>
      </c>
      <c r="O40" s="3">
        <v>1</v>
      </c>
      <c r="P40" s="3" t="s">
        <v>1052</v>
      </c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>
        <v>1</v>
      </c>
      <c r="BX40" s="3" t="s">
        <v>1053</v>
      </c>
      <c r="BY40" s="3">
        <v>1</v>
      </c>
      <c r="BZ40" s="3" t="s">
        <v>1057</v>
      </c>
      <c r="CA40" s="3">
        <v>1</v>
      </c>
      <c r="CB40" s="3" t="s">
        <v>1053</v>
      </c>
      <c r="CC40" s="3">
        <v>1</v>
      </c>
      <c r="CD40" s="3" t="s">
        <v>1054</v>
      </c>
      <c r="CE40" s="3">
        <v>1</v>
      </c>
      <c r="CF40" s="3" t="s">
        <v>1055</v>
      </c>
      <c r="CG40" s="3">
        <v>1</v>
      </c>
      <c r="CH40" s="3" t="s">
        <v>1056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2" t="s">
        <v>1244</v>
      </c>
    </row>
    <row r="41" spans="1:132" x14ac:dyDescent="0.25">
      <c r="A41" s="2" t="s">
        <v>3249</v>
      </c>
      <c r="B41" s="2" t="s">
        <v>2202</v>
      </c>
      <c r="C41" s="3">
        <v>2</v>
      </c>
      <c r="D41" s="3" t="s">
        <v>1436</v>
      </c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>
        <v>2</v>
      </c>
      <c r="BX41" s="3" t="s">
        <v>3303</v>
      </c>
      <c r="BY41" s="3">
        <v>2</v>
      </c>
      <c r="BZ41" s="3" t="s">
        <v>3304</v>
      </c>
      <c r="CA41" s="3">
        <v>2</v>
      </c>
      <c r="CB41" s="3" t="s">
        <v>3303</v>
      </c>
      <c r="CC41" s="3">
        <v>2</v>
      </c>
      <c r="CD41" s="3" t="s">
        <v>3305</v>
      </c>
      <c r="CE41" s="3">
        <v>2</v>
      </c>
      <c r="CF41" s="3" t="s">
        <v>3306</v>
      </c>
      <c r="CG41" s="3">
        <v>2</v>
      </c>
      <c r="CH41" s="3" t="s">
        <v>3307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</row>
    <row r="42" spans="1:132" x14ac:dyDescent="0.25">
      <c r="A42" s="2" t="s">
        <v>3253</v>
      </c>
      <c r="B42" s="2" t="s">
        <v>3331</v>
      </c>
      <c r="C42" s="3">
        <v>100</v>
      </c>
      <c r="D42" s="3" t="s">
        <v>829</v>
      </c>
      <c r="E42" s="3">
        <v>100</v>
      </c>
      <c r="F42" s="3" t="s">
        <v>829</v>
      </c>
      <c r="G42" s="3">
        <v>100</v>
      </c>
      <c r="H42" s="3" t="s">
        <v>829</v>
      </c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</row>
    <row r="43" spans="1:132" x14ac:dyDescent="0.25">
      <c r="A43" s="2" t="s">
        <v>3254</v>
      </c>
      <c r="B43" s="2" t="s">
        <v>3308</v>
      </c>
      <c r="C43" s="3">
        <v>100</v>
      </c>
      <c r="D43" s="3" t="s">
        <v>829</v>
      </c>
      <c r="E43" s="3">
        <v>100</v>
      </c>
      <c r="F43" s="3" t="s">
        <v>829</v>
      </c>
      <c r="I43" s="3">
        <v>100</v>
      </c>
      <c r="J43" s="3" t="s">
        <v>829</v>
      </c>
      <c r="K43" s="3">
        <v>100</v>
      </c>
      <c r="L43" s="3" t="s">
        <v>829</v>
      </c>
      <c r="O43" s="3">
        <v>100</v>
      </c>
      <c r="P43" s="3" t="s">
        <v>829</v>
      </c>
      <c r="Q43" s="3">
        <v>100</v>
      </c>
      <c r="R43" s="3" t="s">
        <v>829</v>
      </c>
      <c r="U43" s="3">
        <v>100</v>
      </c>
      <c r="V43" s="3" t="s">
        <v>829</v>
      </c>
      <c r="W43" s="3">
        <v>100</v>
      </c>
      <c r="X43" s="3" t="s">
        <v>829</v>
      </c>
      <c r="AA43" s="3">
        <v>100</v>
      </c>
      <c r="AB43" s="3" t="s">
        <v>829</v>
      </c>
      <c r="AC43" s="3">
        <v>100</v>
      </c>
      <c r="AD43" s="3" t="s">
        <v>829</v>
      </c>
      <c r="AG43" s="3">
        <v>100</v>
      </c>
      <c r="AH43" s="3" t="s">
        <v>829</v>
      </c>
      <c r="AI43" s="3">
        <v>100</v>
      </c>
      <c r="AJ43" s="3" t="s">
        <v>829</v>
      </c>
      <c r="AL43" s="3"/>
      <c r="AM43" s="3">
        <v>100</v>
      </c>
      <c r="AN43" s="3" t="s">
        <v>829</v>
      </c>
      <c r="AO43" s="3">
        <v>100</v>
      </c>
      <c r="AP43" s="3" t="s">
        <v>829</v>
      </c>
      <c r="AQ43" s="3"/>
      <c r="AR43" s="3"/>
      <c r="AS43" s="3">
        <v>100</v>
      </c>
      <c r="AT43" s="3" t="s">
        <v>829</v>
      </c>
      <c r="AU43" s="3">
        <v>100</v>
      </c>
      <c r="AV43" s="3" t="s">
        <v>829</v>
      </c>
      <c r="AW43" s="3"/>
      <c r="AX43" s="3"/>
      <c r="AY43" s="3">
        <v>100</v>
      </c>
      <c r="AZ43" s="3" t="s">
        <v>829</v>
      </c>
      <c r="BA43" s="3">
        <v>100</v>
      </c>
      <c r="BB43" s="3" t="s">
        <v>829</v>
      </c>
      <c r="BC43" s="3"/>
      <c r="BD43" s="3"/>
      <c r="BE43" s="3">
        <v>100</v>
      </c>
      <c r="BF43" s="3" t="s">
        <v>829</v>
      </c>
      <c r="BG43" s="3">
        <v>100</v>
      </c>
      <c r="BH43" s="3" t="s">
        <v>829</v>
      </c>
      <c r="BI43" s="3"/>
      <c r="BJ43" s="3"/>
      <c r="BK43" s="3">
        <v>100</v>
      </c>
      <c r="BL43" s="3" t="s">
        <v>829</v>
      </c>
      <c r="BM43" s="3">
        <v>100</v>
      </c>
      <c r="BN43" s="3" t="s">
        <v>829</v>
      </c>
      <c r="BO43" s="3"/>
      <c r="BP43" s="3"/>
      <c r="BQ43" s="3">
        <v>100</v>
      </c>
      <c r="BR43" s="3" t="s">
        <v>829</v>
      </c>
      <c r="BS43" s="3">
        <v>100</v>
      </c>
      <c r="BT43" s="3" t="s">
        <v>829</v>
      </c>
      <c r="BU43" s="3"/>
      <c r="BV43" s="3"/>
      <c r="BW43" s="3">
        <v>100</v>
      </c>
      <c r="BX43" s="3" t="s">
        <v>829</v>
      </c>
      <c r="BY43" s="3">
        <v>100</v>
      </c>
      <c r="BZ43" s="3" t="s">
        <v>829</v>
      </c>
      <c r="CA43" s="3">
        <v>3</v>
      </c>
      <c r="CB43" s="3" t="s">
        <v>3309</v>
      </c>
      <c r="CC43" s="3">
        <v>100</v>
      </c>
      <c r="CD43" s="3" t="s">
        <v>829</v>
      </c>
      <c r="CE43" s="3">
        <v>100</v>
      </c>
      <c r="CF43" s="3" t="s">
        <v>829</v>
      </c>
      <c r="CG43" s="3">
        <v>3</v>
      </c>
      <c r="CH43" s="3" t="s">
        <v>3310</v>
      </c>
      <c r="CI43" s="3">
        <v>100</v>
      </c>
      <c r="CJ43" s="3" t="s">
        <v>829</v>
      </c>
      <c r="CK43" s="3">
        <v>100</v>
      </c>
      <c r="CL43" s="3" t="s">
        <v>829</v>
      </c>
      <c r="CM43" s="3"/>
      <c r="CN43" s="3"/>
      <c r="CO43" s="3">
        <v>100</v>
      </c>
      <c r="CP43" s="3" t="s">
        <v>829</v>
      </c>
      <c r="CQ43" s="3">
        <v>100</v>
      </c>
      <c r="CR43" s="3" t="s">
        <v>829</v>
      </c>
      <c r="CS43" s="3"/>
      <c r="CT43" s="3"/>
      <c r="CU43" s="3">
        <v>100</v>
      </c>
      <c r="CV43" s="3" t="s">
        <v>829</v>
      </c>
      <c r="CW43" s="3">
        <v>100</v>
      </c>
      <c r="CX43" s="3" t="s">
        <v>829</v>
      </c>
      <c r="CY43" s="3"/>
      <c r="CZ43" s="3"/>
      <c r="DA43" s="3">
        <v>100</v>
      </c>
      <c r="DB43" s="3" t="s">
        <v>829</v>
      </c>
      <c r="DC43" s="3">
        <v>100</v>
      </c>
      <c r="DD43" s="3" t="s">
        <v>829</v>
      </c>
      <c r="DE43" s="3"/>
      <c r="DF43" s="3"/>
      <c r="DG43" s="3">
        <v>100</v>
      </c>
      <c r="DH43" s="3" t="s">
        <v>829</v>
      </c>
      <c r="DI43" s="3">
        <v>100</v>
      </c>
      <c r="DJ43" s="3" t="s">
        <v>829</v>
      </c>
      <c r="DK43" s="3"/>
      <c r="DL43" s="3"/>
      <c r="DM43" s="3">
        <v>100</v>
      </c>
      <c r="DN43" s="3" t="s">
        <v>829</v>
      </c>
      <c r="DO43" s="3">
        <v>100</v>
      </c>
      <c r="DP43" s="3" t="s">
        <v>829</v>
      </c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</row>
    <row r="44" spans="1:132" x14ac:dyDescent="0.25">
      <c r="A44" s="2" t="s">
        <v>49</v>
      </c>
      <c r="B44" s="2" t="s">
        <v>296</v>
      </c>
      <c r="C44" s="3">
        <v>1</v>
      </c>
      <c r="D44" s="3" t="s">
        <v>297</v>
      </c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</row>
    <row r="45" spans="1:132" x14ac:dyDescent="0.25">
      <c r="A45" s="2" t="s">
        <v>1607</v>
      </c>
      <c r="B45" s="2" t="s">
        <v>2176</v>
      </c>
      <c r="D45" s="3" t="s">
        <v>695</v>
      </c>
      <c r="F45" s="3" t="s">
        <v>687</v>
      </c>
      <c r="H45" s="3" t="s">
        <v>252</v>
      </c>
      <c r="L45" s="3" t="s">
        <v>253</v>
      </c>
      <c r="N45" s="3" t="s">
        <v>4952</v>
      </c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 t="s">
        <v>2124</v>
      </c>
      <c r="BY45" s="3"/>
      <c r="BZ45" s="3" t="s">
        <v>2123</v>
      </c>
      <c r="CA45" s="3"/>
      <c r="CB45" s="3" t="s">
        <v>2124</v>
      </c>
      <c r="CC45" s="3"/>
      <c r="CD45" s="3" t="s">
        <v>2174</v>
      </c>
      <c r="CE45" s="3"/>
      <c r="CF45" s="3" t="s">
        <v>2175</v>
      </c>
      <c r="CG45" s="3"/>
      <c r="CH45" s="3" t="s">
        <v>2125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</row>
    <row r="46" spans="1:132" x14ac:dyDescent="0.25">
      <c r="A46" s="2" t="s">
        <v>3302</v>
      </c>
      <c r="B46" s="2" t="s">
        <v>2148</v>
      </c>
      <c r="E46" s="3">
        <v>3</v>
      </c>
      <c r="F46" s="3" t="s">
        <v>3513</v>
      </c>
      <c r="G46" s="3">
        <v>3</v>
      </c>
      <c r="H46" s="3" t="s">
        <v>3514</v>
      </c>
      <c r="M46" s="3">
        <v>3</v>
      </c>
      <c r="N46" s="3" t="s">
        <v>3515</v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</row>
    <row r="47" spans="1:132" x14ac:dyDescent="0.25">
      <c r="A47" s="2" t="s">
        <v>2295</v>
      </c>
      <c r="B47" s="2" t="s">
        <v>2528</v>
      </c>
      <c r="D47" s="3" t="s">
        <v>4</v>
      </c>
      <c r="F47" s="3" t="s">
        <v>5</v>
      </c>
      <c r="H47" s="3" t="s">
        <v>6</v>
      </c>
      <c r="N47" s="3" t="s">
        <v>9</v>
      </c>
      <c r="R47" s="3" t="s">
        <v>637</v>
      </c>
      <c r="T47" s="3" t="s">
        <v>280</v>
      </c>
      <c r="V47" s="3" t="s">
        <v>17</v>
      </c>
      <c r="X47" s="3" t="s">
        <v>638</v>
      </c>
      <c r="Z47" s="3" t="s">
        <v>246</v>
      </c>
      <c r="AL47" s="3"/>
      <c r="AM47" s="3"/>
      <c r="AN47" s="3" t="s">
        <v>242</v>
      </c>
      <c r="AO47" s="3"/>
      <c r="AP47" s="3" t="s">
        <v>243</v>
      </c>
      <c r="AQ47" s="3"/>
      <c r="AR47" s="3" t="s">
        <v>242</v>
      </c>
      <c r="AS47" s="3"/>
      <c r="AT47" s="3" t="s">
        <v>244</v>
      </c>
      <c r="AU47" s="3"/>
      <c r="AV47" s="3" t="s">
        <v>245</v>
      </c>
      <c r="AW47" s="3"/>
      <c r="AX47" s="3" t="s">
        <v>246</v>
      </c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 t="s">
        <v>252</v>
      </c>
      <c r="BY47" s="3"/>
      <c r="BZ47" s="3" t="s">
        <v>687</v>
      </c>
      <c r="CA47" s="3"/>
      <c r="CB47" s="3" t="s">
        <v>252</v>
      </c>
      <c r="CC47" s="3"/>
      <c r="CD47" s="3"/>
      <c r="CE47" s="3"/>
      <c r="CF47" s="3"/>
      <c r="CG47" s="3"/>
      <c r="CH47" s="3" t="s">
        <v>254</v>
      </c>
      <c r="CI47" s="3"/>
      <c r="CJ47" s="3" t="s">
        <v>651</v>
      </c>
      <c r="CK47" s="3"/>
      <c r="CL47" s="3" t="s">
        <v>652</v>
      </c>
      <c r="CM47" s="3"/>
      <c r="CN47" s="3" t="s">
        <v>651</v>
      </c>
      <c r="CO47" s="3"/>
      <c r="CP47" s="3" t="s">
        <v>2529</v>
      </c>
      <c r="CQ47" s="3"/>
      <c r="CR47" s="3" t="s">
        <v>2530</v>
      </c>
      <c r="CS47" s="3"/>
      <c r="CT47" s="3" t="s">
        <v>655</v>
      </c>
      <c r="CU47" s="3"/>
      <c r="CV47" s="3" t="s">
        <v>256</v>
      </c>
      <c r="CW47" s="3"/>
      <c r="CX47" s="3" t="s">
        <v>621</v>
      </c>
      <c r="CY47" s="3"/>
      <c r="CZ47" s="3" t="s">
        <v>256</v>
      </c>
      <c r="DA47" s="3"/>
      <c r="DB47" s="3" t="s">
        <v>656</v>
      </c>
      <c r="DC47" s="3"/>
      <c r="DD47" s="3" t="s">
        <v>657</v>
      </c>
      <c r="DE47" s="3"/>
      <c r="DF47" s="3" t="s">
        <v>658</v>
      </c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</row>
    <row r="48" spans="1:132" x14ac:dyDescent="0.25">
      <c r="A48" s="2" t="s">
        <v>4389</v>
      </c>
      <c r="B48" s="2" t="s">
        <v>4396</v>
      </c>
      <c r="C48" s="3">
        <v>3</v>
      </c>
      <c r="D48" s="3" t="s">
        <v>4390</v>
      </c>
      <c r="E48" s="3">
        <v>3</v>
      </c>
      <c r="F48" s="3" t="s">
        <v>4397</v>
      </c>
      <c r="G48" s="3">
        <v>3</v>
      </c>
      <c r="H48" s="3" t="s">
        <v>4398</v>
      </c>
      <c r="M48" s="3">
        <v>3</v>
      </c>
      <c r="N48" s="3" t="s">
        <v>4399</v>
      </c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>
        <v>3</v>
      </c>
      <c r="BX48" s="3" t="s">
        <v>4391</v>
      </c>
      <c r="BY48" s="3">
        <v>3</v>
      </c>
      <c r="BZ48" s="3" t="s">
        <v>4392</v>
      </c>
      <c r="CA48" s="3">
        <v>3</v>
      </c>
      <c r="CB48" s="3" t="s">
        <v>4391</v>
      </c>
      <c r="CC48" s="3">
        <v>3</v>
      </c>
      <c r="CD48" s="3" t="s">
        <v>4393</v>
      </c>
      <c r="CE48" s="3">
        <v>3</v>
      </c>
      <c r="CF48" s="3" t="s">
        <v>4394</v>
      </c>
      <c r="CG48" s="3">
        <v>3</v>
      </c>
      <c r="CH48" s="3" t="s">
        <v>4395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</row>
    <row r="49" spans="1:131" x14ac:dyDescent="0.25">
      <c r="A49" s="2" t="s">
        <v>4465</v>
      </c>
      <c r="B49" s="2" t="s">
        <v>2202</v>
      </c>
      <c r="C49" s="3">
        <v>3</v>
      </c>
      <c r="D49" s="3" t="s">
        <v>4526</v>
      </c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>
        <v>3</v>
      </c>
      <c r="BX49" s="3" t="s">
        <v>4527</v>
      </c>
      <c r="BY49" s="3">
        <v>3</v>
      </c>
      <c r="BZ49" s="3" t="s">
        <v>4528</v>
      </c>
      <c r="CA49" s="3">
        <v>3</v>
      </c>
      <c r="CB49" s="3" t="s">
        <v>4527</v>
      </c>
      <c r="CC49" s="3">
        <v>3</v>
      </c>
      <c r="CD49" s="3" t="s">
        <v>4529</v>
      </c>
      <c r="CE49" s="3">
        <v>3</v>
      </c>
      <c r="CF49" s="3" t="s">
        <v>4530</v>
      </c>
      <c r="CG49" s="3">
        <v>3</v>
      </c>
      <c r="CH49" s="3" t="s">
        <v>4531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</row>
    <row r="50" spans="1:131" x14ac:dyDescent="0.25">
      <c r="A50" s="2" t="s">
        <v>4472</v>
      </c>
      <c r="B50" s="2" t="s">
        <v>4890</v>
      </c>
      <c r="D50" s="3" t="s">
        <v>251</v>
      </c>
      <c r="F50" s="3" t="s">
        <v>687</v>
      </c>
      <c r="H50" s="3" t="s">
        <v>252</v>
      </c>
      <c r="L50" s="3" t="s">
        <v>253</v>
      </c>
      <c r="N50" s="3" t="s">
        <v>254</v>
      </c>
      <c r="R50" s="3" t="s">
        <v>659</v>
      </c>
      <c r="T50" s="3" t="s">
        <v>660</v>
      </c>
      <c r="V50" s="3" t="s">
        <v>39</v>
      </c>
      <c r="X50" s="3" t="s">
        <v>661</v>
      </c>
      <c r="Z50" s="3" t="s">
        <v>662</v>
      </c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 t="s">
        <v>688</v>
      </c>
      <c r="BY50" s="3"/>
      <c r="BZ50" s="3" t="s">
        <v>689</v>
      </c>
      <c r="CA50" s="3"/>
      <c r="CB50" s="3" t="s">
        <v>688</v>
      </c>
      <c r="CC50" s="3"/>
      <c r="CD50" s="3" t="s">
        <v>690</v>
      </c>
      <c r="CE50" s="3"/>
      <c r="CF50" s="3" t="s">
        <v>691</v>
      </c>
      <c r="CG50" s="3"/>
      <c r="CH50" s="3" t="s">
        <v>692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</row>
    <row r="51" spans="1:131" x14ac:dyDescent="0.25">
      <c r="A51" s="2" t="s">
        <v>2243</v>
      </c>
      <c r="B51" s="2" t="s">
        <v>2244</v>
      </c>
      <c r="D51" s="3" t="s">
        <v>24</v>
      </c>
      <c r="F51" s="3" t="s">
        <v>2245</v>
      </c>
      <c r="H51" s="3" t="s">
        <v>2246</v>
      </c>
      <c r="L51" s="3" t="s">
        <v>27</v>
      </c>
      <c r="N51" s="3" t="s">
        <v>249</v>
      </c>
      <c r="P51" s="3" t="s">
        <v>738</v>
      </c>
      <c r="R51" s="3" t="s">
        <v>739</v>
      </c>
      <c r="T51" s="3" t="s">
        <v>740</v>
      </c>
      <c r="V51" s="3" t="s">
        <v>741</v>
      </c>
      <c r="X51" s="3" t="s">
        <v>742</v>
      </c>
      <c r="Z51" s="3" t="s">
        <v>743</v>
      </c>
      <c r="AB51" s="3" t="s">
        <v>28</v>
      </c>
      <c r="AD51" s="3" t="s">
        <v>29</v>
      </c>
      <c r="AF51" s="3" t="s">
        <v>28</v>
      </c>
      <c r="AH51" s="3" t="s">
        <v>30</v>
      </c>
      <c r="AJ51" s="3" t="s">
        <v>31</v>
      </c>
      <c r="AL51" s="3" t="s">
        <v>32</v>
      </c>
      <c r="AM51" s="3"/>
      <c r="AN51" s="3" t="s">
        <v>744</v>
      </c>
      <c r="AO51" s="3"/>
      <c r="AP51" s="3" t="s">
        <v>745</v>
      </c>
      <c r="AQ51" s="3"/>
      <c r="AR51" s="3" t="s">
        <v>744</v>
      </c>
      <c r="AS51" s="3"/>
      <c r="AT51" s="3" t="s">
        <v>746</v>
      </c>
      <c r="AU51" s="3"/>
      <c r="AV51" s="3" t="s">
        <v>747</v>
      </c>
      <c r="AW51" s="3"/>
      <c r="AX51" s="3" t="s">
        <v>743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 t="s">
        <v>703</v>
      </c>
      <c r="BY51" s="3"/>
      <c r="BZ51" s="3" t="s">
        <v>704</v>
      </c>
      <c r="CA51" s="3"/>
      <c r="CB51" s="3" t="s">
        <v>703</v>
      </c>
      <c r="CC51" s="3"/>
      <c r="CD51" s="3" t="s">
        <v>705</v>
      </c>
      <c r="CE51" s="3"/>
      <c r="CF51" s="3" t="s">
        <v>706</v>
      </c>
      <c r="CG51" s="3"/>
      <c r="CH51" s="3" t="s">
        <v>707</v>
      </c>
      <c r="CI51" s="3"/>
      <c r="CJ51" s="3" t="s">
        <v>748</v>
      </c>
      <c r="CK51" s="3"/>
      <c r="CL51" s="3" t="s">
        <v>749</v>
      </c>
      <c r="CM51" s="3"/>
      <c r="CN51" s="3" t="s">
        <v>748</v>
      </c>
      <c r="CO51" s="3"/>
      <c r="CP51" s="3" t="s">
        <v>750</v>
      </c>
      <c r="CQ51" s="3"/>
      <c r="CR51" s="3" t="s">
        <v>751</v>
      </c>
      <c r="CS51" s="3"/>
      <c r="CT51" s="3" t="s">
        <v>752</v>
      </c>
      <c r="CU51" s="3"/>
      <c r="CV51" s="3" t="s">
        <v>753</v>
      </c>
      <c r="CW51" s="3"/>
      <c r="CX51" s="3" t="s">
        <v>754</v>
      </c>
      <c r="CY51" s="3"/>
      <c r="CZ51" s="3" t="s">
        <v>753</v>
      </c>
      <c r="DA51" s="3"/>
      <c r="DB51" s="3" t="s">
        <v>755</v>
      </c>
      <c r="DC51" s="3"/>
      <c r="DD51" s="3" t="s">
        <v>757</v>
      </c>
      <c r="DE51" s="3"/>
      <c r="DF51" s="3" t="s">
        <v>756</v>
      </c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>
        <v>1</v>
      </c>
      <c r="DY51" s="3" t="s">
        <v>758</v>
      </c>
      <c r="DZ51" s="3"/>
      <c r="EA51" s="3"/>
    </row>
    <row r="52" spans="1:131" x14ac:dyDescent="0.25">
      <c r="A52" s="2" t="s">
        <v>154</v>
      </c>
      <c r="B52" s="2" t="s">
        <v>298</v>
      </c>
      <c r="C52" s="3">
        <v>1</v>
      </c>
      <c r="D52" s="3" t="s">
        <v>299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>
        <v>1</v>
      </c>
      <c r="BX52" s="3" t="s">
        <v>841</v>
      </c>
      <c r="BY52" s="3">
        <v>1</v>
      </c>
      <c r="BZ52" s="3" t="s">
        <v>730</v>
      </c>
      <c r="CA52" s="3">
        <v>1</v>
      </c>
      <c r="CB52" s="3" t="s">
        <v>841</v>
      </c>
      <c r="CC52" s="3">
        <v>1</v>
      </c>
      <c r="CD52" s="3" t="s">
        <v>731</v>
      </c>
      <c r="CE52" s="3">
        <v>1</v>
      </c>
      <c r="CF52" s="3" t="s">
        <v>732</v>
      </c>
      <c r="CG52" s="3">
        <v>1</v>
      </c>
      <c r="CH52" s="3" t="s">
        <v>733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</row>
    <row r="53" spans="1:131" x14ac:dyDescent="0.25">
      <c r="A53" s="2" t="s">
        <v>419</v>
      </c>
      <c r="B53" s="2" t="s">
        <v>2076</v>
      </c>
      <c r="C53" s="3">
        <v>1</v>
      </c>
      <c r="D53" s="3" t="s">
        <v>2077</v>
      </c>
      <c r="G53" s="3">
        <v>1</v>
      </c>
      <c r="H53" s="3" t="s">
        <v>865</v>
      </c>
      <c r="O53" s="3">
        <v>1</v>
      </c>
      <c r="P53" s="3" t="s">
        <v>2078</v>
      </c>
      <c r="Q53" s="3">
        <v>1</v>
      </c>
      <c r="R53" s="3" t="s">
        <v>2079</v>
      </c>
      <c r="S53" s="3">
        <v>1</v>
      </c>
      <c r="T53" s="3" t="s">
        <v>2078</v>
      </c>
      <c r="U53" s="3">
        <v>1</v>
      </c>
      <c r="V53" s="3" t="s">
        <v>2080</v>
      </c>
      <c r="W53" s="3">
        <v>1</v>
      </c>
      <c r="X53" s="3" t="s">
        <v>2079</v>
      </c>
      <c r="Y53" s="3">
        <v>1</v>
      </c>
      <c r="Z53" s="3" t="s">
        <v>2081</v>
      </c>
      <c r="AL53" s="3"/>
      <c r="AM53" s="3">
        <v>1</v>
      </c>
      <c r="AN53" s="3" t="s">
        <v>2082</v>
      </c>
      <c r="AO53" s="3">
        <v>1</v>
      </c>
      <c r="AP53" s="3" t="s">
        <v>2083</v>
      </c>
      <c r="AQ53" s="3">
        <v>1</v>
      </c>
      <c r="AR53" s="3" t="s">
        <v>2082</v>
      </c>
      <c r="AS53" s="3">
        <v>1</v>
      </c>
      <c r="AT53" s="3" t="s">
        <v>2084</v>
      </c>
      <c r="AU53" s="3">
        <v>1</v>
      </c>
      <c r="AV53" s="3" t="s">
        <v>2085</v>
      </c>
      <c r="AW53" s="3">
        <v>1</v>
      </c>
      <c r="AX53" s="3" t="s">
        <v>2081</v>
      </c>
      <c r="AY53" s="3">
        <v>1</v>
      </c>
      <c r="AZ53" s="3" t="s">
        <v>2086</v>
      </c>
      <c r="BA53" s="3">
        <v>1</v>
      </c>
      <c r="BB53" s="3" t="s">
        <v>2087</v>
      </c>
      <c r="BC53" s="3">
        <v>1</v>
      </c>
      <c r="BD53" s="3" t="s">
        <v>2088</v>
      </c>
      <c r="BE53" s="3">
        <v>1</v>
      </c>
      <c r="BF53" s="3" t="s">
        <v>2089</v>
      </c>
      <c r="BG53" s="3">
        <v>1</v>
      </c>
      <c r="BH53" s="3" t="s">
        <v>2090</v>
      </c>
      <c r="BI53" s="3">
        <v>1</v>
      </c>
      <c r="BJ53" s="3" t="s">
        <v>2091</v>
      </c>
      <c r="BK53" s="3">
        <v>1</v>
      </c>
      <c r="BL53" s="3" t="s">
        <v>2092</v>
      </c>
      <c r="BM53" s="3">
        <v>1</v>
      </c>
      <c r="BN53" s="3" t="s">
        <v>2093</v>
      </c>
      <c r="BO53" s="3">
        <v>1</v>
      </c>
      <c r="BP53" s="3" t="s">
        <v>2092</v>
      </c>
      <c r="BQ53" s="3">
        <v>1</v>
      </c>
      <c r="BR53" s="3" t="s">
        <v>2094</v>
      </c>
      <c r="BS53" s="3">
        <v>1</v>
      </c>
      <c r="BT53" s="3" t="s">
        <v>2095</v>
      </c>
      <c r="BU53" s="3">
        <v>1</v>
      </c>
      <c r="BV53" s="3" t="s">
        <v>2096</v>
      </c>
      <c r="BW53" s="3">
        <v>1</v>
      </c>
      <c r="BX53" s="3" t="s">
        <v>2097</v>
      </c>
      <c r="BY53" s="3">
        <v>1</v>
      </c>
      <c r="BZ53" s="3" t="s">
        <v>2098</v>
      </c>
      <c r="CA53" s="3">
        <v>1</v>
      </c>
      <c r="CB53" s="3" t="s">
        <v>2097</v>
      </c>
      <c r="CC53" s="3">
        <v>1</v>
      </c>
      <c r="CD53" s="3" t="s">
        <v>2099</v>
      </c>
      <c r="CE53" s="3">
        <v>1</v>
      </c>
      <c r="CF53" s="3" t="s">
        <v>2100</v>
      </c>
      <c r="CG53" s="3">
        <v>1</v>
      </c>
      <c r="CH53" s="3" t="s">
        <v>2101</v>
      </c>
      <c r="CI53" s="3">
        <v>1</v>
      </c>
      <c r="CJ53" s="3" t="s">
        <v>2102</v>
      </c>
      <c r="CK53" s="3">
        <v>1</v>
      </c>
      <c r="CL53" s="3" t="s">
        <v>2103</v>
      </c>
      <c r="CM53" s="3">
        <v>1</v>
      </c>
      <c r="CN53" s="3" t="s">
        <v>2102</v>
      </c>
      <c r="CO53" s="3">
        <v>1</v>
      </c>
      <c r="CP53" s="3" t="s">
        <v>2112</v>
      </c>
      <c r="CQ53" s="3">
        <v>1</v>
      </c>
      <c r="CR53" s="3" t="s">
        <v>2104</v>
      </c>
      <c r="CS53" s="3">
        <v>1</v>
      </c>
      <c r="CT53" s="3" t="s">
        <v>2105</v>
      </c>
      <c r="CU53" s="3">
        <v>1</v>
      </c>
      <c r="CV53" s="3" t="s">
        <v>2106</v>
      </c>
      <c r="CW53" s="3">
        <v>1</v>
      </c>
      <c r="CX53" s="3" t="s">
        <v>2107</v>
      </c>
      <c r="CY53" s="3">
        <v>1</v>
      </c>
      <c r="CZ53" s="3" t="s">
        <v>2106</v>
      </c>
      <c r="DA53" s="3">
        <v>1</v>
      </c>
      <c r="DB53" s="3" t="s">
        <v>2110</v>
      </c>
      <c r="DC53" s="3">
        <v>1</v>
      </c>
      <c r="DD53" s="3" t="s">
        <v>2109</v>
      </c>
      <c r="DE53" s="3">
        <v>1</v>
      </c>
      <c r="DF53" s="3" t="s">
        <v>2108</v>
      </c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>
        <v>1</v>
      </c>
      <c r="DV53" s="3">
        <v>1</v>
      </c>
      <c r="DW53" s="3" t="s">
        <v>2111</v>
      </c>
      <c r="DX53" s="3"/>
      <c r="DY53" s="3"/>
      <c r="DZ53" s="3"/>
      <c r="EA53" s="3"/>
    </row>
    <row r="54" spans="1:131" x14ac:dyDescent="0.25">
      <c r="A54" s="2" t="s">
        <v>3259</v>
      </c>
      <c r="B54" s="2" t="s">
        <v>3864</v>
      </c>
      <c r="C54" s="3">
        <v>1</v>
      </c>
      <c r="D54" s="3" t="s">
        <v>297</v>
      </c>
      <c r="E54" s="3">
        <v>1</v>
      </c>
      <c r="F54" s="3" t="s">
        <v>2380</v>
      </c>
      <c r="G54" s="3">
        <v>1</v>
      </c>
      <c r="H54" s="3" t="s">
        <v>2379</v>
      </c>
      <c r="M54" s="3">
        <v>1</v>
      </c>
      <c r="N54" s="3" t="s">
        <v>3330</v>
      </c>
      <c r="O54" s="34"/>
      <c r="P54" s="3" t="s">
        <v>1034</v>
      </c>
      <c r="AB54" s="3" t="s">
        <v>1037</v>
      </c>
      <c r="AD54" s="3" t="s">
        <v>1038</v>
      </c>
      <c r="AF54" s="3" t="s">
        <v>1037</v>
      </c>
      <c r="AL54" s="3" t="s">
        <v>1039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</row>
    <row r="55" spans="1:131" x14ac:dyDescent="0.25">
      <c r="A55" s="2" t="s">
        <v>4513</v>
      </c>
      <c r="B55" s="2" t="s">
        <v>4515</v>
      </c>
      <c r="C55" s="3">
        <v>3</v>
      </c>
      <c r="D55" s="3" t="s">
        <v>4516</v>
      </c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>
        <v>3</v>
      </c>
      <c r="BX55" s="3" t="s">
        <v>4517</v>
      </c>
      <c r="BY55" s="3">
        <v>3</v>
      </c>
      <c r="BZ55" s="3" t="s">
        <v>4518</v>
      </c>
      <c r="CA55" s="3">
        <v>3</v>
      </c>
      <c r="CB55" s="3" t="s">
        <v>4517</v>
      </c>
      <c r="CC55" s="3">
        <v>3</v>
      </c>
      <c r="CD55" s="3" t="s">
        <v>4519</v>
      </c>
      <c r="CE55" s="3">
        <v>3</v>
      </c>
      <c r="CF55" s="3" t="s">
        <v>4520</v>
      </c>
      <c r="CG55" s="3">
        <v>3</v>
      </c>
      <c r="CH55" s="3" t="s">
        <v>4521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</row>
    <row r="56" spans="1:131" x14ac:dyDescent="0.25">
      <c r="A56" s="2" t="s">
        <v>3781</v>
      </c>
      <c r="B56" s="2" t="s">
        <v>2474</v>
      </c>
      <c r="C56" s="3">
        <v>1</v>
      </c>
      <c r="D56" s="3" t="s">
        <v>299</v>
      </c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>
        <v>1</v>
      </c>
      <c r="BX56" s="3" t="s">
        <v>841</v>
      </c>
      <c r="BY56" s="3">
        <v>1</v>
      </c>
      <c r="BZ56" s="3" t="s">
        <v>730</v>
      </c>
      <c r="CA56" s="3">
        <v>1</v>
      </c>
      <c r="CB56" s="3" t="s">
        <v>841</v>
      </c>
      <c r="CC56" s="3">
        <v>1</v>
      </c>
      <c r="CD56" s="3" t="s">
        <v>731</v>
      </c>
      <c r="CE56" s="3">
        <v>1</v>
      </c>
      <c r="CF56" s="3" t="s">
        <v>732</v>
      </c>
      <c r="CG56" s="3">
        <v>1</v>
      </c>
      <c r="CH56" s="3" t="s">
        <v>733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>
        <v>1</v>
      </c>
      <c r="DW56" s="3" t="s">
        <v>1436</v>
      </c>
      <c r="DX56" s="3"/>
      <c r="DY56" s="3"/>
      <c r="DZ56" s="3"/>
      <c r="EA56" s="3"/>
    </row>
    <row r="57" spans="1:131" x14ac:dyDescent="0.25">
      <c r="A57" s="2" t="s">
        <v>4537</v>
      </c>
      <c r="B57" s="2" t="s">
        <v>1640</v>
      </c>
      <c r="C57" s="3">
        <v>100</v>
      </c>
      <c r="D57" s="3" t="s">
        <v>829</v>
      </c>
      <c r="E57" s="3">
        <v>100</v>
      </c>
      <c r="F57" s="3" t="s">
        <v>829</v>
      </c>
      <c r="G57" s="3">
        <v>100</v>
      </c>
      <c r="H57" s="3" t="s">
        <v>829</v>
      </c>
      <c r="J57" s="3" t="s">
        <v>1032</v>
      </c>
      <c r="L57" s="3" t="s">
        <v>1033</v>
      </c>
      <c r="M57" s="3">
        <v>100</v>
      </c>
      <c r="N57" s="3" t="s">
        <v>829</v>
      </c>
      <c r="P57" s="3" t="s">
        <v>1034</v>
      </c>
      <c r="R57" s="3" t="s">
        <v>1035</v>
      </c>
      <c r="V57" s="3" t="s">
        <v>1032</v>
      </c>
      <c r="X57" s="3" t="s">
        <v>1036</v>
      </c>
      <c r="Z57" s="3" t="s">
        <v>1042</v>
      </c>
      <c r="AB57" s="3" t="s">
        <v>1037</v>
      </c>
      <c r="AD57" s="3" t="s">
        <v>1038</v>
      </c>
      <c r="AF57" s="3" t="s">
        <v>1037</v>
      </c>
      <c r="AL57" s="3" t="s">
        <v>1039</v>
      </c>
      <c r="AM57" s="3"/>
      <c r="AN57" s="3" t="s">
        <v>1040</v>
      </c>
      <c r="AO57" s="3"/>
      <c r="AP57" s="3" t="s">
        <v>1041</v>
      </c>
      <c r="AQ57" s="3"/>
      <c r="AR57" s="3" t="s">
        <v>1040</v>
      </c>
      <c r="AS57" s="3"/>
      <c r="AT57" s="3"/>
      <c r="AU57" s="3"/>
      <c r="AV57" s="3"/>
      <c r="AW57" s="3"/>
      <c r="AX57" s="3" t="s">
        <v>1042</v>
      </c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>
        <v>100</v>
      </c>
      <c r="BX57" s="3" t="s">
        <v>829</v>
      </c>
      <c r="BY57" s="3">
        <v>100</v>
      </c>
      <c r="BZ57" s="3" t="s">
        <v>829</v>
      </c>
      <c r="CA57" s="3">
        <v>100</v>
      </c>
      <c r="CB57" s="3" t="s">
        <v>829</v>
      </c>
      <c r="CC57" s="3">
        <v>100</v>
      </c>
      <c r="CD57" s="3" t="s">
        <v>829</v>
      </c>
      <c r="CE57" s="3">
        <v>100</v>
      </c>
      <c r="CF57" s="3" t="s">
        <v>829</v>
      </c>
      <c r="CG57" s="3">
        <v>100</v>
      </c>
      <c r="CH57" s="3" t="s">
        <v>829</v>
      </c>
      <c r="CI57" s="3"/>
      <c r="CJ57" s="3" t="s">
        <v>1043</v>
      </c>
      <c r="CK57" s="3"/>
      <c r="CL57" s="3" t="s">
        <v>1044</v>
      </c>
      <c r="CM57" s="3"/>
      <c r="CN57" s="3" t="s">
        <v>1043</v>
      </c>
      <c r="CO57" s="3"/>
      <c r="CP57" s="3" t="s">
        <v>680</v>
      </c>
      <c r="CQ57" s="3"/>
      <c r="CR57" s="3" t="s">
        <v>681</v>
      </c>
      <c r="CS57" s="3"/>
      <c r="CT57" s="3" t="s">
        <v>1045</v>
      </c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>
        <v>1</v>
      </c>
      <c r="DV57" s="3"/>
      <c r="DW57" s="3" t="s">
        <v>1046</v>
      </c>
      <c r="DX57" s="3"/>
      <c r="DY57" s="3"/>
      <c r="DZ57" s="3"/>
      <c r="EA57" s="3"/>
    </row>
    <row r="58" spans="1:131" x14ac:dyDescent="0.25">
      <c r="A58" s="2" t="s">
        <v>4538</v>
      </c>
      <c r="B58" s="2" t="s">
        <v>4636</v>
      </c>
      <c r="C58" s="3">
        <v>2</v>
      </c>
      <c r="D58" s="3" t="s">
        <v>4627</v>
      </c>
      <c r="E58" s="3">
        <v>2</v>
      </c>
      <c r="F58" s="3" t="s">
        <v>4628</v>
      </c>
      <c r="G58" s="3">
        <v>2</v>
      </c>
      <c r="H58" s="3" t="s">
        <v>4629</v>
      </c>
      <c r="M58" s="3">
        <v>2</v>
      </c>
      <c r="N58" s="3" t="s">
        <v>4630</v>
      </c>
      <c r="O58" s="3">
        <v>1</v>
      </c>
      <c r="P58" s="3" t="s">
        <v>589</v>
      </c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>
        <v>2</v>
      </c>
      <c r="BX58" s="3" t="s">
        <v>4632</v>
      </c>
      <c r="BY58" s="3">
        <v>2</v>
      </c>
      <c r="BZ58" s="3" t="s">
        <v>4633</v>
      </c>
      <c r="CA58" s="3">
        <v>2</v>
      </c>
      <c r="CB58" s="3" t="s">
        <v>4632</v>
      </c>
      <c r="CC58" s="3">
        <v>2</v>
      </c>
      <c r="CD58" s="3" t="s">
        <v>4634</v>
      </c>
      <c r="CE58" s="3">
        <v>2</v>
      </c>
      <c r="CF58" s="3" t="s">
        <v>4635</v>
      </c>
      <c r="CG58" s="3">
        <v>2</v>
      </c>
      <c r="CH58" s="3" t="s">
        <v>4631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</row>
    <row r="59" spans="1:131" x14ac:dyDescent="0.25">
      <c r="A59" s="2" t="s">
        <v>1996</v>
      </c>
      <c r="B59" s="2" t="s">
        <v>1639</v>
      </c>
      <c r="C59" s="3">
        <v>100</v>
      </c>
      <c r="D59" s="3" t="s">
        <v>829</v>
      </c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>
        <v>100</v>
      </c>
      <c r="BX59" s="3" t="s">
        <v>829</v>
      </c>
      <c r="BY59" s="3">
        <v>100</v>
      </c>
      <c r="BZ59" s="3" t="s">
        <v>829</v>
      </c>
      <c r="CA59" s="3">
        <v>100</v>
      </c>
      <c r="CB59" s="3" t="s">
        <v>829</v>
      </c>
      <c r="CC59" s="3">
        <v>100</v>
      </c>
      <c r="CD59" s="3" t="s">
        <v>829</v>
      </c>
      <c r="CE59" s="3">
        <v>100</v>
      </c>
      <c r="CF59" s="3" t="s">
        <v>829</v>
      </c>
      <c r="CG59" s="3">
        <v>100</v>
      </c>
      <c r="CH59" s="3" t="s">
        <v>829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>
        <v>1</v>
      </c>
      <c r="DW59" s="3" t="s">
        <v>2223</v>
      </c>
      <c r="DX59" s="3"/>
      <c r="DY59" s="3"/>
      <c r="DZ59" s="3"/>
      <c r="EA59" s="3"/>
    </row>
    <row r="60" spans="1:131" x14ac:dyDescent="0.25">
      <c r="A60" s="2" t="s">
        <v>3783</v>
      </c>
      <c r="B60" s="2" t="s">
        <v>1435</v>
      </c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>
        <v>4</v>
      </c>
      <c r="DW60" s="3" t="s">
        <v>3858</v>
      </c>
      <c r="DX60" s="3"/>
      <c r="DY60" s="3"/>
      <c r="DZ60" s="3"/>
      <c r="EA60" s="3"/>
    </row>
    <row r="61" spans="1:131" x14ac:dyDescent="0.25">
      <c r="A61" s="2" t="s">
        <v>4435</v>
      </c>
      <c r="B61" s="2" t="s">
        <v>4514</v>
      </c>
      <c r="C61" s="3">
        <v>2</v>
      </c>
      <c r="D61" s="3" t="s">
        <v>2942</v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>
        <v>2</v>
      </c>
      <c r="BX61" s="3" t="s">
        <v>2946</v>
      </c>
      <c r="BY61" s="3">
        <v>2</v>
      </c>
      <c r="BZ61" s="3" t="s">
        <v>2947</v>
      </c>
      <c r="CA61" s="3">
        <v>2</v>
      </c>
      <c r="CB61" s="3" t="s">
        <v>2946</v>
      </c>
      <c r="CC61" s="3">
        <v>2</v>
      </c>
      <c r="CD61" s="3" t="s">
        <v>2948</v>
      </c>
      <c r="CE61" s="3">
        <v>2</v>
      </c>
      <c r="CF61" s="3" t="s">
        <v>2949</v>
      </c>
      <c r="CG61" s="3">
        <v>2</v>
      </c>
      <c r="CH61" s="3" t="s">
        <v>2950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</row>
    <row r="62" spans="1:131" x14ac:dyDescent="0.25">
      <c r="A62" s="2" t="s">
        <v>1128</v>
      </c>
      <c r="B62" s="2" t="s">
        <v>1058</v>
      </c>
      <c r="O62" s="3">
        <v>1</v>
      </c>
      <c r="P62" s="3" t="s">
        <v>1059</v>
      </c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>
        <v>1</v>
      </c>
      <c r="BX62" s="3" t="s">
        <v>1060</v>
      </c>
      <c r="BY62" s="3">
        <v>1</v>
      </c>
      <c r="BZ62" s="3" t="s">
        <v>1061</v>
      </c>
      <c r="CA62" s="3">
        <v>1</v>
      </c>
      <c r="CB62" s="3" t="s">
        <v>1060</v>
      </c>
      <c r="CC62" s="3">
        <v>1</v>
      </c>
      <c r="CD62" s="3" t="s">
        <v>1062</v>
      </c>
      <c r="CE62" s="3">
        <v>1</v>
      </c>
      <c r="CF62" s="3" t="s">
        <v>1063</v>
      </c>
      <c r="CG62" s="3">
        <v>1</v>
      </c>
      <c r="CH62" s="3" t="s">
        <v>1064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 t="s">
        <v>4891</v>
      </c>
      <c r="DX62" s="3"/>
      <c r="DY62" s="3"/>
      <c r="DZ62" s="3"/>
      <c r="EA62" s="3"/>
    </row>
    <row r="63" spans="1:131" x14ac:dyDescent="0.25">
      <c r="A63" s="2" t="s">
        <v>4571</v>
      </c>
      <c r="B63" s="2" t="s">
        <v>4637</v>
      </c>
      <c r="C63" s="3">
        <v>100</v>
      </c>
      <c r="D63" s="3" t="s">
        <v>829</v>
      </c>
      <c r="E63" s="3">
        <v>100</v>
      </c>
      <c r="F63" s="3" t="s">
        <v>829</v>
      </c>
      <c r="G63" s="3">
        <v>100</v>
      </c>
      <c r="H63" s="3" t="s">
        <v>829</v>
      </c>
      <c r="O63" s="3">
        <v>100</v>
      </c>
      <c r="P63" s="3" t="s">
        <v>829</v>
      </c>
      <c r="Q63" s="3">
        <v>100</v>
      </c>
      <c r="R63" s="3" t="s">
        <v>829</v>
      </c>
      <c r="S63" s="3">
        <v>100</v>
      </c>
      <c r="T63" s="3" t="s">
        <v>829</v>
      </c>
      <c r="U63" s="3">
        <v>2</v>
      </c>
      <c r="V63" s="3" t="s">
        <v>2152</v>
      </c>
      <c r="W63" s="3">
        <v>2</v>
      </c>
      <c r="X63" s="3" t="s">
        <v>2153</v>
      </c>
      <c r="Y63" s="3">
        <v>2</v>
      </c>
      <c r="Z63" s="3" t="s">
        <v>2154</v>
      </c>
      <c r="AA63" s="3">
        <v>100</v>
      </c>
      <c r="AB63" s="3" t="s">
        <v>829</v>
      </c>
      <c r="AC63" s="3">
        <v>100</v>
      </c>
      <c r="AD63" s="3" t="s">
        <v>829</v>
      </c>
      <c r="AE63" s="3">
        <v>100</v>
      </c>
      <c r="AF63" s="3" t="s">
        <v>829</v>
      </c>
      <c r="AL63" s="3"/>
      <c r="AM63" s="3">
        <v>100</v>
      </c>
      <c r="AN63" s="3" t="s">
        <v>829</v>
      </c>
      <c r="AO63" s="3">
        <v>100</v>
      </c>
      <c r="AP63" s="3" t="s">
        <v>829</v>
      </c>
      <c r="AQ63" s="3">
        <v>100</v>
      </c>
      <c r="AR63" s="3" t="s">
        <v>829</v>
      </c>
      <c r="AS63" s="3">
        <v>2</v>
      </c>
      <c r="AT63" s="3" t="s">
        <v>2157</v>
      </c>
      <c r="AU63" s="3">
        <v>2</v>
      </c>
      <c r="AV63" s="3" t="s">
        <v>2158</v>
      </c>
      <c r="AW63" s="3">
        <v>2</v>
      </c>
      <c r="AX63" s="3" t="s">
        <v>2154</v>
      </c>
      <c r="AY63" s="3">
        <v>100</v>
      </c>
      <c r="AZ63" s="3" t="s">
        <v>829</v>
      </c>
      <c r="BA63" s="3">
        <v>100</v>
      </c>
      <c r="BB63" s="3" t="s">
        <v>829</v>
      </c>
      <c r="BC63" s="3">
        <v>100</v>
      </c>
      <c r="BD63" s="3" t="s">
        <v>829</v>
      </c>
      <c r="BE63" s="3"/>
      <c r="BF63" s="3"/>
      <c r="BG63" s="3"/>
      <c r="BH63" s="3"/>
      <c r="BI63" s="3"/>
      <c r="BJ63" s="3"/>
      <c r="BK63" s="3">
        <v>100</v>
      </c>
      <c r="BL63" s="3" t="s">
        <v>829</v>
      </c>
      <c r="BM63" s="3">
        <v>100</v>
      </c>
      <c r="BN63" s="3" t="s">
        <v>829</v>
      </c>
      <c r="BO63" s="3">
        <v>100</v>
      </c>
      <c r="BP63" s="3" t="s">
        <v>829</v>
      </c>
      <c r="BQ63" s="3"/>
      <c r="BR63" s="3"/>
      <c r="BS63" s="3"/>
      <c r="BT63" s="3"/>
      <c r="BU63" s="3"/>
      <c r="BV63" s="3"/>
      <c r="BW63" s="3">
        <v>100</v>
      </c>
      <c r="BX63" s="3" t="s">
        <v>829</v>
      </c>
      <c r="BY63" s="3">
        <v>100</v>
      </c>
      <c r="BZ63" s="3" t="s">
        <v>829</v>
      </c>
      <c r="CA63" s="3">
        <v>100</v>
      </c>
      <c r="CB63" s="3" t="s">
        <v>829</v>
      </c>
      <c r="CC63" s="3">
        <v>2</v>
      </c>
      <c r="CD63" s="3" t="s">
        <v>2159</v>
      </c>
      <c r="CE63" s="3">
        <v>2</v>
      </c>
      <c r="CF63" s="3" t="s">
        <v>2160</v>
      </c>
      <c r="CG63" s="3">
        <v>2</v>
      </c>
      <c r="CH63" s="3" t="s">
        <v>2161</v>
      </c>
      <c r="CI63" s="3">
        <v>100</v>
      </c>
      <c r="CJ63" s="3" t="s">
        <v>829</v>
      </c>
      <c r="CK63" s="3">
        <v>100</v>
      </c>
      <c r="CL63" s="3" t="s">
        <v>829</v>
      </c>
      <c r="CM63" s="3">
        <v>100</v>
      </c>
      <c r="CN63" s="3" t="s">
        <v>829</v>
      </c>
      <c r="CO63" s="3">
        <v>2</v>
      </c>
      <c r="CP63" s="3" t="s">
        <v>2164</v>
      </c>
      <c r="CQ63" s="3">
        <v>2</v>
      </c>
      <c r="CR63" s="3" t="s">
        <v>2165</v>
      </c>
      <c r="CS63" s="3">
        <v>2</v>
      </c>
      <c r="CT63" s="3" t="s">
        <v>2166</v>
      </c>
      <c r="CU63" s="3">
        <v>100</v>
      </c>
      <c r="CV63" s="3" t="s">
        <v>829</v>
      </c>
      <c r="CW63" s="3">
        <v>100</v>
      </c>
      <c r="CX63" s="3" t="s">
        <v>829</v>
      </c>
      <c r="CY63" s="3">
        <v>100</v>
      </c>
      <c r="CZ63" s="3" t="s">
        <v>829</v>
      </c>
      <c r="DA63" s="3">
        <v>2</v>
      </c>
      <c r="DB63" s="3" t="s">
        <v>2169</v>
      </c>
      <c r="DC63" s="3">
        <v>2</v>
      </c>
      <c r="DD63" s="3" t="s">
        <v>2170</v>
      </c>
      <c r="DE63" s="3">
        <v>2</v>
      </c>
      <c r="DF63" s="3" t="s">
        <v>2171</v>
      </c>
      <c r="DG63" s="3">
        <v>100</v>
      </c>
      <c r="DH63" s="3" t="s">
        <v>829</v>
      </c>
      <c r="DI63" s="3">
        <v>100</v>
      </c>
      <c r="DJ63" s="3" t="s">
        <v>829</v>
      </c>
      <c r="DK63" s="3">
        <v>100</v>
      </c>
      <c r="DL63" s="3" t="s">
        <v>829</v>
      </c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</row>
    <row r="64" spans="1:131" x14ac:dyDescent="0.25">
      <c r="A64" s="2" t="s">
        <v>4439</v>
      </c>
      <c r="B64" s="2" t="s">
        <v>4522</v>
      </c>
      <c r="E64" s="3">
        <v>2</v>
      </c>
      <c r="F64" s="3" t="s">
        <v>4523</v>
      </c>
      <c r="G64" s="3">
        <v>2</v>
      </c>
      <c r="H64" s="3" t="s">
        <v>4524</v>
      </c>
      <c r="M64" s="3">
        <v>2</v>
      </c>
      <c r="N64" s="3" t="s">
        <v>4525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</row>
    <row r="65" spans="1:132" x14ac:dyDescent="0.25">
      <c r="A65" s="2" t="s">
        <v>4101</v>
      </c>
      <c r="B65" s="2" t="s">
        <v>1058</v>
      </c>
      <c r="O65" s="3">
        <v>1</v>
      </c>
      <c r="P65" s="3" t="s">
        <v>1059</v>
      </c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>
        <v>1</v>
      </c>
      <c r="BX65" s="3" t="s">
        <v>1060</v>
      </c>
      <c r="BY65" s="3">
        <v>1</v>
      </c>
      <c r="BZ65" s="3" t="s">
        <v>1061</v>
      </c>
      <c r="CA65" s="3">
        <v>1</v>
      </c>
      <c r="CB65" s="3" t="s">
        <v>1060</v>
      </c>
      <c r="CC65" s="3">
        <v>1</v>
      </c>
      <c r="CD65" s="3" t="s">
        <v>1062</v>
      </c>
      <c r="CE65" s="3">
        <v>1</v>
      </c>
      <c r="CF65" s="3" t="s">
        <v>1063</v>
      </c>
      <c r="CG65" s="3">
        <v>1</v>
      </c>
      <c r="CH65" s="3" t="s">
        <v>1064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>
        <v>1</v>
      </c>
      <c r="DW65" s="3" t="s">
        <v>2111</v>
      </c>
      <c r="DX65" s="3"/>
      <c r="DY65" s="3"/>
      <c r="DZ65" s="3"/>
      <c r="EA65" s="3"/>
    </row>
    <row r="66" spans="1:132" x14ac:dyDescent="0.25">
      <c r="A66" s="2" t="s">
        <v>2356</v>
      </c>
      <c r="B66" s="2" t="s">
        <v>3865</v>
      </c>
      <c r="C66" s="3">
        <v>1</v>
      </c>
      <c r="D66" s="3" t="s">
        <v>34</v>
      </c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>
        <v>1</v>
      </c>
      <c r="BX66" s="3" t="s">
        <v>36</v>
      </c>
      <c r="BY66" s="3">
        <v>1</v>
      </c>
      <c r="BZ66" s="3" t="s">
        <v>35</v>
      </c>
      <c r="CA66" s="3">
        <v>1</v>
      </c>
      <c r="CB66" s="3" t="s">
        <v>36</v>
      </c>
      <c r="CC66" s="3">
        <v>1</v>
      </c>
      <c r="CD66" s="3" t="s">
        <v>7</v>
      </c>
      <c r="CE66" s="3">
        <v>1</v>
      </c>
      <c r="CF66" s="3" t="s">
        <v>8</v>
      </c>
      <c r="CG66" s="3">
        <v>1</v>
      </c>
      <c r="CH66" s="3" t="s">
        <v>33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</row>
    <row r="67" spans="1:132" x14ac:dyDescent="0.25">
      <c r="A67" s="2" t="s">
        <v>4581</v>
      </c>
      <c r="B67" s="2" t="s">
        <v>298</v>
      </c>
      <c r="C67" s="3">
        <v>1</v>
      </c>
      <c r="D67" s="3" t="s">
        <v>299</v>
      </c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>
        <v>1</v>
      </c>
      <c r="BX67" s="3" t="s">
        <v>841</v>
      </c>
      <c r="BY67" s="3">
        <v>1</v>
      </c>
      <c r="BZ67" s="3" t="s">
        <v>730</v>
      </c>
      <c r="CA67" s="3">
        <v>1</v>
      </c>
      <c r="CB67" s="3" t="s">
        <v>841</v>
      </c>
      <c r="CC67" s="3">
        <v>1</v>
      </c>
      <c r="CD67" s="3" t="s">
        <v>731</v>
      </c>
      <c r="CE67" s="3">
        <v>1</v>
      </c>
      <c r="CF67" s="3" t="s">
        <v>732</v>
      </c>
      <c r="CG67" s="3">
        <v>1</v>
      </c>
      <c r="CH67" s="3" t="s">
        <v>733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>
        <v>2</v>
      </c>
      <c r="DW67" s="3" t="s">
        <v>4889</v>
      </c>
      <c r="DX67" s="3"/>
      <c r="DY67" s="3"/>
      <c r="DZ67" s="3"/>
      <c r="EA67" s="3"/>
    </row>
    <row r="68" spans="1:132" x14ac:dyDescent="0.25">
      <c r="A68" s="2" t="s">
        <v>2363</v>
      </c>
      <c r="B68" s="2" t="s">
        <v>1435</v>
      </c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>
        <v>1</v>
      </c>
      <c r="DV68" s="3">
        <v>2</v>
      </c>
      <c r="DW68" s="3" t="s">
        <v>1436</v>
      </c>
      <c r="DX68" s="3"/>
      <c r="DY68" s="3"/>
      <c r="DZ68" s="3"/>
      <c r="EA68" s="3"/>
    </row>
    <row r="69" spans="1:132" x14ac:dyDescent="0.25">
      <c r="A69" s="2" t="s">
        <v>3</v>
      </c>
      <c r="B69" s="2" t="s">
        <v>2345</v>
      </c>
      <c r="D69" s="3" t="s">
        <v>4</v>
      </c>
      <c r="F69" s="3" t="s">
        <v>5</v>
      </c>
      <c r="H69" s="3" t="s">
        <v>6</v>
      </c>
      <c r="N69" s="3" t="s">
        <v>9</v>
      </c>
      <c r="P69" s="3" t="s">
        <v>738</v>
      </c>
      <c r="R69" s="3" t="s">
        <v>739</v>
      </c>
      <c r="T69" s="3" t="s">
        <v>740</v>
      </c>
      <c r="V69" s="3" t="s">
        <v>741</v>
      </c>
      <c r="X69" s="3" t="s">
        <v>742</v>
      </c>
      <c r="Z69" s="3" t="s">
        <v>743</v>
      </c>
      <c r="AL69" s="3"/>
      <c r="AM69" s="3"/>
      <c r="AN69" s="3" t="s">
        <v>744</v>
      </c>
      <c r="AO69" s="3"/>
      <c r="AP69" s="3" t="s">
        <v>745</v>
      </c>
      <c r="AQ69" s="3"/>
      <c r="AR69" s="3" t="s">
        <v>744</v>
      </c>
      <c r="AS69" s="3"/>
      <c r="AT69" s="3" t="s">
        <v>746</v>
      </c>
      <c r="AU69" s="3"/>
      <c r="AV69" s="3" t="s">
        <v>747</v>
      </c>
      <c r="AW69" s="3"/>
      <c r="AX69" s="3" t="s">
        <v>743</v>
      </c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 t="s">
        <v>688</v>
      </c>
      <c r="BY69" s="3"/>
      <c r="BZ69" s="3" t="s">
        <v>689</v>
      </c>
      <c r="CA69" s="3"/>
      <c r="CB69" s="3" t="s">
        <v>688</v>
      </c>
      <c r="CC69" s="3"/>
      <c r="CD69" s="3" t="s">
        <v>690</v>
      </c>
      <c r="CE69" s="3"/>
      <c r="CF69" s="3" t="s">
        <v>691</v>
      </c>
      <c r="CG69" s="3"/>
      <c r="CH69" s="3" t="s">
        <v>692</v>
      </c>
      <c r="CI69" s="3"/>
      <c r="CJ69" s="3" t="s">
        <v>748</v>
      </c>
      <c r="CK69" s="3"/>
      <c r="CL69" s="3" t="s">
        <v>749</v>
      </c>
      <c r="CM69" s="3"/>
      <c r="CN69" s="3" t="s">
        <v>748</v>
      </c>
      <c r="CO69" s="3"/>
      <c r="CP69" s="3" t="s">
        <v>750</v>
      </c>
      <c r="CQ69" s="3"/>
      <c r="CR69" s="3" t="s">
        <v>751</v>
      </c>
      <c r="CS69" s="3"/>
      <c r="CT69" s="3" t="s">
        <v>752</v>
      </c>
      <c r="CU69" s="3"/>
      <c r="CV69" s="3" t="s">
        <v>753</v>
      </c>
      <c r="CW69" s="3"/>
      <c r="CX69" s="3" t="s">
        <v>754</v>
      </c>
      <c r="CY69" s="3"/>
      <c r="CZ69" s="3" t="s">
        <v>753</v>
      </c>
      <c r="DA69" s="3"/>
      <c r="DB69" s="3" t="s">
        <v>755</v>
      </c>
      <c r="DC69" s="3"/>
      <c r="DD69" s="3" t="s">
        <v>757</v>
      </c>
      <c r="DE69" s="3"/>
      <c r="DF69" s="3" t="s">
        <v>756</v>
      </c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</row>
    <row r="70" spans="1:132" x14ac:dyDescent="0.25">
      <c r="A70" s="2" t="s">
        <v>4615</v>
      </c>
      <c r="B70" s="2" t="s">
        <v>1435</v>
      </c>
      <c r="C70" s="3">
        <v>2</v>
      </c>
      <c r="D70" s="3" t="s">
        <v>2501</v>
      </c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>
        <v>2</v>
      </c>
      <c r="BX70" s="3" t="s">
        <v>2502</v>
      </c>
      <c r="BY70" s="3">
        <v>2</v>
      </c>
      <c r="BZ70" s="3" t="s">
        <v>2503</v>
      </c>
      <c r="CA70" s="3">
        <v>2</v>
      </c>
      <c r="CB70" s="3" t="s">
        <v>2502</v>
      </c>
      <c r="CC70" s="3">
        <v>2</v>
      </c>
      <c r="CD70" s="3" t="s">
        <v>2504</v>
      </c>
      <c r="CE70" s="3">
        <v>2</v>
      </c>
      <c r="CF70" s="3" t="s">
        <v>2505</v>
      </c>
      <c r="CG70" s="3">
        <v>2</v>
      </c>
      <c r="CH70" s="3" t="s">
        <v>2506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>
        <v>2</v>
      </c>
      <c r="DW70" s="3" t="s">
        <v>4897</v>
      </c>
      <c r="DX70" s="3"/>
      <c r="DY70" s="3"/>
      <c r="DZ70" s="3"/>
      <c r="EA70" s="3"/>
    </row>
    <row r="71" spans="1:132" x14ac:dyDescent="0.25">
      <c r="A71" s="2" t="s">
        <v>3834</v>
      </c>
      <c r="B71" s="2" t="s">
        <v>3860</v>
      </c>
      <c r="C71" s="3">
        <v>1</v>
      </c>
      <c r="D71" s="3" t="s">
        <v>34</v>
      </c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>
        <v>1</v>
      </c>
      <c r="BX71" s="3" t="s">
        <v>36</v>
      </c>
      <c r="BY71" s="3">
        <v>1</v>
      </c>
      <c r="BZ71" s="3" t="s">
        <v>35</v>
      </c>
      <c r="CA71" s="3">
        <v>1</v>
      </c>
      <c r="CB71" s="3" t="s">
        <v>36</v>
      </c>
      <c r="CC71" s="3">
        <v>1</v>
      </c>
      <c r="CD71" s="3" t="s">
        <v>7</v>
      </c>
      <c r="CE71" s="3">
        <v>1</v>
      </c>
      <c r="CF71" s="3" t="s">
        <v>8</v>
      </c>
      <c r="CG71" s="3">
        <v>1</v>
      </c>
      <c r="CH71" s="3" t="s">
        <v>33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>
        <v>2</v>
      </c>
      <c r="DW71" s="3" t="s">
        <v>2111</v>
      </c>
      <c r="DX71" s="3"/>
      <c r="DY71" s="3"/>
      <c r="DZ71" s="3"/>
      <c r="EA71" s="3"/>
    </row>
    <row r="72" spans="1:132" x14ac:dyDescent="0.25">
      <c r="A72" s="2" t="s">
        <v>185</v>
      </c>
      <c r="B72" s="2" t="s">
        <v>1640</v>
      </c>
      <c r="C72" s="3">
        <v>100</v>
      </c>
      <c r="D72" s="3" t="s">
        <v>829</v>
      </c>
      <c r="E72" s="3">
        <v>100</v>
      </c>
      <c r="F72" s="3" t="s">
        <v>829</v>
      </c>
      <c r="G72" s="3">
        <v>100</v>
      </c>
      <c r="H72" s="3" t="s">
        <v>829</v>
      </c>
      <c r="M72" s="3">
        <v>100</v>
      </c>
      <c r="N72" s="3" t="s">
        <v>829</v>
      </c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>
        <v>100</v>
      </c>
      <c r="BX72" s="3" t="s">
        <v>829</v>
      </c>
      <c r="BY72" s="3">
        <v>100</v>
      </c>
      <c r="BZ72" s="3" t="s">
        <v>829</v>
      </c>
      <c r="CA72" s="3">
        <v>100</v>
      </c>
      <c r="CB72" s="3" t="s">
        <v>829</v>
      </c>
      <c r="CC72" s="3">
        <v>100</v>
      </c>
      <c r="CD72" s="3" t="s">
        <v>829</v>
      </c>
      <c r="CE72" s="3">
        <v>100</v>
      </c>
      <c r="CF72" s="3" t="s">
        <v>829</v>
      </c>
      <c r="CG72" s="3">
        <v>100</v>
      </c>
      <c r="CH72" s="3" t="s">
        <v>829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</row>
    <row r="73" spans="1:132" x14ac:dyDescent="0.25">
      <c r="A73" s="2" t="s">
        <v>859</v>
      </c>
      <c r="B73" s="2" t="s">
        <v>1343</v>
      </c>
      <c r="C73" s="3">
        <v>1</v>
      </c>
      <c r="D73" s="3" t="s">
        <v>596</v>
      </c>
      <c r="G73" s="3">
        <v>1</v>
      </c>
      <c r="H73" s="3" t="s">
        <v>865</v>
      </c>
      <c r="O73" s="3">
        <v>2</v>
      </c>
      <c r="P73" s="3" t="s">
        <v>862</v>
      </c>
      <c r="Q73" s="3">
        <v>2</v>
      </c>
      <c r="R73" s="3" t="s">
        <v>863</v>
      </c>
      <c r="S73" s="3">
        <v>2</v>
      </c>
      <c r="T73" s="3" t="s">
        <v>864</v>
      </c>
      <c r="U73" s="3">
        <v>2</v>
      </c>
      <c r="V73" s="3" t="s">
        <v>866</v>
      </c>
      <c r="W73" s="3">
        <v>2</v>
      </c>
      <c r="X73" s="3" t="s">
        <v>867</v>
      </c>
      <c r="Y73" s="3">
        <v>2</v>
      </c>
      <c r="Z73" s="3" t="s">
        <v>868</v>
      </c>
      <c r="AL73" s="3"/>
      <c r="AM73" s="3">
        <v>2</v>
      </c>
      <c r="AN73" s="3" t="s">
        <v>869</v>
      </c>
      <c r="AO73" s="3">
        <v>2</v>
      </c>
      <c r="AP73" s="3" t="s">
        <v>870</v>
      </c>
      <c r="AQ73" s="3">
        <v>2</v>
      </c>
      <c r="AR73" s="3" t="s">
        <v>869</v>
      </c>
      <c r="AS73" s="3">
        <v>2</v>
      </c>
      <c r="AT73" s="3" t="s">
        <v>871</v>
      </c>
      <c r="AU73" s="3">
        <v>2</v>
      </c>
      <c r="AV73" s="3" t="s">
        <v>872</v>
      </c>
      <c r="AW73" s="3">
        <v>2</v>
      </c>
      <c r="AX73" s="3" t="s">
        <v>873</v>
      </c>
      <c r="AY73" s="3">
        <v>2</v>
      </c>
      <c r="AZ73" s="3" t="s">
        <v>605</v>
      </c>
      <c r="BA73" s="3">
        <v>2</v>
      </c>
      <c r="BB73" s="3" t="s">
        <v>606</v>
      </c>
      <c r="BC73" s="3">
        <v>2</v>
      </c>
      <c r="BD73" s="3" t="s">
        <v>607</v>
      </c>
      <c r="BE73" s="3">
        <v>2</v>
      </c>
      <c r="BF73" s="3" t="s">
        <v>608</v>
      </c>
      <c r="BG73" s="3">
        <v>2</v>
      </c>
      <c r="BH73" s="3" t="s">
        <v>609</v>
      </c>
      <c r="BI73" s="3">
        <v>2</v>
      </c>
      <c r="BJ73" s="3" t="s">
        <v>610</v>
      </c>
      <c r="BK73" s="3">
        <v>2</v>
      </c>
      <c r="BL73" s="3" t="s">
        <v>612</v>
      </c>
      <c r="BM73" s="3">
        <v>2</v>
      </c>
      <c r="BN73" s="3" t="s">
        <v>613</v>
      </c>
      <c r="BO73" s="3">
        <v>2</v>
      </c>
      <c r="BP73" s="3" t="s">
        <v>612</v>
      </c>
      <c r="BQ73" s="3">
        <v>2</v>
      </c>
      <c r="BR73" s="3" t="s">
        <v>614</v>
      </c>
      <c r="BS73" s="3">
        <v>2</v>
      </c>
      <c r="BT73" s="3" t="s">
        <v>615</v>
      </c>
      <c r="BU73" s="3">
        <v>2</v>
      </c>
      <c r="BV73" s="3" t="s">
        <v>616</v>
      </c>
      <c r="BW73" s="3">
        <v>2</v>
      </c>
      <c r="BX73" s="3" t="s">
        <v>874</v>
      </c>
      <c r="BY73" s="3">
        <v>2</v>
      </c>
      <c r="BZ73" s="3" t="s">
        <v>875</v>
      </c>
      <c r="CA73" s="3">
        <v>2</v>
      </c>
      <c r="CB73" s="3" t="s">
        <v>874</v>
      </c>
      <c r="CC73" s="3">
        <v>2</v>
      </c>
      <c r="CD73" s="3" t="s">
        <v>876</v>
      </c>
      <c r="CE73" s="3">
        <v>2</v>
      </c>
      <c r="CF73" s="3" t="s">
        <v>877</v>
      </c>
      <c r="CG73" s="3">
        <v>2</v>
      </c>
      <c r="CH73" s="3" t="s">
        <v>878</v>
      </c>
      <c r="CI73" s="3">
        <v>2</v>
      </c>
      <c r="CJ73" s="3" t="s">
        <v>879</v>
      </c>
      <c r="CK73" s="3">
        <v>2</v>
      </c>
      <c r="CL73" s="3" t="s">
        <v>880</v>
      </c>
      <c r="CM73" s="3">
        <v>2</v>
      </c>
      <c r="CN73" s="3" t="s">
        <v>879</v>
      </c>
      <c r="CO73" s="3">
        <v>2</v>
      </c>
      <c r="CP73" s="3" t="s">
        <v>881</v>
      </c>
      <c r="CQ73" s="3">
        <v>2</v>
      </c>
      <c r="CR73" s="3" t="s">
        <v>882</v>
      </c>
      <c r="CS73" s="3">
        <v>2</v>
      </c>
      <c r="CT73" s="3" t="s">
        <v>883</v>
      </c>
      <c r="CU73" s="3">
        <v>2</v>
      </c>
      <c r="CV73" s="3" t="s">
        <v>884</v>
      </c>
      <c r="CW73" s="3">
        <v>2</v>
      </c>
      <c r="CX73" s="3" t="s">
        <v>885</v>
      </c>
      <c r="CY73" s="3">
        <v>2</v>
      </c>
      <c r="CZ73" s="3" t="s">
        <v>884</v>
      </c>
      <c r="DA73" s="3">
        <v>2</v>
      </c>
      <c r="DB73" s="3" t="s">
        <v>886</v>
      </c>
      <c r="DC73" s="3">
        <v>2</v>
      </c>
      <c r="DD73" s="3" t="s">
        <v>887</v>
      </c>
      <c r="DE73" s="3">
        <v>2</v>
      </c>
      <c r="DF73" s="3" t="s">
        <v>873</v>
      </c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>
        <v>1</v>
      </c>
      <c r="DV73" s="3">
        <v>2</v>
      </c>
      <c r="DW73" s="3" t="s">
        <v>860</v>
      </c>
      <c r="DX73" s="3"/>
      <c r="DY73" s="3"/>
      <c r="DZ73" s="3"/>
      <c r="EA73" s="3"/>
    </row>
    <row r="74" spans="1:132" x14ac:dyDescent="0.25">
      <c r="A74" s="2" t="s">
        <v>1122</v>
      </c>
      <c r="B74" s="2" t="s">
        <v>2231</v>
      </c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2" t="s">
        <v>1427</v>
      </c>
    </row>
    <row r="75" spans="1:132" x14ac:dyDescent="0.25">
      <c r="A75" s="2" t="s">
        <v>221</v>
      </c>
      <c r="B75" s="2" t="s">
        <v>2232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2" t="s">
        <v>1244</v>
      </c>
    </row>
    <row r="76" spans="1:132" x14ac:dyDescent="0.25">
      <c r="A76" s="2" t="s">
        <v>1717</v>
      </c>
      <c r="B76" s="2" t="s">
        <v>1639</v>
      </c>
      <c r="C76" s="3">
        <v>100</v>
      </c>
      <c r="D76" s="3" t="s">
        <v>829</v>
      </c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>
        <v>100</v>
      </c>
      <c r="BX76" s="3" t="s">
        <v>829</v>
      </c>
      <c r="BY76" s="3">
        <v>100</v>
      </c>
      <c r="BZ76" s="3" t="s">
        <v>829</v>
      </c>
      <c r="CA76" s="3">
        <v>100</v>
      </c>
      <c r="CB76" s="3" t="s">
        <v>829</v>
      </c>
      <c r="CC76" s="3">
        <v>100</v>
      </c>
      <c r="CD76" s="3" t="s">
        <v>829</v>
      </c>
      <c r="CE76" s="3">
        <v>100</v>
      </c>
      <c r="CF76" s="3" t="s">
        <v>829</v>
      </c>
      <c r="CG76" s="3">
        <v>100</v>
      </c>
      <c r="CH76" s="3" t="s">
        <v>829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</row>
    <row r="77" spans="1:132" x14ac:dyDescent="0.25">
      <c r="A77" s="2" t="s">
        <v>53</v>
      </c>
      <c r="B77" s="2" t="s">
        <v>302</v>
      </c>
      <c r="D77" s="3" t="s">
        <v>303</v>
      </c>
      <c r="F77" s="3" t="s">
        <v>20</v>
      </c>
      <c r="H77" s="3" t="s">
        <v>19</v>
      </c>
      <c r="N77" s="3" t="s">
        <v>23</v>
      </c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 t="s">
        <v>830</v>
      </c>
      <c r="BY77" s="3"/>
      <c r="BZ77" s="3" t="s">
        <v>831</v>
      </c>
      <c r="CA77" s="3"/>
      <c r="CB77" s="3" t="s">
        <v>830</v>
      </c>
      <c r="CC77" s="3"/>
      <c r="CD77" s="3" t="s">
        <v>17</v>
      </c>
      <c r="CE77" s="3"/>
      <c r="CF77" s="3" t="s">
        <v>18</v>
      </c>
      <c r="CG77" s="3"/>
      <c r="CH77" s="3" t="s">
        <v>1643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</row>
    <row r="78" spans="1:132" x14ac:dyDescent="0.25">
      <c r="A78" s="2" t="s">
        <v>1774</v>
      </c>
      <c r="B78" s="2" t="s">
        <v>2593</v>
      </c>
      <c r="C78" s="3">
        <v>1</v>
      </c>
      <c r="D78" s="3" t="s">
        <v>299</v>
      </c>
      <c r="E78" s="3">
        <v>2</v>
      </c>
      <c r="F78" s="3" t="s">
        <v>2594</v>
      </c>
      <c r="G78" s="3">
        <v>2</v>
      </c>
      <c r="H78" s="3" t="s">
        <v>2595</v>
      </c>
      <c r="M78" s="3">
        <v>2</v>
      </c>
      <c r="N78" s="3" t="s">
        <v>2596</v>
      </c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>
        <v>1</v>
      </c>
      <c r="BX78" s="3" t="s">
        <v>841</v>
      </c>
      <c r="BY78" s="3">
        <v>1</v>
      </c>
      <c r="BZ78" s="3" t="s">
        <v>730</v>
      </c>
      <c r="CA78" s="3">
        <v>1</v>
      </c>
      <c r="CB78" s="3" t="s">
        <v>841</v>
      </c>
      <c r="CC78" s="3">
        <v>1</v>
      </c>
      <c r="CD78" s="3" t="s">
        <v>731</v>
      </c>
      <c r="CE78" s="3">
        <v>1</v>
      </c>
      <c r="CF78" s="3" t="s">
        <v>732</v>
      </c>
      <c r="CG78" s="3">
        <v>1</v>
      </c>
      <c r="CH78" s="3" t="s">
        <v>733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>
        <v>1</v>
      </c>
      <c r="DW78" s="3" t="s">
        <v>2111</v>
      </c>
      <c r="DX78" s="3"/>
      <c r="DY78" s="3"/>
      <c r="DZ78" s="3"/>
      <c r="EA78" s="3"/>
    </row>
    <row r="79" spans="1:132" x14ac:dyDescent="0.25">
      <c r="A79" s="2" t="s">
        <v>1785</v>
      </c>
      <c r="B79" s="2" t="s">
        <v>2224</v>
      </c>
      <c r="C79" s="3">
        <v>1</v>
      </c>
      <c r="D79" s="3" t="s">
        <v>299</v>
      </c>
      <c r="E79" s="3">
        <v>2</v>
      </c>
      <c r="F79" s="3" t="s">
        <v>2225</v>
      </c>
      <c r="G79" s="3">
        <v>2</v>
      </c>
      <c r="H79" s="3" t="s">
        <v>2226</v>
      </c>
      <c r="M79" s="3">
        <v>2</v>
      </c>
      <c r="N79" s="3" t="s">
        <v>2227</v>
      </c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>
        <v>1</v>
      </c>
      <c r="BX79" s="3" t="s">
        <v>841</v>
      </c>
      <c r="BY79" s="3">
        <v>1</v>
      </c>
      <c r="BZ79" s="3" t="s">
        <v>730</v>
      </c>
      <c r="CA79" s="3">
        <v>1</v>
      </c>
      <c r="CB79" s="3" t="s">
        <v>841</v>
      </c>
      <c r="CC79" s="3">
        <v>1</v>
      </c>
      <c r="CD79" s="3" t="s">
        <v>731</v>
      </c>
      <c r="CE79" s="3">
        <v>1</v>
      </c>
      <c r="CF79" s="3" t="s">
        <v>732</v>
      </c>
      <c r="CG79" s="3">
        <v>1</v>
      </c>
      <c r="CH79" s="3" t="s">
        <v>733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</row>
    <row r="80" spans="1:132" x14ac:dyDescent="0.25">
      <c r="A80" s="2" t="s">
        <v>1485</v>
      </c>
      <c r="B80" s="2" t="s">
        <v>1641</v>
      </c>
      <c r="C80" s="3">
        <v>100</v>
      </c>
      <c r="D80" s="3" t="s">
        <v>829</v>
      </c>
      <c r="E80" s="3">
        <v>100</v>
      </c>
      <c r="F80" s="3" t="s">
        <v>829</v>
      </c>
      <c r="I80" s="3">
        <v>100</v>
      </c>
      <c r="J80" s="3" t="s">
        <v>829</v>
      </c>
      <c r="K80" s="3">
        <v>100</v>
      </c>
      <c r="L80" s="3" t="s">
        <v>829</v>
      </c>
      <c r="O80" s="3">
        <v>100</v>
      </c>
      <c r="P80" s="3" t="s">
        <v>829</v>
      </c>
      <c r="Q80" s="3">
        <v>100</v>
      </c>
      <c r="R80" s="3" t="s">
        <v>829</v>
      </c>
      <c r="U80" s="3">
        <v>100</v>
      </c>
      <c r="V80" s="3" t="s">
        <v>829</v>
      </c>
      <c r="W80" s="3">
        <v>100</v>
      </c>
      <c r="X80" s="3" t="s">
        <v>829</v>
      </c>
      <c r="AA80" s="3">
        <v>100</v>
      </c>
      <c r="AB80" s="3" t="s">
        <v>829</v>
      </c>
      <c r="AC80" s="3">
        <v>100</v>
      </c>
      <c r="AD80" s="3" t="s">
        <v>829</v>
      </c>
      <c r="AG80" s="3">
        <v>100</v>
      </c>
      <c r="AH80" s="3" t="s">
        <v>829</v>
      </c>
      <c r="AI80" s="3">
        <v>100</v>
      </c>
      <c r="AJ80" s="3" t="s">
        <v>829</v>
      </c>
      <c r="AL80" s="3"/>
      <c r="AM80" s="3">
        <v>100</v>
      </c>
      <c r="AN80" s="3" t="s">
        <v>829</v>
      </c>
      <c r="AO80" s="3">
        <v>100</v>
      </c>
      <c r="AP80" s="3" t="s">
        <v>829</v>
      </c>
      <c r="AQ80" s="3"/>
      <c r="AR80" s="3"/>
      <c r="AS80" s="3">
        <v>100</v>
      </c>
      <c r="AT80" s="3" t="s">
        <v>829</v>
      </c>
      <c r="AU80" s="3">
        <v>100</v>
      </c>
      <c r="AV80" s="3" t="s">
        <v>829</v>
      </c>
      <c r="AW80" s="3"/>
      <c r="AX80" s="3"/>
      <c r="AY80" s="3">
        <v>100</v>
      </c>
      <c r="AZ80" s="3" t="s">
        <v>829</v>
      </c>
      <c r="BA80" s="3">
        <v>100</v>
      </c>
      <c r="BB80" s="3" t="s">
        <v>829</v>
      </c>
      <c r="BC80" s="3"/>
      <c r="BD80" s="3"/>
      <c r="BE80" s="3">
        <v>100</v>
      </c>
      <c r="BF80" s="3" t="s">
        <v>829</v>
      </c>
      <c r="BG80" s="3">
        <v>100</v>
      </c>
      <c r="BH80" s="3" t="s">
        <v>829</v>
      </c>
      <c r="BI80" s="3"/>
      <c r="BJ80" s="3"/>
      <c r="BK80" s="3">
        <v>100</v>
      </c>
      <c r="BL80" s="3" t="s">
        <v>829</v>
      </c>
      <c r="BM80" s="3">
        <v>100</v>
      </c>
      <c r="BN80" s="3" t="s">
        <v>829</v>
      </c>
      <c r="BO80" s="3"/>
      <c r="BP80" s="3"/>
      <c r="BQ80" s="3">
        <v>100</v>
      </c>
      <c r="BR80" s="3" t="s">
        <v>829</v>
      </c>
      <c r="BS80" s="3">
        <v>100</v>
      </c>
      <c r="BT80" s="3" t="s">
        <v>829</v>
      </c>
      <c r="BU80" s="3"/>
      <c r="BV80" s="3"/>
      <c r="BW80" s="3">
        <v>100</v>
      </c>
      <c r="BX80" s="3" t="s">
        <v>829</v>
      </c>
      <c r="BY80" s="3">
        <v>100</v>
      </c>
      <c r="BZ80" s="3" t="s">
        <v>829</v>
      </c>
      <c r="CA80" s="3">
        <v>1</v>
      </c>
      <c r="CB80" s="3" t="s">
        <v>1053</v>
      </c>
      <c r="CC80" s="3">
        <v>100</v>
      </c>
      <c r="CD80" s="3" t="s">
        <v>829</v>
      </c>
      <c r="CE80" s="3">
        <v>100</v>
      </c>
      <c r="CF80" s="3" t="s">
        <v>829</v>
      </c>
      <c r="CG80" s="3">
        <v>1</v>
      </c>
      <c r="CH80" s="3" t="s">
        <v>1056</v>
      </c>
      <c r="CI80" s="3">
        <v>100</v>
      </c>
      <c r="CJ80" s="3" t="s">
        <v>829</v>
      </c>
      <c r="CK80" s="3">
        <v>100</v>
      </c>
      <c r="CL80" s="3" t="s">
        <v>829</v>
      </c>
      <c r="CM80" s="3"/>
      <c r="CN80" s="3"/>
      <c r="CO80" s="3">
        <v>100</v>
      </c>
      <c r="CP80" s="3" t="s">
        <v>829</v>
      </c>
      <c r="CQ80" s="3">
        <v>100</v>
      </c>
      <c r="CR80" s="3" t="s">
        <v>829</v>
      </c>
      <c r="CS80" s="3"/>
      <c r="CT80" s="3"/>
      <c r="CU80" s="3">
        <v>100</v>
      </c>
      <c r="CV80" s="3" t="s">
        <v>829</v>
      </c>
      <c r="CW80" s="3">
        <v>100</v>
      </c>
      <c r="CX80" s="3" t="s">
        <v>829</v>
      </c>
      <c r="CY80" s="3"/>
      <c r="CZ80" s="3"/>
      <c r="DA80" s="3">
        <v>100</v>
      </c>
      <c r="DB80" s="3" t="s">
        <v>829</v>
      </c>
      <c r="DC80" s="3">
        <v>100</v>
      </c>
      <c r="DD80" s="3" t="s">
        <v>829</v>
      </c>
      <c r="DE80" s="3"/>
      <c r="DF80" s="3"/>
      <c r="DG80" s="3">
        <v>100</v>
      </c>
      <c r="DH80" s="3" t="s">
        <v>829</v>
      </c>
      <c r="DI80" s="3">
        <v>100</v>
      </c>
      <c r="DJ80" s="3" t="s">
        <v>829</v>
      </c>
      <c r="DK80" s="3"/>
      <c r="DL80" s="3"/>
      <c r="DM80" s="3">
        <v>100</v>
      </c>
      <c r="DN80" s="3" t="s">
        <v>829</v>
      </c>
      <c r="DO80" s="3">
        <v>100</v>
      </c>
      <c r="DP80" s="3" t="s">
        <v>829</v>
      </c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</row>
    <row r="81" spans="1:132" x14ac:dyDescent="0.25">
      <c r="A81" s="2" t="s">
        <v>1494</v>
      </c>
      <c r="B81" s="2" t="s">
        <v>1642</v>
      </c>
      <c r="C81" s="3">
        <v>100</v>
      </c>
      <c r="D81" s="3" t="s">
        <v>829</v>
      </c>
      <c r="E81" s="3">
        <v>100</v>
      </c>
      <c r="F81" s="3" t="s">
        <v>829</v>
      </c>
      <c r="I81" s="3">
        <v>100</v>
      </c>
      <c r="J81" s="3" t="s">
        <v>829</v>
      </c>
      <c r="K81" s="3">
        <v>100</v>
      </c>
      <c r="L81" s="3" t="s">
        <v>829</v>
      </c>
      <c r="M81" s="3">
        <v>100</v>
      </c>
      <c r="N81" s="3" t="s">
        <v>829</v>
      </c>
      <c r="O81" s="3">
        <v>100</v>
      </c>
      <c r="P81" s="3" t="s">
        <v>829</v>
      </c>
      <c r="Q81" s="3">
        <v>100</v>
      </c>
      <c r="R81" s="3" t="s">
        <v>829</v>
      </c>
      <c r="U81" s="3">
        <v>100</v>
      </c>
      <c r="V81" s="3" t="s">
        <v>829</v>
      </c>
      <c r="W81" s="3">
        <v>100</v>
      </c>
      <c r="X81" s="3" t="s">
        <v>829</v>
      </c>
      <c r="Y81" s="3">
        <v>100</v>
      </c>
      <c r="Z81" s="3" t="s">
        <v>829</v>
      </c>
      <c r="AA81" s="3">
        <v>100</v>
      </c>
      <c r="AB81" s="3" t="s">
        <v>829</v>
      </c>
      <c r="AC81" s="3">
        <v>100</v>
      </c>
      <c r="AD81" s="3" t="s">
        <v>829</v>
      </c>
      <c r="AG81" s="3">
        <v>100</v>
      </c>
      <c r="AH81" s="3" t="s">
        <v>829</v>
      </c>
      <c r="AI81" s="3">
        <v>100</v>
      </c>
      <c r="AJ81" s="3" t="s">
        <v>829</v>
      </c>
      <c r="AK81" s="3">
        <v>100</v>
      </c>
      <c r="AL81" s="3" t="s">
        <v>829</v>
      </c>
      <c r="AM81" s="3">
        <v>100</v>
      </c>
      <c r="AN81" s="3" t="s">
        <v>829</v>
      </c>
      <c r="AO81" s="3">
        <v>100</v>
      </c>
      <c r="AP81" s="3" t="s">
        <v>829</v>
      </c>
      <c r="AQ81" s="3"/>
      <c r="AR81" s="3"/>
      <c r="AS81" s="3">
        <v>100</v>
      </c>
      <c r="AT81" s="3" t="s">
        <v>829</v>
      </c>
      <c r="AU81" s="3">
        <v>100</v>
      </c>
      <c r="AV81" s="3" t="s">
        <v>829</v>
      </c>
      <c r="AW81" s="3">
        <v>100</v>
      </c>
      <c r="AX81" s="3" t="s">
        <v>829</v>
      </c>
      <c r="AY81" s="3">
        <v>100</v>
      </c>
      <c r="AZ81" s="3" t="s">
        <v>829</v>
      </c>
      <c r="BA81" s="3">
        <v>100</v>
      </c>
      <c r="BB81" s="3" t="s">
        <v>829</v>
      </c>
      <c r="BC81" s="3"/>
      <c r="BD81" s="3"/>
      <c r="BE81" s="3">
        <v>100</v>
      </c>
      <c r="BF81" s="3" t="s">
        <v>829</v>
      </c>
      <c r="BG81" s="3">
        <v>100</v>
      </c>
      <c r="BH81" s="3" t="s">
        <v>829</v>
      </c>
      <c r="BI81" s="3">
        <v>100</v>
      </c>
      <c r="BJ81" s="3" t="s">
        <v>829</v>
      </c>
      <c r="BK81" s="3">
        <v>100</v>
      </c>
      <c r="BL81" s="3" t="s">
        <v>829</v>
      </c>
      <c r="BM81" s="3">
        <v>100</v>
      </c>
      <c r="BN81" s="3" t="s">
        <v>829</v>
      </c>
      <c r="BO81" s="3"/>
      <c r="BP81" s="3"/>
      <c r="BQ81" s="3">
        <v>100</v>
      </c>
      <c r="BR81" s="3" t="s">
        <v>829</v>
      </c>
      <c r="BS81" s="3">
        <v>100</v>
      </c>
      <c r="BT81" s="3" t="s">
        <v>829</v>
      </c>
      <c r="BU81" s="3">
        <v>100</v>
      </c>
      <c r="BV81" s="3" t="s">
        <v>829</v>
      </c>
      <c r="BW81" s="3">
        <v>100</v>
      </c>
      <c r="BX81" s="3" t="s">
        <v>829</v>
      </c>
      <c r="BY81" s="3">
        <v>100</v>
      </c>
      <c r="BZ81" s="3" t="s">
        <v>829</v>
      </c>
      <c r="CA81" s="3"/>
      <c r="CB81" s="3"/>
      <c r="CC81" s="3">
        <v>100</v>
      </c>
      <c r="CD81" s="3" t="s">
        <v>829</v>
      </c>
      <c r="CE81" s="3">
        <v>100</v>
      </c>
      <c r="CF81" s="3" t="s">
        <v>829</v>
      </c>
      <c r="CG81" s="3">
        <v>100</v>
      </c>
      <c r="CH81" s="3" t="s">
        <v>829</v>
      </c>
      <c r="CI81" s="3">
        <v>100</v>
      </c>
      <c r="CJ81" s="3" t="s">
        <v>829</v>
      </c>
      <c r="CK81" s="3">
        <v>100</v>
      </c>
      <c r="CL81" s="3" t="s">
        <v>829</v>
      </c>
      <c r="CM81" s="3"/>
      <c r="CN81" s="3"/>
      <c r="CO81" s="3">
        <v>100</v>
      </c>
      <c r="CP81" s="3" t="s">
        <v>829</v>
      </c>
      <c r="CQ81" s="3">
        <v>100</v>
      </c>
      <c r="CR81" s="3" t="s">
        <v>829</v>
      </c>
      <c r="CS81" s="3">
        <v>100</v>
      </c>
      <c r="CT81" s="3" t="s">
        <v>829</v>
      </c>
      <c r="CU81" s="3">
        <v>100</v>
      </c>
      <c r="CV81" s="3" t="s">
        <v>829</v>
      </c>
      <c r="CW81" s="3">
        <v>100</v>
      </c>
      <c r="CX81" s="3" t="s">
        <v>829</v>
      </c>
      <c r="CY81" s="3"/>
      <c r="CZ81" s="3"/>
      <c r="DA81" s="3">
        <v>100</v>
      </c>
      <c r="DB81" s="3" t="s">
        <v>829</v>
      </c>
      <c r="DC81" s="3">
        <v>100</v>
      </c>
      <c r="DD81" s="3" t="s">
        <v>829</v>
      </c>
      <c r="DE81" s="3">
        <v>100</v>
      </c>
      <c r="DF81" s="3" t="s">
        <v>829</v>
      </c>
      <c r="DG81" s="3">
        <v>100</v>
      </c>
      <c r="DH81" s="3" t="s">
        <v>829</v>
      </c>
      <c r="DI81" s="3">
        <v>100</v>
      </c>
      <c r="DJ81" s="3" t="s">
        <v>829</v>
      </c>
      <c r="DK81" s="3"/>
      <c r="DL81" s="3"/>
      <c r="DM81" s="3">
        <v>100</v>
      </c>
      <c r="DN81" s="3" t="s">
        <v>829</v>
      </c>
      <c r="DO81" s="3">
        <v>100</v>
      </c>
      <c r="DP81" s="3" t="s">
        <v>829</v>
      </c>
      <c r="DQ81" s="3">
        <v>100</v>
      </c>
      <c r="DR81" s="3" t="s">
        <v>829</v>
      </c>
      <c r="DS81" s="3"/>
      <c r="DT81" s="3"/>
      <c r="DU81" s="3"/>
      <c r="DV81" s="3"/>
      <c r="DW81" s="3"/>
      <c r="DX81" s="3"/>
      <c r="DY81" s="3"/>
      <c r="DZ81" s="3"/>
      <c r="EA81" s="3"/>
    </row>
    <row r="82" spans="1:132" x14ac:dyDescent="0.25">
      <c r="A82" s="2" t="s">
        <v>1540</v>
      </c>
      <c r="B82" s="2" t="s">
        <v>1641</v>
      </c>
      <c r="C82" s="3">
        <v>100</v>
      </c>
      <c r="D82" s="3" t="s">
        <v>829</v>
      </c>
      <c r="E82" s="3">
        <v>100</v>
      </c>
      <c r="F82" s="3" t="s">
        <v>829</v>
      </c>
      <c r="H82" s="3" t="s">
        <v>19</v>
      </c>
      <c r="I82" s="3">
        <v>100</v>
      </c>
      <c r="J82" s="3" t="s">
        <v>829</v>
      </c>
      <c r="K82" s="3">
        <v>100</v>
      </c>
      <c r="L82" s="3" t="s">
        <v>829</v>
      </c>
      <c r="N82" s="3" t="s">
        <v>23</v>
      </c>
      <c r="O82" s="3">
        <v>100</v>
      </c>
      <c r="P82" s="3" t="s">
        <v>829</v>
      </c>
      <c r="Q82" s="3">
        <v>100</v>
      </c>
      <c r="R82" s="3" t="s">
        <v>829</v>
      </c>
      <c r="U82" s="3">
        <v>100</v>
      </c>
      <c r="V82" s="3" t="s">
        <v>829</v>
      </c>
      <c r="W82" s="3">
        <v>100</v>
      </c>
      <c r="X82" s="3" t="s">
        <v>829</v>
      </c>
      <c r="AA82" s="3">
        <v>100</v>
      </c>
      <c r="AB82" s="3" t="s">
        <v>829</v>
      </c>
      <c r="AC82" s="3">
        <v>100</v>
      </c>
      <c r="AD82" s="3" t="s">
        <v>829</v>
      </c>
      <c r="AG82" s="3">
        <v>100</v>
      </c>
      <c r="AH82" s="3" t="s">
        <v>829</v>
      </c>
      <c r="AI82" s="3">
        <v>100</v>
      </c>
      <c r="AJ82" s="3" t="s">
        <v>829</v>
      </c>
      <c r="AL82" s="3"/>
      <c r="AM82" s="3">
        <v>100</v>
      </c>
      <c r="AN82" s="3" t="s">
        <v>829</v>
      </c>
      <c r="AO82" s="3">
        <v>100</v>
      </c>
      <c r="AP82" s="3" t="s">
        <v>829</v>
      </c>
      <c r="AQ82" s="3"/>
      <c r="AR82" s="3"/>
      <c r="AS82" s="3">
        <v>100</v>
      </c>
      <c r="AT82" s="3" t="s">
        <v>829</v>
      </c>
      <c r="AU82" s="3">
        <v>100</v>
      </c>
      <c r="AV82" s="3" t="s">
        <v>829</v>
      </c>
      <c r="AW82" s="3"/>
      <c r="AX82" s="3"/>
      <c r="AY82" s="3">
        <v>100</v>
      </c>
      <c r="AZ82" s="3" t="s">
        <v>829</v>
      </c>
      <c r="BA82" s="3">
        <v>100</v>
      </c>
      <c r="BB82" s="3" t="s">
        <v>829</v>
      </c>
      <c r="BC82" s="3"/>
      <c r="BD82" s="3"/>
      <c r="BE82" s="3">
        <v>100</v>
      </c>
      <c r="BF82" s="3" t="s">
        <v>829</v>
      </c>
      <c r="BG82" s="3">
        <v>100</v>
      </c>
      <c r="BH82" s="3" t="s">
        <v>829</v>
      </c>
      <c r="BI82" s="3"/>
      <c r="BJ82" s="3"/>
      <c r="BK82" s="3">
        <v>100</v>
      </c>
      <c r="BL82" s="3" t="s">
        <v>829</v>
      </c>
      <c r="BM82" s="3">
        <v>100</v>
      </c>
      <c r="BN82" s="3" t="s">
        <v>829</v>
      </c>
      <c r="BO82" s="3"/>
      <c r="BP82" s="3"/>
      <c r="BQ82" s="3">
        <v>100</v>
      </c>
      <c r="BR82" s="3" t="s">
        <v>829</v>
      </c>
      <c r="BS82" s="3">
        <v>100</v>
      </c>
      <c r="BT82" s="3" t="s">
        <v>829</v>
      </c>
      <c r="BU82" s="3"/>
      <c r="BV82" s="3"/>
      <c r="BW82" s="3">
        <v>100</v>
      </c>
      <c r="BX82" s="3" t="s">
        <v>829</v>
      </c>
      <c r="BY82" s="3">
        <v>100</v>
      </c>
      <c r="BZ82" s="3" t="s">
        <v>829</v>
      </c>
      <c r="CA82" s="3"/>
      <c r="CB82" s="3" t="s">
        <v>830</v>
      </c>
      <c r="CC82" s="3">
        <v>100</v>
      </c>
      <c r="CD82" s="3" t="s">
        <v>829</v>
      </c>
      <c r="CE82" s="3">
        <v>100</v>
      </c>
      <c r="CF82" s="3" t="s">
        <v>829</v>
      </c>
      <c r="CG82" s="3"/>
      <c r="CH82" s="3" t="s">
        <v>1643</v>
      </c>
      <c r="CI82" s="3">
        <v>100</v>
      </c>
      <c r="CJ82" s="3" t="s">
        <v>829</v>
      </c>
      <c r="CK82" s="3">
        <v>100</v>
      </c>
      <c r="CL82" s="3" t="s">
        <v>829</v>
      </c>
      <c r="CM82" s="3"/>
      <c r="CN82" s="3"/>
      <c r="CO82" s="3">
        <v>100</v>
      </c>
      <c r="CP82" s="3" t="s">
        <v>829</v>
      </c>
      <c r="CQ82" s="3">
        <v>100</v>
      </c>
      <c r="CR82" s="3" t="s">
        <v>829</v>
      </c>
      <c r="CS82" s="3"/>
      <c r="CT82" s="3"/>
      <c r="CU82" s="3">
        <v>100</v>
      </c>
      <c r="CV82" s="3" t="s">
        <v>829</v>
      </c>
      <c r="CW82" s="3">
        <v>100</v>
      </c>
      <c r="CX82" s="3" t="s">
        <v>829</v>
      </c>
      <c r="CY82" s="3"/>
      <c r="CZ82" s="3"/>
      <c r="DA82" s="3">
        <v>100</v>
      </c>
      <c r="DB82" s="3" t="s">
        <v>829</v>
      </c>
      <c r="DC82" s="3">
        <v>100</v>
      </c>
      <c r="DD82" s="3" t="s">
        <v>829</v>
      </c>
      <c r="DE82" s="3"/>
      <c r="DF82" s="3"/>
      <c r="DG82" s="3">
        <v>100</v>
      </c>
      <c r="DH82" s="3" t="s">
        <v>829</v>
      </c>
      <c r="DI82" s="3">
        <v>100</v>
      </c>
      <c r="DJ82" s="3" t="s">
        <v>829</v>
      </c>
      <c r="DK82" s="3"/>
      <c r="DL82" s="3"/>
      <c r="DM82" s="3">
        <v>100</v>
      </c>
      <c r="DN82" s="3" t="s">
        <v>829</v>
      </c>
      <c r="DO82" s="3">
        <v>100</v>
      </c>
      <c r="DP82" s="3" t="s">
        <v>829</v>
      </c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</row>
    <row r="83" spans="1:132" x14ac:dyDescent="0.25">
      <c r="A83" s="2" t="s">
        <v>1542</v>
      </c>
      <c r="B83" s="2" t="s">
        <v>1641</v>
      </c>
      <c r="C83" s="3">
        <v>100</v>
      </c>
      <c r="D83" s="3" t="s">
        <v>829</v>
      </c>
      <c r="E83" s="3">
        <v>100</v>
      </c>
      <c r="F83" s="3" t="s">
        <v>829</v>
      </c>
      <c r="I83" s="3">
        <v>100</v>
      </c>
      <c r="J83" s="3" t="s">
        <v>829</v>
      </c>
      <c r="K83" s="3">
        <v>100</v>
      </c>
      <c r="L83" s="3" t="s">
        <v>829</v>
      </c>
      <c r="O83" s="3">
        <v>100</v>
      </c>
      <c r="P83" s="3" t="s">
        <v>829</v>
      </c>
      <c r="Q83" s="3">
        <v>100</v>
      </c>
      <c r="R83" s="3" t="s">
        <v>829</v>
      </c>
      <c r="U83" s="3">
        <v>100</v>
      </c>
      <c r="V83" s="3" t="s">
        <v>829</v>
      </c>
      <c r="W83" s="3">
        <v>100</v>
      </c>
      <c r="X83" s="3" t="s">
        <v>829</v>
      </c>
      <c r="AA83" s="3">
        <v>100</v>
      </c>
      <c r="AB83" s="3" t="s">
        <v>829</v>
      </c>
      <c r="AC83" s="3">
        <v>100</v>
      </c>
      <c r="AD83" s="3" t="s">
        <v>829</v>
      </c>
      <c r="AG83" s="3">
        <v>100</v>
      </c>
      <c r="AH83" s="3" t="s">
        <v>829</v>
      </c>
      <c r="AI83" s="3">
        <v>100</v>
      </c>
      <c r="AJ83" s="3" t="s">
        <v>829</v>
      </c>
      <c r="AL83" s="3"/>
      <c r="AM83" s="3">
        <v>100</v>
      </c>
      <c r="AN83" s="3" t="s">
        <v>829</v>
      </c>
      <c r="AO83" s="3">
        <v>100</v>
      </c>
      <c r="AP83" s="3" t="s">
        <v>829</v>
      </c>
      <c r="AQ83" s="3"/>
      <c r="AR83" s="3"/>
      <c r="AS83" s="3">
        <v>100</v>
      </c>
      <c r="AT83" s="3" t="s">
        <v>829</v>
      </c>
      <c r="AU83" s="3">
        <v>100</v>
      </c>
      <c r="AV83" s="3" t="s">
        <v>829</v>
      </c>
      <c r="AW83" s="3"/>
      <c r="AX83" s="3"/>
      <c r="AY83" s="3">
        <v>100</v>
      </c>
      <c r="AZ83" s="3" t="s">
        <v>829</v>
      </c>
      <c r="BA83" s="3">
        <v>100</v>
      </c>
      <c r="BB83" s="3" t="s">
        <v>829</v>
      </c>
      <c r="BC83" s="3"/>
      <c r="BD83" s="3"/>
      <c r="BE83" s="3">
        <v>100</v>
      </c>
      <c r="BF83" s="3" t="s">
        <v>829</v>
      </c>
      <c r="BG83" s="3">
        <v>100</v>
      </c>
      <c r="BH83" s="3" t="s">
        <v>829</v>
      </c>
      <c r="BI83" s="3"/>
      <c r="BJ83" s="3"/>
      <c r="BK83" s="3">
        <v>100</v>
      </c>
      <c r="BL83" s="3" t="s">
        <v>829</v>
      </c>
      <c r="BM83" s="3">
        <v>100</v>
      </c>
      <c r="BN83" s="3" t="s">
        <v>829</v>
      </c>
      <c r="BO83" s="3"/>
      <c r="BP83" s="3"/>
      <c r="BQ83" s="3">
        <v>100</v>
      </c>
      <c r="BR83" s="3" t="s">
        <v>829</v>
      </c>
      <c r="BS83" s="3">
        <v>100</v>
      </c>
      <c r="BT83" s="3" t="s">
        <v>829</v>
      </c>
      <c r="BU83" s="3"/>
      <c r="BV83" s="3"/>
      <c r="BW83" s="3">
        <v>100</v>
      </c>
      <c r="BX83" s="3" t="s">
        <v>829</v>
      </c>
      <c r="BY83" s="3">
        <v>100</v>
      </c>
      <c r="BZ83" s="3" t="s">
        <v>829</v>
      </c>
      <c r="CA83" s="3"/>
      <c r="CB83" s="3"/>
      <c r="CC83" s="3">
        <v>100</v>
      </c>
      <c r="CD83" s="3" t="s">
        <v>829</v>
      </c>
      <c r="CE83" s="3">
        <v>100</v>
      </c>
      <c r="CF83" s="3" t="s">
        <v>829</v>
      </c>
      <c r="CG83" s="3"/>
      <c r="CH83" s="3"/>
      <c r="CI83" s="3">
        <v>100</v>
      </c>
      <c r="CJ83" s="3" t="s">
        <v>829</v>
      </c>
      <c r="CK83" s="3">
        <v>100</v>
      </c>
      <c r="CL83" s="3" t="s">
        <v>829</v>
      </c>
      <c r="CM83" s="3"/>
      <c r="CN83" s="3"/>
      <c r="CO83" s="3">
        <v>100</v>
      </c>
      <c r="CP83" s="3" t="s">
        <v>829</v>
      </c>
      <c r="CQ83" s="3">
        <v>100</v>
      </c>
      <c r="CR83" s="3" t="s">
        <v>829</v>
      </c>
      <c r="CS83" s="3"/>
      <c r="CT83" s="3"/>
      <c r="CU83" s="3">
        <v>100</v>
      </c>
      <c r="CV83" s="3" t="s">
        <v>829</v>
      </c>
      <c r="CW83" s="3">
        <v>100</v>
      </c>
      <c r="CX83" s="3" t="s">
        <v>829</v>
      </c>
      <c r="CY83" s="3"/>
      <c r="CZ83" s="3"/>
      <c r="DA83" s="3">
        <v>100</v>
      </c>
      <c r="DB83" s="3" t="s">
        <v>829</v>
      </c>
      <c r="DC83" s="3">
        <v>100</v>
      </c>
      <c r="DD83" s="3" t="s">
        <v>829</v>
      </c>
      <c r="DE83" s="3"/>
      <c r="DF83" s="3"/>
      <c r="DG83" s="3">
        <v>100</v>
      </c>
      <c r="DH83" s="3" t="s">
        <v>829</v>
      </c>
      <c r="DI83" s="3">
        <v>100</v>
      </c>
      <c r="DJ83" s="3" t="s">
        <v>829</v>
      </c>
      <c r="DK83" s="3"/>
      <c r="DL83" s="3"/>
      <c r="DM83" s="3">
        <v>100</v>
      </c>
      <c r="DN83" s="3" t="s">
        <v>829</v>
      </c>
      <c r="DO83" s="3">
        <v>100</v>
      </c>
      <c r="DP83" s="3" t="s">
        <v>829</v>
      </c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</row>
    <row r="84" spans="1:132" x14ac:dyDescent="0.25">
      <c r="A84" s="2" t="s">
        <v>305</v>
      </c>
      <c r="B84" s="2" t="s">
        <v>2607</v>
      </c>
      <c r="C84" s="3">
        <v>2</v>
      </c>
      <c r="D84" s="3" t="s">
        <v>304</v>
      </c>
      <c r="E84" s="3">
        <v>2</v>
      </c>
      <c r="F84" s="3" t="s">
        <v>5</v>
      </c>
      <c r="G84" s="3">
        <v>2</v>
      </c>
      <c r="H84" s="3" t="s">
        <v>6</v>
      </c>
      <c r="M84" s="3">
        <v>2</v>
      </c>
      <c r="N84" s="3" t="s">
        <v>9</v>
      </c>
      <c r="O84" s="3">
        <v>2</v>
      </c>
      <c r="P84" s="3" t="s">
        <v>832</v>
      </c>
      <c r="Q84" s="3">
        <v>2</v>
      </c>
      <c r="R84" s="3" t="s">
        <v>833</v>
      </c>
      <c r="S84" s="3">
        <v>2</v>
      </c>
      <c r="T84" s="3" t="s">
        <v>832</v>
      </c>
      <c r="U84" s="3">
        <v>2</v>
      </c>
      <c r="V84" s="3" t="s">
        <v>834</v>
      </c>
      <c r="W84" s="3">
        <v>2</v>
      </c>
      <c r="X84" s="3" t="s">
        <v>835</v>
      </c>
      <c r="Y84" s="3">
        <v>2</v>
      </c>
      <c r="Z84" s="3" t="s">
        <v>836</v>
      </c>
      <c r="AL84" s="3"/>
      <c r="AM84" s="3">
        <v>2</v>
      </c>
      <c r="AN84" s="3" t="s">
        <v>837</v>
      </c>
      <c r="AO84" s="3">
        <v>2</v>
      </c>
      <c r="AP84" s="3" t="s">
        <v>838</v>
      </c>
      <c r="AQ84" s="3">
        <v>2</v>
      </c>
      <c r="AR84" s="3" t="s">
        <v>837</v>
      </c>
      <c r="AS84" s="3">
        <v>2</v>
      </c>
      <c r="AT84" s="3" t="s">
        <v>839</v>
      </c>
      <c r="AU84" s="3">
        <v>2</v>
      </c>
      <c r="AV84" s="3" t="s">
        <v>840</v>
      </c>
      <c r="AW84" s="3">
        <v>2</v>
      </c>
      <c r="AX84" s="3" t="s">
        <v>836</v>
      </c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>
        <v>1</v>
      </c>
      <c r="BX84" s="3" t="s">
        <v>841</v>
      </c>
      <c r="BY84" s="3">
        <v>1</v>
      </c>
      <c r="BZ84" s="3" t="s">
        <v>730</v>
      </c>
      <c r="CA84" s="3">
        <v>1</v>
      </c>
      <c r="CB84" s="3" t="s">
        <v>841</v>
      </c>
      <c r="CC84" s="3">
        <v>1</v>
      </c>
      <c r="CD84" s="3" t="s">
        <v>731</v>
      </c>
      <c r="CE84" s="3">
        <v>1</v>
      </c>
      <c r="CF84" s="3" t="s">
        <v>732</v>
      </c>
      <c r="CG84" s="3">
        <v>1</v>
      </c>
      <c r="CH84" s="3" t="s">
        <v>733</v>
      </c>
      <c r="CI84" s="3">
        <v>2</v>
      </c>
      <c r="CJ84" s="3" t="s">
        <v>842</v>
      </c>
      <c r="CK84" s="3">
        <v>2</v>
      </c>
      <c r="CL84" s="3" t="s">
        <v>843</v>
      </c>
      <c r="CM84" s="3">
        <v>2</v>
      </c>
      <c r="CN84" s="3" t="s">
        <v>842</v>
      </c>
      <c r="CO84" s="3">
        <v>2</v>
      </c>
      <c r="CP84" s="3" t="s">
        <v>844</v>
      </c>
      <c r="CQ84" s="3">
        <v>2</v>
      </c>
      <c r="CR84" s="3" t="s">
        <v>845</v>
      </c>
      <c r="CS84" s="3">
        <v>2</v>
      </c>
      <c r="CT84" s="3" t="s">
        <v>846</v>
      </c>
      <c r="CU84" s="3">
        <v>2</v>
      </c>
      <c r="CV84" s="3" t="s">
        <v>847</v>
      </c>
      <c r="CW84" s="3">
        <v>2</v>
      </c>
      <c r="CX84" s="3" t="s">
        <v>848</v>
      </c>
      <c r="CY84" s="3">
        <v>2</v>
      </c>
      <c r="CZ84" s="3" t="s">
        <v>847</v>
      </c>
      <c r="DA84" s="3">
        <v>2</v>
      </c>
      <c r="DB84" s="3" t="s">
        <v>849</v>
      </c>
      <c r="DC84" s="3">
        <v>2</v>
      </c>
      <c r="DD84" s="3" t="s">
        <v>850</v>
      </c>
      <c r="DE84" s="3">
        <v>2</v>
      </c>
      <c r="DF84" s="3" t="s">
        <v>851</v>
      </c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</row>
    <row r="85" spans="1:132" x14ac:dyDescent="0.25">
      <c r="A85" s="2" t="s">
        <v>337</v>
      </c>
      <c r="B85" s="2" t="s">
        <v>2517</v>
      </c>
      <c r="C85" s="3">
        <v>1</v>
      </c>
      <c r="D85" s="3" t="s">
        <v>2518</v>
      </c>
      <c r="E85" s="3">
        <v>1</v>
      </c>
      <c r="F85" s="3" t="s">
        <v>2519</v>
      </c>
      <c r="G85" s="3">
        <v>1</v>
      </c>
      <c r="H85" s="3" t="s">
        <v>2520</v>
      </c>
      <c r="M85" s="3">
        <v>1</v>
      </c>
      <c r="N85" s="3" t="s">
        <v>2521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>
        <v>1</v>
      </c>
      <c r="BX85" s="3" t="s">
        <v>2522</v>
      </c>
      <c r="BY85" s="3">
        <v>1</v>
      </c>
      <c r="BZ85" s="3" t="s">
        <v>2523</v>
      </c>
      <c r="CA85" s="3">
        <v>1</v>
      </c>
      <c r="CB85" s="3" t="s">
        <v>2522</v>
      </c>
      <c r="CC85" s="3">
        <v>1</v>
      </c>
      <c r="CD85" s="3" t="s">
        <v>2524</v>
      </c>
      <c r="CE85" s="3">
        <v>1</v>
      </c>
      <c r="CF85" s="3" t="s">
        <v>2525</v>
      </c>
      <c r="CG85" s="3">
        <v>1</v>
      </c>
      <c r="CH85" s="3" t="s">
        <v>2526</v>
      </c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</row>
    <row r="86" spans="1:132" x14ac:dyDescent="0.25">
      <c r="A86" s="2" t="s">
        <v>1999</v>
      </c>
      <c r="B86" s="2" t="s">
        <v>2202</v>
      </c>
      <c r="C86" s="3">
        <v>2</v>
      </c>
      <c r="D86" s="3" t="s">
        <v>2501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>
        <v>2</v>
      </c>
      <c r="BX86" s="3" t="s">
        <v>2502</v>
      </c>
      <c r="BY86" s="3">
        <v>2</v>
      </c>
      <c r="BZ86" s="3" t="s">
        <v>2503</v>
      </c>
      <c r="CA86" s="3">
        <v>2</v>
      </c>
      <c r="CB86" s="3" t="s">
        <v>2502</v>
      </c>
      <c r="CC86" s="3">
        <v>2</v>
      </c>
      <c r="CD86" s="3" t="s">
        <v>2504</v>
      </c>
      <c r="CE86" s="3">
        <v>2</v>
      </c>
      <c r="CF86" s="3" t="s">
        <v>2505</v>
      </c>
      <c r="CG86" s="3">
        <v>2</v>
      </c>
      <c r="CH86" s="3" t="s">
        <v>2506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</row>
    <row r="87" spans="1:132" x14ac:dyDescent="0.25">
      <c r="A87" s="2" t="s">
        <v>2008</v>
      </c>
      <c r="B87" s="2" t="s">
        <v>1435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>
        <v>2</v>
      </c>
      <c r="DW87" s="3" t="s">
        <v>2449</v>
      </c>
      <c r="DX87" s="3"/>
      <c r="DY87" s="3"/>
      <c r="DZ87" s="3"/>
      <c r="EA87" s="3"/>
    </row>
    <row r="88" spans="1:132" x14ac:dyDescent="0.25">
      <c r="A88" s="2" t="s">
        <v>2014</v>
      </c>
      <c r="B88" s="2" t="s">
        <v>3516</v>
      </c>
      <c r="F88" s="3" t="s">
        <v>40</v>
      </c>
      <c r="H88" s="3" t="s">
        <v>636</v>
      </c>
      <c r="J88" s="3" t="s">
        <v>1032</v>
      </c>
      <c r="L88" s="3" t="s">
        <v>1033</v>
      </c>
      <c r="P88" s="3" t="s">
        <v>1034</v>
      </c>
      <c r="R88" s="3" t="s">
        <v>1035</v>
      </c>
      <c r="V88" s="3" t="s">
        <v>1032</v>
      </c>
      <c r="X88" s="3" t="s">
        <v>1036</v>
      </c>
      <c r="Z88" s="3" t="s">
        <v>1042</v>
      </c>
      <c r="AB88" s="3" t="s">
        <v>1037</v>
      </c>
      <c r="AD88" s="3" t="s">
        <v>1038</v>
      </c>
      <c r="AF88" s="3" t="s">
        <v>1037</v>
      </c>
      <c r="AL88" s="3" t="s">
        <v>1039</v>
      </c>
      <c r="AM88" s="3"/>
      <c r="AN88" s="3" t="s">
        <v>1040</v>
      </c>
      <c r="AO88" s="3"/>
      <c r="AP88" s="3" t="s">
        <v>1041</v>
      </c>
      <c r="AQ88" s="3"/>
      <c r="AR88" s="3" t="s">
        <v>1040</v>
      </c>
      <c r="AS88" s="3"/>
      <c r="AT88" s="3"/>
      <c r="AU88" s="3"/>
      <c r="AV88" s="3"/>
      <c r="AW88" s="3"/>
      <c r="AX88" s="3" t="s">
        <v>1042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 t="s">
        <v>1043</v>
      </c>
      <c r="CK88" s="3"/>
      <c r="CL88" s="3" t="s">
        <v>1044</v>
      </c>
      <c r="CM88" s="3"/>
      <c r="CN88" s="3" t="s">
        <v>1043</v>
      </c>
      <c r="CO88" s="3"/>
      <c r="CP88" s="3" t="s">
        <v>680</v>
      </c>
      <c r="CQ88" s="3"/>
      <c r="CR88" s="3" t="s">
        <v>681</v>
      </c>
      <c r="CS88" s="3"/>
      <c r="CT88" s="3" t="s">
        <v>1045</v>
      </c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>
        <v>1</v>
      </c>
      <c r="DV88" s="3"/>
      <c r="DW88" s="3" t="s">
        <v>2223</v>
      </c>
      <c r="DX88" s="3"/>
      <c r="DY88" s="3"/>
      <c r="DZ88" s="3"/>
      <c r="EA88" s="3"/>
      <c r="EB88" s="2" t="s">
        <v>2228</v>
      </c>
    </row>
    <row r="89" spans="1:132" x14ac:dyDescent="0.25">
      <c r="A89" s="2" t="s">
        <v>4907</v>
      </c>
      <c r="B89" s="2" t="s">
        <v>1435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>
        <v>3</v>
      </c>
      <c r="DW89" s="3" t="s">
        <v>4908</v>
      </c>
      <c r="DX89" s="3"/>
      <c r="DY89" s="3"/>
      <c r="DZ89" s="3"/>
      <c r="EA89" s="3"/>
    </row>
    <row r="90" spans="1:132" x14ac:dyDescent="0.25">
      <c r="A90" s="2" t="s">
        <v>2035</v>
      </c>
      <c r="B90" s="2" t="s">
        <v>2202</v>
      </c>
      <c r="C90" s="3">
        <v>2</v>
      </c>
      <c r="D90" s="3" t="s">
        <v>1021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>
        <v>2</v>
      </c>
      <c r="BX90" s="3" t="s">
        <v>663</v>
      </c>
      <c r="BY90" s="3">
        <v>2</v>
      </c>
      <c r="BZ90" s="3" t="s">
        <v>664</v>
      </c>
      <c r="CA90" s="3">
        <v>2</v>
      </c>
      <c r="CB90" s="3" t="s">
        <v>663</v>
      </c>
      <c r="CC90" s="3">
        <v>2</v>
      </c>
      <c r="CD90" s="3" t="s">
        <v>1022</v>
      </c>
      <c r="CE90" s="3">
        <v>2</v>
      </c>
      <c r="CF90" s="3" t="s">
        <v>1023</v>
      </c>
      <c r="CG90" s="3">
        <v>2</v>
      </c>
      <c r="CH90" s="3" t="s">
        <v>662</v>
      </c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 t="s">
        <v>2111</v>
      </c>
      <c r="DX90" s="3"/>
      <c r="DY90" s="3"/>
      <c r="DZ90" s="3"/>
      <c r="EA90" s="3"/>
    </row>
    <row r="91" spans="1:132" x14ac:dyDescent="0.25">
      <c r="A91" s="2" t="s">
        <v>113</v>
      </c>
      <c r="B91" s="2" t="s">
        <v>1644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2" t="s">
        <v>2114</v>
      </c>
    </row>
    <row r="92" spans="1:132" x14ac:dyDescent="0.25">
      <c r="A92" s="2" t="s">
        <v>257</v>
      </c>
      <c r="B92" s="2" t="s">
        <v>2463</v>
      </c>
      <c r="D92" s="3" t="s">
        <v>2464</v>
      </c>
      <c r="F92" s="3" t="s">
        <v>2465</v>
      </c>
      <c r="H92" s="3" t="s">
        <v>2466</v>
      </c>
      <c r="J92" s="3" t="s">
        <v>2467</v>
      </c>
      <c r="L92" s="3" t="s">
        <v>2208</v>
      </c>
      <c r="N92" s="3" t="s">
        <v>2468</v>
      </c>
      <c r="P92" s="3" t="s">
        <v>627</v>
      </c>
      <c r="R92" s="3" t="s">
        <v>628</v>
      </c>
      <c r="T92" s="3" t="s">
        <v>629</v>
      </c>
      <c r="V92" s="3" t="s">
        <v>630</v>
      </c>
      <c r="X92" s="3" t="s">
        <v>631</v>
      </c>
      <c r="Z92" s="3" t="s">
        <v>632</v>
      </c>
      <c r="AL92" s="3"/>
      <c r="AM92" s="3"/>
      <c r="AN92" s="3" t="s">
        <v>760</v>
      </c>
      <c r="AO92" s="3"/>
      <c r="AP92" s="3" t="s">
        <v>761</v>
      </c>
      <c r="AQ92" s="3"/>
      <c r="AR92" s="3" t="s">
        <v>760</v>
      </c>
      <c r="AS92" s="3"/>
      <c r="AT92" s="3" t="s">
        <v>762</v>
      </c>
      <c r="AU92" s="3"/>
      <c r="AV92" s="3" t="s">
        <v>2469</v>
      </c>
      <c r="AW92" s="3"/>
      <c r="AX92" s="3" t="s">
        <v>632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 t="s">
        <v>2470</v>
      </c>
      <c r="BY92" s="3"/>
      <c r="BZ92" s="3" t="s">
        <v>2471</v>
      </c>
      <c r="CA92" s="3"/>
      <c r="CB92" s="3" t="s">
        <v>2470</v>
      </c>
      <c r="CC92" s="3"/>
      <c r="CD92" s="3" t="s">
        <v>2467</v>
      </c>
      <c r="CE92" s="3"/>
      <c r="CF92" s="3" t="s">
        <v>2472</v>
      </c>
      <c r="CG92" s="3"/>
      <c r="CH92" s="3" t="s">
        <v>2468</v>
      </c>
      <c r="CI92" s="3"/>
      <c r="CJ92" s="3" t="s">
        <v>768</v>
      </c>
      <c r="CK92" s="3"/>
      <c r="CL92" s="3" t="s">
        <v>769</v>
      </c>
      <c r="CM92" s="3"/>
      <c r="CN92" s="3" t="s">
        <v>768</v>
      </c>
      <c r="CO92" s="3"/>
      <c r="CP92" s="3" t="s">
        <v>770</v>
      </c>
      <c r="CQ92" s="3"/>
      <c r="CR92" s="3" t="s">
        <v>771</v>
      </c>
      <c r="CS92" s="3"/>
      <c r="CT92" s="3" t="s">
        <v>772</v>
      </c>
      <c r="CU92" s="3"/>
      <c r="CV92" s="3" t="s">
        <v>774</v>
      </c>
      <c r="CW92" s="3"/>
      <c r="CX92" s="3" t="s">
        <v>775</v>
      </c>
      <c r="CY92" s="3"/>
      <c r="CZ92" s="3" t="s">
        <v>774</v>
      </c>
      <c r="DA92" s="3"/>
      <c r="DB92" s="3" t="s">
        <v>776</v>
      </c>
      <c r="DC92" s="3"/>
      <c r="DD92" s="3" t="s">
        <v>777</v>
      </c>
      <c r="DE92" s="3"/>
      <c r="DF92" s="3" t="s">
        <v>778</v>
      </c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</row>
    <row r="93" spans="1:132" x14ac:dyDescent="0.25">
      <c r="A93" s="2" t="s">
        <v>42</v>
      </c>
      <c r="B93" s="2" t="s">
        <v>1051</v>
      </c>
      <c r="O93" s="3">
        <v>1</v>
      </c>
      <c r="P93" s="3" t="s">
        <v>1052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>
        <v>1</v>
      </c>
      <c r="BX93" s="3" t="s">
        <v>1053</v>
      </c>
      <c r="BY93" s="3">
        <v>1</v>
      </c>
      <c r="BZ93" s="3" t="s">
        <v>1057</v>
      </c>
      <c r="CA93" s="3">
        <v>1</v>
      </c>
      <c r="CB93" s="3" t="s">
        <v>1053</v>
      </c>
      <c r="CC93" s="3">
        <v>1</v>
      </c>
      <c r="CD93" s="3" t="s">
        <v>1054</v>
      </c>
      <c r="CE93" s="3">
        <v>1</v>
      </c>
      <c r="CF93" s="3" t="s">
        <v>1055</v>
      </c>
      <c r="CG93" s="3">
        <v>1</v>
      </c>
      <c r="CH93" s="3" t="s">
        <v>1056</v>
      </c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</row>
    <row r="94" spans="1:132" x14ac:dyDescent="0.25">
      <c r="A94" s="2" t="s">
        <v>74</v>
      </c>
      <c r="B94" s="2" t="s">
        <v>1058</v>
      </c>
      <c r="O94" s="3">
        <v>1</v>
      </c>
      <c r="P94" s="3" t="s">
        <v>1059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>
        <v>1</v>
      </c>
      <c r="BX94" s="3" t="s">
        <v>1060</v>
      </c>
      <c r="BY94" s="3">
        <v>1</v>
      </c>
      <c r="BZ94" s="3" t="s">
        <v>1061</v>
      </c>
      <c r="CA94" s="3">
        <v>1</v>
      </c>
      <c r="CB94" s="3" t="s">
        <v>1060</v>
      </c>
      <c r="CC94" s="3">
        <v>1</v>
      </c>
      <c r="CD94" s="3" t="s">
        <v>1062</v>
      </c>
      <c r="CE94" s="3">
        <v>1</v>
      </c>
      <c r="CF94" s="3" t="s">
        <v>1063</v>
      </c>
      <c r="CG94" s="3">
        <v>1</v>
      </c>
      <c r="CH94" s="3" t="s">
        <v>1064</v>
      </c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</row>
    <row r="95" spans="1:132" x14ac:dyDescent="0.25">
      <c r="A95" s="2" t="s">
        <v>1604</v>
      </c>
      <c r="B95" s="2" t="s">
        <v>1641</v>
      </c>
      <c r="C95" s="3">
        <v>100</v>
      </c>
      <c r="D95" s="3" t="s">
        <v>829</v>
      </c>
      <c r="E95" s="3">
        <v>100</v>
      </c>
      <c r="F95" s="3" t="s">
        <v>829</v>
      </c>
      <c r="I95" s="3">
        <v>100</v>
      </c>
      <c r="J95" s="3" t="s">
        <v>829</v>
      </c>
      <c r="K95" s="3">
        <v>100</v>
      </c>
      <c r="L95" s="3" t="s">
        <v>829</v>
      </c>
      <c r="O95" s="3">
        <v>100</v>
      </c>
      <c r="P95" s="3" t="s">
        <v>829</v>
      </c>
      <c r="Q95" s="3">
        <v>100</v>
      </c>
      <c r="R95" s="3" t="s">
        <v>829</v>
      </c>
      <c r="U95" s="3">
        <v>100</v>
      </c>
      <c r="V95" s="3" t="s">
        <v>829</v>
      </c>
      <c r="W95" s="3">
        <v>100</v>
      </c>
      <c r="X95" s="3" t="s">
        <v>829</v>
      </c>
      <c r="AA95" s="3">
        <v>100</v>
      </c>
      <c r="AB95" s="3" t="s">
        <v>829</v>
      </c>
      <c r="AC95" s="3">
        <v>100</v>
      </c>
      <c r="AD95" s="3" t="s">
        <v>829</v>
      </c>
      <c r="AG95" s="3">
        <v>100</v>
      </c>
      <c r="AH95" s="3" t="s">
        <v>829</v>
      </c>
      <c r="AI95" s="3">
        <v>100</v>
      </c>
      <c r="AJ95" s="3" t="s">
        <v>829</v>
      </c>
      <c r="AL95" s="3"/>
      <c r="AM95" s="3">
        <v>100</v>
      </c>
      <c r="AN95" s="3" t="s">
        <v>829</v>
      </c>
      <c r="AO95" s="3">
        <v>100</v>
      </c>
      <c r="AP95" s="3" t="s">
        <v>829</v>
      </c>
      <c r="AQ95" s="3"/>
      <c r="AR95" s="3"/>
      <c r="AS95" s="3">
        <v>100</v>
      </c>
      <c r="AT95" s="3" t="s">
        <v>829</v>
      </c>
      <c r="AU95" s="3">
        <v>100</v>
      </c>
      <c r="AV95" s="3" t="s">
        <v>829</v>
      </c>
      <c r="AW95" s="3"/>
      <c r="AX95" s="3"/>
      <c r="AY95" s="3">
        <v>100</v>
      </c>
      <c r="AZ95" s="3" t="s">
        <v>829</v>
      </c>
      <c r="BA95" s="3">
        <v>100</v>
      </c>
      <c r="BB95" s="3" t="s">
        <v>829</v>
      </c>
      <c r="BC95" s="3"/>
      <c r="BD95" s="3"/>
      <c r="BE95" s="3">
        <v>100</v>
      </c>
      <c r="BF95" s="3" t="s">
        <v>829</v>
      </c>
      <c r="BG95" s="3">
        <v>100</v>
      </c>
      <c r="BH95" s="3" t="s">
        <v>829</v>
      </c>
      <c r="BI95" s="3"/>
      <c r="BJ95" s="3"/>
      <c r="BK95" s="3">
        <v>100</v>
      </c>
      <c r="BL95" s="3" t="s">
        <v>829</v>
      </c>
      <c r="BM95" s="3">
        <v>100</v>
      </c>
      <c r="BN95" s="3" t="s">
        <v>829</v>
      </c>
      <c r="BO95" s="3"/>
      <c r="BP95" s="3"/>
      <c r="BQ95" s="3">
        <v>100</v>
      </c>
      <c r="BR95" s="3" t="s">
        <v>829</v>
      </c>
      <c r="BS95" s="3">
        <v>100</v>
      </c>
      <c r="BT95" s="3" t="s">
        <v>829</v>
      </c>
      <c r="BU95" s="3"/>
      <c r="BV95" s="3"/>
      <c r="BW95" s="3">
        <v>100</v>
      </c>
      <c r="BX95" s="3" t="s">
        <v>829</v>
      </c>
      <c r="BY95" s="3">
        <v>100</v>
      </c>
      <c r="BZ95" s="3" t="s">
        <v>829</v>
      </c>
      <c r="CA95" s="3"/>
      <c r="CB95" s="3"/>
      <c r="CC95" s="3">
        <v>100</v>
      </c>
      <c r="CD95" s="3" t="s">
        <v>829</v>
      </c>
      <c r="CE95" s="3">
        <v>100</v>
      </c>
      <c r="CF95" s="3" t="s">
        <v>829</v>
      </c>
      <c r="CG95" s="3"/>
      <c r="CH95" s="3"/>
      <c r="CI95" s="3">
        <v>100</v>
      </c>
      <c r="CJ95" s="3" t="s">
        <v>829</v>
      </c>
      <c r="CK95" s="3">
        <v>100</v>
      </c>
      <c r="CL95" s="3" t="s">
        <v>829</v>
      </c>
      <c r="CM95" s="3"/>
      <c r="CN95" s="3"/>
      <c r="CO95" s="3">
        <v>100</v>
      </c>
      <c r="CP95" s="3" t="s">
        <v>829</v>
      </c>
      <c r="CQ95" s="3">
        <v>100</v>
      </c>
      <c r="CR95" s="3" t="s">
        <v>829</v>
      </c>
      <c r="CS95" s="3"/>
      <c r="CT95" s="3"/>
      <c r="CU95" s="3">
        <v>100</v>
      </c>
      <c r="CV95" s="3" t="s">
        <v>829</v>
      </c>
      <c r="CW95" s="3">
        <v>100</v>
      </c>
      <c r="CX95" s="3" t="s">
        <v>829</v>
      </c>
      <c r="CY95" s="3"/>
      <c r="CZ95" s="3"/>
      <c r="DA95" s="3">
        <v>100</v>
      </c>
      <c r="DB95" s="3" t="s">
        <v>829</v>
      </c>
      <c r="DC95" s="3">
        <v>100</v>
      </c>
      <c r="DD95" s="3" t="s">
        <v>829</v>
      </c>
      <c r="DE95" s="3"/>
      <c r="DF95" s="3"/>
      <c r="DG95" s="3">
        <v>100</v>
      </c>
      <c r="DH95" s="3" t="s">
        <v>829</v>
      </c>
      <c r="DI95" s="3">
        <v>100</v>
      </c>
      <c r="DJ95" s="3" t="s">
        <v>829</v>
      </c>
      <c r="DK95" s="3"/>
      <c r="DL95" s="3"/>
      <c r="DM95" s="3">
        <v>100</v>
      </c>
      <c r="DN95" s="3" t="s">
        <v>829</v>
      </c>
      <c r="DO95" s="3">
        <v>100</v>
      </c>
      <c r="DP95" s="3" t="s">
        <v>829</v>
      </c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2" t="s">
        <v>1645</v>
      </c>
    </row>
    <row r="96" spans="1:132" x14ac:dyDescent="0.25">
      <c r="A96" s="2" t="s">
        <v>1613</v>
      </c>
      <c r="B96" s="2" t="s">
        <v>1641</v>
      </c>
      <c r="C96" s="3">
        <v>100</v>
      </c>
      <c r="D96" s="3" t="s">
        <v>829</v>
      </c>
      <c r="E96" s="3">
        <v>100</v>
      </c>
      <c r="F96" s="3" t="s">
        <v>829</v>
      </c>
      <c r="I96" s="3">
        <v>100</v>
      </c>
      <c r="J96" s="3" t="s">
        <v>829</v>
      </c>
      <c r="K96" s="3">
        <v>100</v>
      </c>
      <c r="L96" s="3" t="s">
        <v>829</v>
      </c>
      <c r="O96" s="3">
        <v>100</v>
      </c>
      <c r="P96" s="3" t="s">
        <v>829</v>
      </c>
      <c r="Q96" s="3">
        <v>100</v>
      </c>
      <c r="R96" s="3" t="s">
        <v>829</v>
      </c>
      <c r="U96" s="3">
        <v>100</v>
      </c>
      <c r="V96" s="3" t="s">
        <v>829</v>
      </c>
      <c r="W96" s="3">
        <v>100</v>
      </c>
      <c r="X96" s="3" t="s">
        <v>829</v>
      </c>
      <c r="AA96" s="3">
        <v>100</v>
      </c>
      <c r="AB96" s="3" t="s">
        <v>829</v>
      </c>
      <c r="AC96" s="3">
        <v>100</v>
      </c>
      <c r="AD96" s="3" t="s">
        <v>829</v>
      </c>
      <c r="AG96" s="3">
        <v>100</v>
      </c>
      <c r="AH96" s="3" t="s">
        <v>829</v>
      </c>
      <c r="AI96" s="3">
        <v>100</v>
      </c>
      <c r="AJ96" s="3" t="s">
        <v>829</v>
      </c>
      <c r="AL96" s="3"/>
      <c r="AM96" s="3">
        <v>100</v>
      </c>
      <c r="AN96" s="3" t="s">
        <v>829</v>
      </c>
      <c r="AO96" s="3">
        <v>100</v>
      </c>
      <c r="AP96" s="3" t="s">
        <v>829</v>
      </c>
      <c r="AQ96" s="3"/>
      <c r="AR96" s="3"/>
      <c r="AS96" s="3">
        <v>100</v>
      </c>
      <c r="AT96" s="3" t="s">
        <v>829</v>
      </c>
      <c r="AU96" s="3">
        <v>100</v>
      </c>
      <c r="AV96" s="3" t="s">
        <v>829</v>
      </c>
      <c r="AW96" s="3"/>
      <c r="AX96" s="3"/>
      <c r="AY96" s="3">
        <v>100</v>
      </c>
      <c r="AZ96" s="3" t="s">
        <v>829</v>
      </c>
      <c r="BA96" s="3">
        <v>100</v>
      </c>
      <c r="BB96" s="3" t="s">
        <v>829</v>
      </c>
      <c r="BC96" s="3"/>
      <c r="BD96" s="3"/>
      <c r="BE96" s="3">
        <v>100</v>
      </c>
      <c r="BF96" s="3" t="s">
        <v>829</v>
      </c>
      <c r="BG96" s="3">
        <v>100</v>
      </c>
      <c r="BH96" s="3" t="s">
        <v>829</v>
      </c>
      <c r="BI96" s="3"/>
      <c r="BJ96" s="3"/>
      <c r="BK96" s="3">
        <v>100</v>
      </c>
      <c r="BL96" s="3" t="s">
        <v>829</v>
      </c>
      <c r="BM96" s="3">
        <v>100</v>
      </c>
      <c r="BN96" s="3" t="s">
        <v>829</v>
      </c>
      <c r="BO96" s="3"/>
      <c r="BP96" s="3"/>
      <c r="BQ96" s="3">
        <v>100</v>
      </c>
      <c r="BR96" s="3" t="s">
        <v>829</v>
      </c>
      <c r="BS96" s="3">
        <v>100</v>
      </c>
      <c r="BT96" s="3" t="s">
        <v>829</v>
      </c>
      <c r="BU96" s="3"/>
      <c r="BV96" s="3"/>
      <c r="BW96" s="3">
        <v>100</v>
      </c>
      <c r="BX96" s="3" t="s">
        <v>829</v>
      </c>
      <c r="BY96" s="3">
        <v>100</v>
      </c>
      <c r="BZ96" s="3" t="s">
        <v>829</v>
      </c>
      <c r="CA96" s="3">
        <v>1</v>
      </c>
      <c r="CB96" s="3" t="s">
        <v>720</v>
      </c>
      <c r="CC96" s="3">
        <v>100</v>
      </c>
      <c r="CD96" s="3" t="s">
        <v>829</v>
      </c>
      <c r="CE96" s="3">
        <v>100</v>
      </c>
      <c r="CF96" s="3" t="s">
        <v>829</v>
      </c>
      <c r="CG96" s="3">
        <v>1</v>
      </c>
      <c r="CH96" s="3" t="s">
        <v>724</v>
      </c>
      <c r="CI96" s="3">
        <v>100</v>
      </c>
      <c r="CJ96" s="3" t="s">
        <v>829</v>
      </c>
      <c r="CK96" s="3">
        <v>100</v>
      </c>
      <c r="CL96" s="3" t="s">
        <v>829</v>
      </c>
      <c r="CM96" s="3"/>
      <c r="CN96" s="3"/>
      <c r="CO96" s="3">
        <v>100</v>
      </c>
      <c r="CP96" s="3" t="s">
        <v>829</v>
      </c>
      <c r="CQ96" s="3">
        <v>100</v>
      </c>
      <c r="CR96" s="3" t="s">
        <v>829</v>
      </c>
      <c r="CS96" s="3"/>
      <c r="CT96" s="3"/>
      <c r="CU96" s="3">
        <v>100</v>
      </c>
      <c r="CV96" s="3" t="s">
        <v>829</v>
      </c>
      <c r="CW96" s="3">
        <v>100</v>
      </c>
      <c r="CX96" s="3" t="s">
        <v>829</v>
      </c>
      <c r="CY96" s="3"/>
      <c r="CZ96" s="3"/>
      <c r="DA96" s="3">
        <v>100</v>
      </c>
      <c r="DB96" s="3" t="s">
        <v>829</v>
      </c>
      <c r="DC96" s="3">
        <v>100</v>
      </c>
      <c r="DD96" s="3" t="s">
        <v>829</v>
      </c>
      <c r="DE96" s="3"/>
      <c r="DF96" s="3"/>
      <c r="DG96" s="3">
        <v>100</v>
      </c>
      <c r="DH96" s="3" t="s">
        <v>829</v>
      </c>
      <c r="DI96" s="3">
        <v>100</v>
      </c>
      <c r="DJ96" s="3" t="s">
        <v>829</v>
      </c>
      <c r="DK96" s="3"/>
      <c r="DL96" s="3"/>
      <c r="DM96" s="3">
        <v>100</v>
      </c>
      <c r="DN96" s="3" t="s">
        <v>829</v>
      </c>
      <c r="DO96" s="3">
        <v>100</v>
      </c>
      <c r="DP96" s="3" t="s">
        <v>829</v>
      </c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</row>
    <row r="97" spans="1:132" x14ac:dyDescent="0.25">
      <c r="A97" s="2" t="s">
        <v>4886</v>
      </c>
      <c r="B97" s="2" t="s">
        <v>1435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>
        <v>2</v>
      </c>
      <c r="DW97" s="3" t="s">
        <v>4892</v>
      </c>
      <c r="DX97" s="3"/>
      <c r="DY97" s="3"/>
      <c r="DZ97" s="3"/>
      <c r="EA97" s="3"/>
    </row>
    <row r="98" spans="1:132" x14ac:dyDescent="0.25">
      <c r="A98" s="2" t="s">
        <v>3496</v>
      </c>
      <c r="B98" s="2" t="s">
        <v>2202</v>
      </c>
      <c r="C98" s="3">
        <v>3</v>
      </c>
      <c r="D98" s="3" t="s">
        <v>1421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>
        <v>3</v>
      </c>
      <c r="BX98" s="3" t="s">
        <v>1422</v>
      </c>
      <c r="BY98" s="3">
        <v>3</v>
      </c>
      <c r="BZ98" s="3" t="s">
        <v>1423</v>
      </c>
      <c r="CA98" s="3">
        <v>3</v>
      </c>
      <c r="CB98" s="3" t="s">
        <v>1422</v>
      </c>
      <c r="CC98" s="3">
        <v>3</v>
      </c>
      <c r="CD98" s="3" t="s">
        <v>1424</v>
      </c>
      <c r="CE98" s="3">
        <v>3</v>
      </c>
      <c r="CF98" s="3" t="s">
        <v>1425</v>
      </c>
      <c r="CG98" s="3">
        <v>3</v>
      </c>
      <c r="CH98" s="3" t="s">
        <v>1426</v>
      </c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</row>
    <row r="99" spans="1:132" x14ac:dyDescent="0.25">
      <c r="A99" s="2" t="s">
        <v>3499</v>
      </c>
      <c r="B99" s="2" t="s">
        <v>2177</v>
      </c>
      <c r="C99" s="3">
        <v>3</v>
      </c>
      <c r="D99" s="3" t="s">
        <v>3510</v>
      </c>
      <c r="E99" s="3">
        <v>3</v>
      </c>
      <c r="F99" s="3" t="s">
        <v>3511</v>
      </c>
      <c r="G99" s="3">
        <v>3</v>
      </c>
      <c r="H99" s="3" t="s">
        <v>3510</v>
      </c>
      <c r="M99" s="3">
        <v>3</v>
      </c>
      <c r="N99" s="3" t="s">
        <v>3512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>
        <v>3</v>
      </c>
      <c r="BX99" s="3" t="s">
        <v>3510</v>
      </c>
      <c r="BY99" s="3">
        <v>3</v>
      </c>
      <c r="BZ99" s="3" t="s">
        <v>3511</v>
      </c>
      <c r="CA99" s="3">
        <v>3</v>
      </c>
      <c r="CB99" s="3" t="s">
        <v>3510</v>
      </c>
      <c r="CC99" s="3"/>
      <c r="CD99" s="3"/>
      <c r="CE99" s="3"/>
      <c r="CF99" s="3"/>
      <c r="CG99" s="3">
        <v>3</v>
      </c>
      <c r="CH99" s="3" t="s">
        <v>3512</v>
      </c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</row>
    <row r="100" spans="1:132" x14ac:dyDescent="0.25">
      <c r="A100" s="2" t="s">
        <v>3422</v>
      </c>
      <c r="B100" s="2" t="s">
        <v>3502</v>
      </c>
      <c r="C100" s="3">
        <v>3</v>
      </c>
      <c r="D100" s="3" t="s">
        <v>3503</v>
      </c>
      <c r="E100" s="3">
        <v>3</v>
      </c>
      <c r="F100" s="3" t="s">
        <v>3504</v>
      </c>
      <c r="G100" s="3">
        <v>3</v>
      </c>
      <c r="H100" s="3" t="s">
        <v>3505</v>
      </c>
      <c r="M100" s="3">
        <v>3</v>
      </c>
      <c r="N100" s="3" t="s">
        <v>3506</v>
      </c>
      <c r="O100" s="3">
        <v>1</v>
      </c>
      <c r="P100" s="3" t="s">
        <v>589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>
        <v>3</v>
      </c>
      <c r="BX100" s="3" t="s">
        <v>3507</v>
      </c>
      <c r="BY100" s="3">
        <v>3</v>
      </c>
      <c r="BZ100" s="3" t="s">
        <v>3508</v>
      </c>
      <c r="CA100" s="3">
        <v>3</v>
      </c>
      <c r="CB100" s="3" t="s">
        <v>3507</v>
      </c>
      <c r="CC100" s="3">
        <v>1</v>
      </c>
      <c r="CD100" s="3" t="s">
        <v>722</v>
      </c>
      <c r="CE100" s="3">
        <v>1</v>
      </c>
      <c r="CF100" s="3" t="s">
        <v>723</v>
      </c>
      <c r="CG100" s="3">
        <v>3</v>
      </c>
      <c r="CH100" s="3" t="s">
        <v>3509</v>
      </c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</row>
    <row r="101" spans="1:132" x14ac:dyDescent="0.25">
      <c r="A101" s="2" t="s">
        <v>1377</v>
      </c>
      <c r="B101" s="2" t="s">
        <v>1641</v>
      </c>
      <c r="C101" s="3">
        <v>100</v>
      </c>
      <c r="D101" s="3" t="s">
        <v>829</v>
      </c>
      <c r="E101" s="3">
        <v>100</v>
      </c>
      <c r="F101" s="3" t="s">
        <v>829</v>
      </c>
      <c r="I101" s="3">
        <v>100</v>
      </c>
      <c r="J101" s="3" t="s">
        <v>829</v>
      </c>
      <c r="K101" s="3">
        <v>100</v>
      </c>
      <c r="L101" s="3" t="s">
        <v>829</v>
      </c>
      <c r="O101" s="3">
        <v>100</v>
      </c>
      <c r="P101" s="3" t="s">
        <v>829</v>
      </c>
      <c r="Q101" s="3">
        <v>100</v>
      </c>
      <c r="R101" s="3" t="s">
        <v>829</v>
      </c>
      <c r="U101" s="3">
        <v>100</v>
      </c>
      <c r="V101" s="3" t="s">
        <v>829</v>
      </c>
      <c r="W101" s="3">
        <v>100</v>
      </c>
      <c r="X101" s="3" t="s">
        <v>829</v>
      </c>
      <c r="AA101" s="3">
        <v>100</v>
      </c>
      <c r="AB101" s="3" t="s">
        <v>829</v>
      </c>
      <c r="AC101" s="3">
        <v>100</v>
      </c>
      <c r="AD101" s="3" t="s">
        <v>829</v>
      </c>
      <c r="AG101" s="3">
        <v>100</v>
      </c>
      <c r="AH101" s="3" t="s">
        <v>829</v>
      </c>
      <c r="AI101" s="3">
        <v>100</v>
      </c>
      <c r="AJ101" s="3" t="s">
        <v>829</v>
      </c>
      <c r="AL101" s="3"/>
      <c r="AM101" s="3">
        <v>100</v>
      </c>
      <c r="AN101" s="3" t="s">
        <v>829</v>
      </c>
      <c r="AO101" s="3">
        <v>100</v>
      </c>
      <c r="AP101" s="3" t="s">
        <v>829</v>
      </c>
      <c r="AQ101" s="3"/>
      <c r="AR101" s="3"/>
      <c r="AS101" s="3">
        <v>100</v>
      </c>
      <c r="AT101" s="3" t="s">
        <v>829</v>
      </c>
      <c r="AU101" s="3">
        <v>100</v>
      </c>
      <c r="AV101" s="3" t="s">
        <v>829</v>
      </c>
      <c r="AW101" s="3"/>
      <c r="AX101" s="3"/>
      <c r="AY101" s="3">
        <v>100</v>
      </c>
      <c r="AZ101" s="3" t="s">
        <v>829</v>
      </c>
      <c r="BA101" s="3">
        <v>100</v>
      </c>
      <c r="BB101" s="3" t="s">
        <v>829</v>
      </c>
      <c r="BC101" s="3"/>
      <c r="BD101" s="3"/>
      <c r="BE101" s="3">
        <v>100</v>
      </c>
      <c r="BF101" s="3" t="s">
        <v>829</v>
      </c>
      <c r="BG101" s="3">
        <v>100</v>
      </c>
      <c r="BH101" s="3" t="s">
        <v>829</v>
      </c>
      <c r="BI101" s="3"/>
      <c r="BJ101" s="3"/>
      <c r="BK101" s="3">
        <v>100</v>
      </c>
      <c r="BL101" s="3" t="s">
        <v>829</v>
      </c>
      <c r="BM101" s="3">
        <v>100</v>
      </c>
      <c r="BN101" s="3" t="s">
        <v>829</v>
      </c>
      <c r="BO101" s="3"/>
      <c r="BP101" s="3"/>
      <c r="BQ101" s="3">
        <v>100</v>
      </c>
      <c r="BR101" s="3" t="s">
        <v>829</v>
      </c>
      <c r="BS101" s="3">
        <v>100</v>
      </c>
      <c r="BT101" s="3" t="s">
        <v>829</v>
      </c>
      <c r="BU101" s="3"/>
      <c r="BV101" s="3"/>
      <c r="BW101" s="3">
        <v>100</v>
      </c>
      <c r="BX101" s="3" t="s">
        <v>829</v>
      </c>
      <c r="BY101" s="3">
        <v>100</v>
      </c>
      <c r="BZ101" s="3" t="s">
        <v>829</v>
      </c>
      <c r="CA101" s="3"/>
      <c r="CB101" s="3"/>
      <c r="CC101" s="3">
        <v>100</v>
      </c>
      <c r="CD101" s="3" t="s">
        <v>829</v>
      </c>
      <c r="CE101" s="3">
        <v>100</v>
      </c>
      <c r="CF101" s="3" t="s">
        <v>829</v>
      </c>
      <c r="CG101" s="3"/>
      <c r="CH101" s="3"/>
      <c r="CI101" s="3">
        <v>100</v>
      </c>
      <c r="CJ101" s="3" t="s">
        <v>829</v>
      </c>
      <c r="CK101" s="3">
        <v>100</v>
      </c>
      <c r="CL101" s="3" t="s">
        <v>829</v>
      </c>
      <c r="CM101" s="3"/>
      <c r="CN101" s="3"/>
      <c r="CO101" s="3">
        <v>100</v>
      </c>
      <c r="CP101" s="3" t="s">
        <v>829</v>
      </c>
      <c r="CQ101" s="3">
        <v>100</v>
      </c>
      <c r="CR101" s="3" t="s">
        <v>829</v>
      </c>
      <c r="CS101" s="3"/>
      <c r="CT101" s="3"/>
      <c r="CU101" s="3">
        <v>100</v>
      </c>
      <c r="CV101" s="3" t="s">
        <v>829</v>
      </c>
      <c r="CW101" s="3">
        <v>100</v>
      </c>
      <c r="CX101" s="3" t="s">
        <v>829</v>
      </c>
      <c r="CY101" s="3"/>
      <c r="CZ101" s="3"/>
      <c r="DA101" s="3">
        <v>100</v>
      </c>
      <c r="DB101" s="3" t="s">
        <v>829</v>
      </c>
      <c r="DC101" s="3">
        <v>100</v>
      </c>
      <c r="DD101" s="3" t="s">
        <v>829</v>
      </c>
      <c r="DE101" s="3"/>
      <c r="DF101" s="3"/>
      <c r="DG101" s="3">
        <v>100</v>
      </c>
      <c r="DH101" s="3" t="s">
        <v>829</v>
      </c>
      <c r="DI101" s="3">
        <v>100</v>
      </c>
      <c r="DJ101" s="3" t="s">
        <v>829</v>
      </c>
      <c r="DK101" s="3"/>
      <c r="DL101" s="3"/>
      <c r="DM101" s="3">
        <v>100</v>
      </c>
      <c r="DN101" s="3" t="s">
        <v>829</v>
      </c>
      <c r="DO101" s="3">
        <v>100</v>
      </c>
      <c r="DP101" s="3" t="s">
        <v>829</v>
      </c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</row>
    <row r="102" spans="1:132" x14ac:dyDescent="0.25">
      <c r="A102" s="2" t="s">
        <v>1381</v>
      </c>
      <c r="B102" s="2" t="s">
        <v>1641</v>
      </c>
      <c r="C102" s="3">
        <v>100</v>
      </c>
      <c r="D102" s="3" t="s">
        <v>829</v>
      </c>
      <c r="E102" s="3">
        <v>100</v>
      </c>
      <c r="F102" s="3" t="s">
        <v>829</v>
      </c>
      <c r="I102" s="3">
        <v>100</v>
      </c>
      <c r="J102" s="3" t="s">
        <v>829</v>
      </c>
      <c r="K102" s="3">
        <v>100</v>
      </c>
      <c r="L102" s="3" t="s">
        <v>829</v>
      </c>
      <c r="O102" s="3">
        <v>100</v>
      </c>
      <c r="P102" s="3" t="s">
        <v>829</v>
      </c>
      <c r="Q102" s="3">
        <v>100</v>
      </c>
      <c r="R102" s="3" t="s">
        <v>829</v>
      </c>
      <c r="U102" s="3">
        <v>100</v>
      </c>
      <c r="V102" s="3" t="s">
        <v>829</v>
      </c>
      <c r="W102" s="3">
        <v>100</v>
      </c>
      <c r="X102" s="3" t="s">
        <v>829</v>
      </c>
      <c r="AA102" s="3">
        <v>100</v>
      </c>
      <c r="AB102" s="3" t="s">
        <v>829</v>
      </c>
      <c r="AC102" s="3">
        <v>100</v>
      </c>
      <c r="AD102" s="3" t="s">
        <v>829</v>
      </c>
      <c r="AG102" s="3">
        <v>100</v>
      </c>
      <c r="AH102" s="3" t="s">
        <v>829</v>
      </c>
      <c r="AI102" s="3">
        <v>100</v>
      </c>
      <c r="AJ102" s="3" t="s">
        <v>829</v>
      </c>
      <c r="AL102" s="3"/>
      <c r="AM102" s="3">
        <v>100</v>
      </c>
      <c r="AN102" s="3" t="s">
        <v>829</v>
      </c>
      <c r="AO102" s="3">
        <v>100</v>
      </c>
      <c r="AP102" s="3" t="s">
        <v>829</v>
      </c>
      <c r="AQ102" s="3"/>
      <c r="AR102" s="3"/>
      <c r="AS102" s="3">
        <v>100</v>
      </c>
      <c r="AT102" s="3" t="s">
        <v>829</v>
      </c>
      <c r="AU102" s="3">
        <v>100</v>
      </c>
      <c r="AV102" s="3" t="s">
        <v>829</v>
      </c>
      <c r="AW102" s="3"/>
      <c r="AX102" s="3"/>
      <c r="AY102" s="3">
        <v>100</v>
      </c>
      <c r="AZ102" s="3" t="s">
        <v>829</v>
      </c>
      <c r="BA102" s="3">
        <v>100</v>
      </c>
      <c r="BB102" s="3" t="s">
        <v>829</v>
      </c>
      <c r="BC102" s="3"/>
      <c r="BD102" s="3"/>
      <c r="BE102" s="3">
        <v>100</v>
      </c>
      <c r="BF102" s="3" t="s">
        <v>829</v>
      </c>
      <c r="BG102" s="3">
        <v>100</v>
      </c>
      <c r="BH102" s="3" t="s">
        <v>829</v>
      </c>
      <c r="BI102" s="3"/>
      <c r="BJ102" s="3"/>
      <c r="BK102" s="3">
        <v>100</v>
      </c>
      <c r="BL102" s="3" t="s">
        <v>829</v>
      </c>
      <c r="BM102" s="3">
        <v>100</v>
      </c>
      <c r="BN102" s="3" t="s">
        <v>829</v>
      </c>
      <c r="BO102" s="3"/>
      <c r="BP102" s="3"/>
      <c r="BQ102" s="3">
        <v>100</v>
      </c>
      <c r="BR102" s="3" t="s">
        <v>829</v>
      </c>
      <c r="BS102" s="3">
        <v>100</v>
      </c>
      <c r="BT102" s="3" t="s">
        <v>829</v>
      </c>
      <c r="BU102" s="3"/>
      <c r="BV102" s="3"/>
      <c r="BW102" s="3">
        <v>100</v>
      </c>
      <c r="BX102" s="3" t="s">
        <v>829</v>
      </c>
      <c r="BY102" s="3">
        <v>100</v>
      </c>
      <c r="BZ102" s="3" t="s">
        <v>829</v>
      </c>
      <c r="CA102" s="3">
        <v>100</v>
      </c>
      <c r="CB102" s="3" t="s">
        <v>829</v>
      </c>
      <c r="CC102" s="3">
        <v>100</v>
      </c>
      <c r="CD102" s="3" t="s">
        <v>829</v>
      </c>
      <c r="CE102" s="3">
        <v>100</v>
      </c>
      <c r="CF102" s="3" t="s">
        <v>829</v>
      </c>
      <c r="CG102" s="3">
        <v>100</v>
      </c>
      <c r="CH102" s="3" t="s">
        <v>829</v>
      </c>
      <c r="CI102" s="3">
        <v>100</v>
      </c>
      <c r="CJ102" s="3" t="s">
        <v>829</v>
      </c>
      <c r="CK102" s="3">
        <v>100</v>
      </c>
      <c r="CL102" s="3" t="s">
        <v>829</v>
      </c>
      <c r="CM102" s="3"/>
      <c r="CN102" s="3"/>
      <c r="CO102" s="3">
        <v>100</v>
      </c>
      <c r="CP102" s="3" t="s">
        <v>829</v>
      </c>
      <c r="CQ102" s="3">
        <v>100</v>
      </c>
      <c r="CR102" s="3" t="s">
        <v>829</v>
      </c>
      <c r="CS102" s="3"/>
      <c r="CT102" s="3"/>
      <c r="CU102" s="3">
        <v>100</v>
      </c>
      <c r="CV102" s="3" t="s">
        <v>829</v>
      </c>
      <c r="CW102" s="3">
        <v>100</v>
      </c>
      <c r="CX102" s="3" t="s">
        <v>829</v>
      </c>
      <c r="CY102" s="3"/>
      <c r="CZ102" s="3"/>
      <c r="DA102" s="3">
        <v>100</v>
      </c>
      <c r="DB102" s="3" t="s">
        <v>829</v>
      </c>
      <c r="DC102" s="3">
        <v>100</v>
      </c>
      <c r="DD102" s="3" t="s">
        <v>829</v>
      </c>
      <c r="DE102" s="3"/>
      <c r="DF102" s="3"/>
      <c r="DG102" s="3">
        <v>100</v>
      </c>
      <c r="DH102" s="3" t="s">
        <v>829</v>
      </c>
      <c r="DI102" s="3">
        <v>100</v>
      </c>
      <c r="DJ102" s="3" t="s">
        <v>829</v>
      </c>
      <c r="DK102" s="3"/>
      <c r="DL102" s="3"/>
      <c r="DM102" s="3">
        <v>100</v>
      </c>
      <c r="DN102" s="3" t="s">
        <v>829</v>
      </c>
      <c r="DO102" s="3">
        <v>100</v>
      </c>
      <c r="DP102" s="3" t="s">
        <v>829</v>
      </c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</row>
    <row r="103" spans="1:132" x14ac:dyDescent="0.25">
      <c r="A103" s="2" t="s">
        <v>1444</v>
      </c>
      <c r="B103" s="2" t="s">
        <v>1641</v>
      </c>
      <c r="C103" s="3">
        <v>100</v>
      </c>
      <c r="D103" s="3" t="s">
        <v>829</v>
      </c>
      <c r="E103" s="3">
        <v>100</v>
      </c>
      <c r="F103" s="3" t="s">
        <v>829</v>
      </c>
      <c r="I103" s="3">
        <v>100</v>
      </c>
      <c r="J103" s="3" t="s">
        <v>829</v>
      </c>
      <c r="K103" s="3">
        <v>100</v>
      </c>
      <c r="L103" s="3" t="s">
        <v>829</v>
      </c>
      <c r="O103" s="3">
        <v>100</v>
      </c>
      <c r="P103" s="3" t="s">
        <v>829</v>
      </c>
      <c r="Q103" s="3">
        <v>100</v>
      </c>
      <c r="R103" s="3" t="s">
        <v>829</v>
      </c>
      <c r="U103" s="3">
        <v>100</v>
      </c>
      <c r="V103" s="3" t="s">
        <v>829</v>
      </c>
      <c r="W103" s="3">
        <v>100</v>
      </c>
      <c r="X103" s="3" t="s">
        <v>829</v>
      </c>
      <c r="AA103" s="3">
        <v>100</v>
      </c>
      <c r="AB103" s="3" t="s">
        <v>829</v>
      </c>
      <c r="AC103" s="3">
        <v>100</v>
      </c>
      <c r="AD103" s="3" t="s">
        <v>829</v>
      </c>
      <c r="AG103" s="3">
        <v>100</v>
      </c>
      <c r="AH103" s="3" t="s">
        <v>829</v>
      </c>
      <c r="AI103" s="3">
        <v>100</v>
      </c>
      <c r="AJ103" s="3" t="s">
        <v>829</v>
      </c>
      <c r="AL103" s="3"/>
      <c r="AM103" s="3">
        <v>100</v>
      </c>
      <c r="AN103" s="3" t="s">
        <v>829</v>
      </c>
      <c r="AO103" s="3">
        <v>100</v>
      </c>
      <c r="AP103" s="3" t="s">
        <v>829</v>
      </c>
      <c r="AQ103" s="3"/>
      <c r="AR103" s="3"/>
      <c r="AS103" s="3">
        <v>100</v>
      </c>
      <c r="AT103" s="3" t="s">
        <v>829</v>
      </c>
      <c r="AU103" s="3">
        <v>100</v>
      </c>
      <c r="AV103" s="3" t="s">
        <v>829</v>
      </c>
      <c r="AW103" s="3"/>
      <c r="AX103" s="3"/>
      <c r="AY103" s="3">
        <v>100</v>
      </c>
      <c r="AZ103" s="3" t="s">
        <v>829</v>
      </c>
      <c r="BA103" s="3">
        <v>100</v>
      </c>
      <c r="BB103" s="3" t="s">
        <v>829</v>
      </c>
      <c r="BC103" s="3"/>
      <c r="BD103" s="3"/>
      <c r="BE103" s="3">
        <v>100</v>
      </c>
      <c r="BF103" s="3" t="s">
        <v>829</v>
      </c>
      <c r="BG103" s="3">
        <v>100</v>
      </c>
      <c r="BH103" s="3" t="s">
        <v>829</v>
      </c>
      <c r="BI103" s="3"/>
      <c r="BJ103" s="3"/>
      <c r="BK103" s="3">
        <v>100</v>
      </c>
      <c r="BL103" s="3" t="s">
        <v>829</v>
      </c>
      <c r="BM103" s="3">
        <v>100</v>
      </c>
      <c r="BN103" s="3" t="s">
        <v>829</v>
      </c>
      <c r="BO103" s="3"/>
      <c r="BP103" s="3"/>
      <c r="BQ103" s="3">
        <v>100</v>
      </c>
      <c r="BR103" s="3" t="s">
        <v>829</v>
      </c>
      <c r="BS103" s="3">
        <v>100</v>
      </c>
      <c r="BT103" s="3" t="s">
        <v>829</v>
      </c>
      <c r="BU103" s="3"/>
      <c r="BV103" s="3"/>
      <c r="BW103" s="3">
        <v>100</v>
      </c>
      <c r="BX103" s="3" t="s">
        <v>829</v>
      </c>
      <c r="BY103" s="3">
        <v>100</v>
      </c>
      <c r="BZ103" s="3" t="s">
        <v>829</v>
      </c>
      <c r="CA103" s="3">
        <v>1</v>
      </c>
      <c r="CB103" s="3" t="s">
        <v>841</v>
      </c>
      <c r="CC103" s="3">
        <v>100</v>
      </c>
      <c r="CD103" s="3" t="s">
        <v>829</v>
      </c>
      <c r="CE103" s="3">
        <v>100</v>
      </c>
      <c r="CF103" s="3" t="s">
        <v>829</v>
      </c>
      <c r="CG103" s="3">
        <v>1</v>
      </c>
      <c r="CH103" s="3" t="s">
        <v>733</v>
      </c>
      <c r="CI103" s="3">
        <v>100</v>
      </c>
      <c r="CJ103" s="3" t="s">
        <v>829</v>
      </c>
      <c r="CK103" s="3">
        <v>100</v>
      </c>
      <c r="CL103" s="3" t="s">
        <v>829</v>
      </c>
      <c r="CM103" s="3"/>
      <c r="CN103" s="3"/>
      <c r="CO103" s="3">
        <v>100</v>
      </c>
      <c r="CP103" s="3" t="s">
        <v>829</v>
      </c>
      <c r="CQ103" s="3">
        <v>100</v>
      </c>
      <c r="CR103" s="3" t="s">
        <v>829</v>
      </c>
      <c r="CS103" s="3"/>
      <c r="CT103" s="3"/>
      <c r="CU103" s="3">
        <v>100</v>
      </c>
      <c r="CV103" s="3" t="s">
        <v>829</v>
      </c>
      <c r="CW103" s="3">
        <v>100</v>
      </c>
      <c r="CX103" s="3" t="s">
        <v>829</v>
      </c>
      <c r="CY103" s="3"/>
      <c r="CZ103" s="3"/>
      <c r="DA103" s="3">
        <v>100</v>
      </c>
      <c r="DB103" s="3" t="s">
        <v>829</v>
      </c>
      <c r="DC103" s="3">
        <v>100</v>
      </c>
      <c r="DD103" s="3" t="s">
        <v>829</v>
      </c>
      <c r="DE103" s="3"/>
      <c r="DF103" s="3"/>
      <c r="DG103" s="3">
        <v>100</v>
      </c>
      <c r="DH103" s="3" t="s">
        <v>829</v>
      </c>
      <c r="DI103" s="3">
        <v>100</v>
      </c>
      <c r="DJ103" s="3" t="s">
        <v>829</v>
      </c>
      <c r="DK103" s="3"/>
      <c r="DL103" s="3"/>
      <c r="DM103" s="3">
        <v>100</v>
      </c>
      <c r="DN103" s="3" t="s">
        <v>829</v>
      </c>
      <c r="DO103" s="3">
        <v>100</v>
      </c>
      <c r="DP103" s="3" t="s">
        <v>829</v>
      </c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</row>
    <row r="104" spans="1:132" x14ac:dyDescent="0.25">
      <c r="A104" s="2" t="s">
        <v>417</v>
      </c>
      <c r="B104" s="2" t="s">
        <v>2229</v>
      </c>
      <c r="C104" s="3">
        <v>1</v>
      </c>
      <c r="D104" s="3" t="s">
        <v>695</v>
      </c>
      <c r="E104" s="3">
        <v>1</v>
      </c>
      <c r="F104" s="3" t="s">
        <v>2123</v>
      </c>
      <c r="G104" s="3">
        <v>1</v>
      </c>
      <c r="H104" s="3" t="s">
        <v>2124</v>
      </c>
      <c r="I104" s="3">
        <v>1</v>
      </c>
      <c r="J104" s="3" t="s">
        <v>2120</v>
      </c>
      <c r="K104" s="3">
        <v>1</v>
      </c>
      <c r="L104" s="3" t="s">
        <v>2121</v>
      </c>
      <c r="M104" s="3">
        <v>1</v>
      </c>
      <c r="N104" s="3" t="s">
        <v>2125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>
        <v>1</v>
      </c>
      <c r="BX104" s="3" t="s">
        <v>2126</v>
      </c>
      <c r="BY104" s="3">
        <v>1</v>
      </c>
      <c r="BZ104" s="3" t="s">
        <v>2127</v>
      </c>
      <c r="CA104" s="3">
        <v>1</v>
      </c>
      <c r="CB104" s="3" t="s">
        <v>2126</v>
      </c>
      <c r="CC104" s="3">
        <v>1</v>
      </c>
      <c r="CD104" s="3" t="s">
        <v>696</v>
      </c>
      <c r="CE104" s="3">
        <v>1</v>
      </c>
      <c r="CF104" s="3" t="s">
        <v>2128</v>
      </c>
      <c r="CG104" s="3">
        <v>1</v>
      </c>
      <c r="CH104" s="3" t="s">
        <v>2129</v>
      </c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</row>
    <row r="105" spans="1:132" x14ac:dyDescent="0.25">
      <c r="A105" s="2" t="s">
        <v>4910</v>
      </c>
      <c r="B105" s="2" t="s">
        <v>1435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>
        <v>1</v>
      </c>
      <c r="DW105" s="3" t="s">
        <v>2952</v>
      </c>
      <c r="DX105" s="3"/>
      <c r="DY105" s="3"/>
      <c r="DZ105" s="3"/>
      <c r="EA105" s="3"/>
    </row>
    <row r="106" spans="1:132" x14ac:dyDescent="0.25">
      <c r="A106" s="2" t="s">
        <v>423</v>
      </c>
      <c r="B106" s="2" t="s">
        <v>1058</v>
      </c>
      <c r="O106" s="3">
        <v>1</v>
      </c>
      <c r="P106" s="3" t="s">
        <v>1059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>
        <v>1</v>
      </c>
      <c r="BX106" s="3" t="s">
        <v>1060</v>
      </c>
      <c r="BY106" s="3">
        <v>1</v>
      </c>
      <c r="BZ106" s="3" t="s">
        <v>1061</v>
      </c>
      <c r="CA106" s="3">
        <v>1</v>
      </c>
      <c r="CB106" s="3" t="s">
        <v>1060</v>
      </c>
      <c r="CC106" s="3">
        <v>1</v>
      </c>
      <c r="CD106" s="3" t="s">
        <v>1062</v>
      </c>
      <c r="CE106" s="3">
        <v>1</v>
      </c>
      <c r="CF106" s="3" t="s">
        <v>1063</v>
      </c>
      <c r="CG106" s="3">
        <v>1</v>
      </c>
      <c r="CH106" s="3" t="s">
        <v>1064</v>
      </c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 t="s">
        <v>34</v>
      </c>
      <c r="DX106" s="3"/>
      <c r="DY106" s="3"/>
      <c r="DZ106" s="3"/>
      <c r="EA106" s="3"/>
    </row>
    <row r="107" spans="1:132" x14ac:dyDescent="0.25">
      <c r="A107" s="2" t="s">
        <v>2643</v>
      </c>
      <c r="B107" s="2" t="s">
        <v>2919</v>
      </c>
      <c r="G107" s="3">
        <v>2</v>
      </c>
      <c r="H107" s="3" t="s">
        <v>2916</v>
      </c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 t="s">
        <v>2917</v>
      </c>
      <c r="DZ107" s="3"/>
      <c r="EA107" s="3"/>
    </row>
    <row r="108" spans="1:132" x14ac:dyDescent="0.25">
      <c r="A108" s="2" t="s">
        <v>2649</v>
      </c>
      <c r="B108" s="2" t="s">
        <v>2918</v>
      </c>
      <c r="C108" s="3">
        <v>1</v>
      </c>
      <c r="D108" s="3" t="s">
        <v>1021</v>
      </c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>
        <v>1</v>
      </c>
      <c r="BX108" s="3" t="s">
        <v>663</v>
      </c>
      <c r="BY108" s="3">
        <v>1</v>
      </c>
      <c r="BZ108" s="3" t="s">
        <v>664</v>
      </c>
      <c r="CA108" s="3">
        <v>1</v>
      </c>
      <c r="CB108" s="3" t="s">
        <v>663</v>
      </c>
      <c r="CC108" s="3">
        <v>1</v>
      </c>
      <c r="CD108" s="3" t="s">
        <v>1022</v>
      </c>
      <c r="CE108" s="3">
        <v>1</v>
      </c>
      <c r="CF108" s="3" t="s">
        <v>1023</v>
      </c>
      <c r="CG108" s="3">
        <v>1</v>
      </c>
      <c r="CH108" s="3" t="s">
        <v>662</v>
      </c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</row>
    <row r="109" spans="1:132" x14ac:dyDescent="0.25">
      <c r="A109" s="2" t="s">
        <v>1998</v>
      </c>
      <c r="B109" s="2" t="s">
        <v>2200</v>
      </c>
      <c r="C109" s="3">
        <v>1</v>
      </c>
      <c r="D109" s="3" t="s">
        <v>596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>
        <v>1</v>
      </c>
      <c r="BX109" s="3" t="s">
        <v>725</v>
      </c>
      <c r="BY109" s="3">
        <v>1</v>
      </c>
      <c r="BZ109" s="3" t="s">
        <v>726</v>
      </c>
      <c r="CA109" s="3">
        <v>1</v>
      </c>
      <c r="CB109" s="3" t="s">
        <v>725</v>
      </c>
      <c r="CC109" s="3">
        <v>1</v>
      </c>
      <c r="CD109" s="3" t="s">
        <v>727</v>
      </c>
      <c r="CE109" s="3">
        <v>1</v>
      </c>
      <c r="CF109" s="3" t="s">
        <v>728</v>
      </c>
      <c r="CG109" s="3">
        <v>1</v>
      </c>
      <c r="CH109" s="3" t="s">
        <v>729</v>
      </c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</row>
    <row r="110" spans="1:132" x14ac:dyDescent="0.25">
      <c r="A110" s="2" t="s">
        <v>2689</v>
      </c>
      <c r="B110" s="2" t="s">
        <v>2920</v>
      </c>
      <c r="C110" s="3">
        <v>2</v>
      </c>
      <c r="D110" s="3" t="s">
        <v>2921</v>
      </c>
      <c r="E110" s="3">
        <v>2</v>
      </c>
      <c r="F110" s="3" t="s">
        <v>2922</v>
      </c>
      <c r="G110" s="3">
        <v>2</v>
      </c>
      <c r="H110" s="3" t="s">
        <v>2923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</row>
    <row r="111" spans="1:132" x14ac:dyDescent="0.25">
      <c r="A111" s="2" t="s">
        <v>55</v>
      </c>
      <c r="B111" s="2" t="s">
        <v>2116</v>
      </c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2" t="s">
        <v>2115</v>
      </c>
    </row>
    <row r="112" spans="1:132" x14ac:dyDescent="0.25">
      <c r="A112" s="2" t="s">
        <v>2706</v>
      </c>
      <c r="B112" s="2" t="s">
        <v>2924</v>
      </c>
      <c r="C112" s="3">
        <v>1</v>
      </c>
      <c r="D112" s="3" t="s">
        <v>2925</v>
      </c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>
        <v>1</v>
      </c>
      <c r="BX112" s="3" t="s">
        <v>2926</v>
      </c>
      <c r="BY112" s="3">
        <v>1</v>
      </c>
      <c r="BZ112" s="3" t="s">
        <v>2927</v>
      </c>
      <c r="CA112" s="3">
        <v>1</v>
      </c>
      <c r="CB112" s="3" t="s">
        <v>2926</v>
      </c>
      <c r="CC112" s="3">
        <v>1</v>
      </c>
      <c r="CD112" s="3" t="s">
        <v>2928</v>
      </c>
      <c r="CE112" s="3">
        <v>1</v>
      </c>
      <c r="CF112" s="3" t="s">
        <v>2929</v>
      </c>
      <c r="CG112" s="3">
        <v>1</v>
      </c>
      <c r="CH112" s="3" t="s">
        <v>2930</v>
      </c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</row>
    <row r="113" spans="1:132" x14ac:dyDescent="0.25">
      <c r="A113" s="2" t="s">
        <v>2798</v>
      </c>
      <c r="B113" s="2" t="s">
        <v>2951</v>
      </c>
      <c r="C113" s="3">
        <v>1</v>
      </c>
      <c r="D113" s="3" t="s">
        <v>2952</v>
      </c>
      <c r="O113" s="3">
        <v>2</v>
      </c>
      <c r="P113" s="3" t="s">
        <v>2953</v>
      </c>
      <c r="Q113" s="3">
        <v>2</v>
      </c>
      <c r="R113" s="3" t="s">
        <v>2954</v>
      </c>
      <c r="S113" s="3">
        <v>2</v>
      </c>
      <c r="T113" s="3" t="s">
        <v>2955</v>
      </c>
      <c r="U113" s="3">
        <v>2</v>
      </c>
      <c r="V113" s="3" t="s">
        <v>2956</v>
      </c>
      <c r="W113" s="3">
        <v>2</v>
      </c>
      <c r="X113" s="3" t="s">
        <v>2957</v>
      </c>
      <c r="Y113" s="3">
        <v>2</v>
      </c>
      <c r="Z113" s="3" t="s">
        <v>2958</v>
      </c>
      <c r="AL113" s="3"/>
      <c r="AM113" s="3">
        <v>2</v>
      </c>
      <c r="AN113" s="3" t="s">
        <v>2959</v>
      </c>
      <c r="AO113" s="3">
        <v>2</v>
      </c>
      <c r="AP113" s="3" t="s">
        <v>2960</v>
      </c>
      <c r="AQ113" s="3">
        <v>2</v>
      </c>
      <c r="AR113" s="3" t="s">
        <v>2959</v>
      </c>
      <c r="AS113" s="3">
        <v>2</v>
      </c>
      <c r="AT113" s="3" t="s">
        <v>2961</v>
      </c>
      <c r="AU113" s="3">
        <v>2</v>
      </c>
      <c r="AV113" s="3" t="s">
        <v>2962</v>
      </c>
      <c r="AW113" s="3">
        <v>2</v>
      </c>
      <c r="AX113" s="3" t="s">
        <v>2958</v>
      </c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>
        <v>1</v>
      </c>
      <c r="BX113" s="3" t="s">
        <v>2963</v>
      </c>
      <c r="BY113" s="3">
        <v>1</v>
      </c>
      <c r="BZ113" s="3" t="s">
        <v>2964</v>
      </c>
      <c r="CA113" s="3">
        <v>1</v>
      </c>
      <c r="CB113" s="3" t="s">
        <v>2963</v>
      </c>
      <c r="CC113" s="3">
        <v>1</v>
      </c>
      <c r="CD113" s="3" t="s">
        <v>2965</v>
      </c>
      <c r="CE113" s="3">
        <v>1</v>
      </c>
      <c r="CF113" s="3" t="s">
        <v>2966</v>
      </c>
      <c r="CG113" s="3">
        <v>1</v>
      </c>
      <c r="CH113" s="3" t="s">
        <v>2967</v>
      </c>
      <c r="CI113" s="3">
        <v>2</v>
      </c>
      <c r="CJ113" s="3" t="s">
        <v>2968</v>
      </c>
      <c r="CK113" s="3">
        <v>2</v>
      </c>
      <c r="CL113" s="3" t="s">
        <v>2969</v>
      </c>
      <c r="CM113" s="3">
        <v>2</v>
      </c>
      <c r="CN113" s="3" t="s">
        <v>2968</v>
      </c>
      <c r="CO113" s="3">
        <v>2</v>
      </c>
      <c r="CP113" s="3" t="s">
        <v>2972</v>
      </c>
      <c r="CQ113" s="3">
        <v>2</v>
      </c>
      <c r="CR113" s="3" t="s">
        <v>2971</v>
      </c>
      <c r="CS113" s="3">
        <v>2</v>
      </c>
      <c r="CT113" s="3" t="s">
        <v>2970</v>
      </c>
      <c r="CU113" s="3">
        <v>2</v>
      </c>
      <c r="CV113" s="3" t="s">
        <v>2973</v>
      </c>
      <c r="CW113" s="3">
        <v>2</v>
      </c>
      <c r="CX113" s="3" t="s">
        <v>2974</v>
      </c>
      <c r="CY113" s="3">
        <v>2</v>
      </c>
      <c r="CZ113" s="3" t="s">
        <v>2973</v>
      </c>
      <c r="DA113" s="3">
        <v>2</v>
      </c>
      <c r="DB113" s="3" t="s">
        <v>2975</v>
      </c>
      <c r="DC113" s="3">
        <v>2</v>
      </c>
      <c r="DD113" s="3" t="s">
        <v>2976</v>
      </c>
      <c r="DE113" s="3">
        <v>2</v>
      </c>
      <c r="DF113" s="3" t="s">
        <v>2977</v>
      </c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</row>
    <row r="114" spans="1:132" x14ac:dyDescent="0.25">
      <c r="A114" s="2" t="s">
        <v>2799</v>
      </c>
      <c r="B114" s="2" t="s">
        <v>1265</v>
      </c>
      <c r="C114" s="3">
        <v>1</v>
      </c>
      <c r="D114" s="3" t="s">
        <v>271</v>
      </c>
      <c r="E114" s="3">
        <v>1</v>
      </c>
      <c r="F114" s="3" t="s">
        <v>781</v>
      </c>
      <c r="G114" s="3">
        <v>1</v>
      </c>
      <c r="H114" s="3" t="s">
        <v>274</v>
      </c>
      <c r="I114" s="3">
        <v>1</v>
      </c>
      <c r="J114" s="3" t="s">
        <v>10</v>
      </c>
      <c r="K114" s="3">
        <v>1</v>
      </c>
      <c r="L114" s="3" t="s">
        <v>272</v>
      </c>
      <c r="M114" s="3">
        <v>1</v>
      </c>
      <c r="N114" s="3" t="s">
        <v>273</v>
      </c>
      <c r="O114" s="3">
        <v>1</v>
      </c>
      <c r="P114" s="3" t="s">
        <v>782</v>
      </c>
      <c r="Q114" s="3">
        <v>1</v>
      </c>
      <c r="R114" s="3" t="s">
        <v>787</v>
      </c>
      <c r="S114" s="3">
        <v>1</v>
      </c>
      <c r="T114" s="3" t="s">
        <v>783</v>
      </c>
      <c r="U114" s="3">
        <v>1</v>
      </c>
      <c r="V114" s="3" t="s">
        <v>785</v>
      </c>
      <c r="W114" s="3">
        <v>1</v>
      </c>
      <c r="X114" s="3" t="s">
        <v>786</v>
      </c>
      <c r="Y114" s="3">
        <v>1</v>
      </c>
      <c r="Z114" s="3" t="s">
        <v>784</v>
      </c>
      <c r="AA114" s="3">
        <v>1</v>
      </c>
      <c r="AB114" s="3" t="s">
        <v>275</v>
      </c>
      <c r="AC114" s="3">
        <v>1</v>
      </c>
      <c r="AD114" s="3" t="s">
        <v>276</v>
      </c>
      <c r="AE114" s="3">
        <v>1</v>
      </c>
      <c r="AF114" s="3" t="s">
        <v>275</v>
      </c>
      <c r="AG114" s="3">
        <v>1</v>
      </c>
      <c r="AH114" s="3" t="s">
        <v>277</v>
      </c>
      <c r="AI114" s="3">
        <v>1</v>
      </c>
      <c r="AJ114" s="3" t="s">
        <v>278</v>
      </c>
      <c r="AK114" s="3">
        <v>1</v>
      </c>
      <c r="AL114" s="3" t="s">
        <v>279</v>
      </c>
      <c r="AM114" s="3">
        <v>1</v>
      </c>
      <c r="AN114" s="3" t="s">
        <v>788</v>
      </c>
      <c r="AO114" s="3">
        <v>1</v>
      </c>
      <c r="AP114" s="3" t="s">
        <v>789</v>
      </c>
      <c r="AQ114" s="3">
        <v>1</v>
      </c>
      <c r="AR114" s="3" t="s">
        <v>788</v>
      </c>
      <c r="AS114" s="3">
        <v>1</v>
      </c>
      <c r="AT114" s="3" t="s">
        <v>790</v>
      </c>
      <c r="AU114" s="3">
        <v>1</v>
      </c>
      <c r="AV114" s="3" t="s">
        <v>791</v>
      </c>
      <c r="AW114" s="3">
        <v>1</v>
      </c>
      <c r="AX114" s="3" t="s">
        <v>784</v>
      </c>
      <c r="AY114" s="3">
        <v>1</v>
      </c>
      <c r="AZ114" s="3" t="s">
        <v>792</v>
      </c>
      <c r="BA114" s="3">
        <v>1</v>
      </c>
      <c r="BB114" s="3" t="s">
        <v>793</v>
      </c>
      <c r="BC114" s="3">
        <v>1</v>
      </c>
      <c r="BD114" s="3" t="s">
        <v>794</v>
      </c>
      <c r="BE114" s="3">
        <v>1</v>
      </c>
      <c r="BF114" s="3" t="s">
        <v>795</v>
      </c>
      <c r="BG114" s="3">
        <v>1</v>
      </c>
      <c r="BH114" s="3" t="s">
        <v>796</v>
      </c>
      <c r="BI114" s="3">
        <v>1</v>
      </c>
      <c r="BJ114" s="3" t="s">
        <v>797</v>
      </c>
      <c r="BK114" s="3">
        <v>1</v>
      </c>
      <c r="BL114" s="3" t="s">
        <v>798</v>
      </c>
      <c r="BM114" s="3">
        <v>1</v>
      </c>
      <c r="BN114" s="3" t="s">
        <v>799</v>
      </c>
      <c r="BO114" s="3">
        <v>1</v>
      </c>
      <c r="BP114" s="3" t="s">
        <v>798</v>
      </c>
      <c r="BQ114" s="3">
        <v>1</v>
      </c>
      <c r="BR114" s="3" t="s">
        <v>800</v>
      </c>
      <c r="BS114" s="3">
        <v>1</v>
      </c>
      <c r="BT114" s="3" t="s">
        <v>801</v>
      </c>
      <c r="BU114" s="3">
        <v>1</v>
      </c>
      <c r="BV114" s="3" t="s">
        <v>802</v>
      </c>
      <c r="BW114" s="3">
        <v>1</v>
      </c>
      <c r="BX114" s="3" t="s">
        <v>803</v>
      </c>
      <c r="BY114" s="3">
        <v>1</v>
      </c>
      <c r="BZ114" s="3" t="s">
        <v>804</v>
      </c>
      <c r="CA114" s="3">
        <v>1</v>
      </c>
      <c r="CB114" s="3" t="s">
        <v>803</v>
      </c>
      <c r="CC114" s="3">
        <v>1</v>
      </c>
      <c r="CD114" s="3" t="s">
        <v>805</v>
      </c>
      <c r="CE114" s="3">
        <v>1</v>
      </c>
      <c r="CF114" s="3" t="s">
        <v>806</v>
      </c>
      <c r="CG114" s="3">
        <v>1</v>
      </c>
      <c r="CH114" s="3" t="s">
        <v>807</v>
      </c>
      <c r="CI114" s="3">
        <v>1</v>
      </c>
      <c r="CJ114" s="3" t="s">
        <v>808</v>
      </c>
      <c r="CK114" s="3">
        <v>1</v>
      </c>
      <c r="CL114" s="3" t="s">
        <v>809</v>
      </c>
      <c r="CM114" s="3">
        <v>1</v>
      </c>
      <c r="CN114" s="3" t="s">
        <v>808</v>
      </c>
      <c r="CO114" s="3">
        <v>1</v>
      </c>
      <c r="CP114" s="3" t="s">
        <v>810</v>
      </c>
      <c r="CQ114" s="3">
        <v>1</v>
      </c>
      <c r="CR114" s="3" t="s">
        <v>811</v>
      </c>
      <c r="CS114" s="3">
        <v>1</v>
      </c>
      <c r="CT114" s="3" t="s">
        <v>812</v>
      </c>
      <c r="CU114" s="3">
        <v>1</v>
      </c>
      <c r="CV114" s="3" t="s">
        <v>813</v>
      </c>
      <c r="CW114" s="3">
        <v>1</v>
      </c>
      <c r="CX114" s="3" t="s">
        <v>814</v>
      </c>
      <c r="CY114" s="3">
        <v>1</v>
      </c>
      <c r="CZ114" s="3" t="s">
        <v>813</v>
      </c>
      <c r="DA114" s="3">
        <v>1</v>
      </c>
      <c r="DB114" s="3" t="s">
        <v>815</v>
      </c>
      <c r="DC114" s="3">
        <v>1</v>
      </c>
      <c r="DD114" s="3" t="s">
        <v>816</v>
      </c>
      <c r="DE114" s="3">
        <v>1</v>
      </c>
      <c r="DF114" s="3" t="s">
        <v>817</v>
      </c>
      <c r="DG114" s="3">
        <v>1</v>
      </c>
      <c r="DH114" s="3" t="s">
        <v>818</v>
      </c>
      <c r="DI114" s="3">
        <v>1</v>
      </c>
      <c r="DJ114" s="3" t="s">
        <v>819</v>
      </c>
      <c r="DK114" s="3">
        <v>1</v>
      </c>
      <c r="DL114" s="3" t="s">
        <v>818</v>
      </c>
      <c r="DM114" s="3">
        <v>1</v>
      </c>
      <c r="DN114" s="3" t="s">
        <v>820</v>
      </c>
      <c r="DO114" s="3">
        <v>1</v>
      </c>
      <c r="DP114" s="3" t="s">
        <v>821</v>
      </c>
      <c r="DQ114" s="3">
        <v>1</v>
      </c>
      <c r="DR114" s="3" t="s">
        <v>822</v>
      </c>
      <c r="DS114" s="3">
        <v>1</v>
      </c>
      <c r="DT114" s="3" t="s">
        <v>823</v>
      </c>
      <c r="DU114" s="3">
        <v>1</v>
      </c>
      <c r="DV114" s="3">
        <v>1</v>
      </c>
      <c r="DW114" s="3" t="s">
        <v>824</v>
      </c>
      <c r="DX114" s="3">
        <v>1</v>
      </c>
      <c r="DY114" s="3"/>
      <c r="DZ114" s="3"/>
      <c r="EA114" s="3"/>
    </row>
    <row r="115" spans="1:132" x14ac:dyDescent="0.25">
      <c r="A115" s="2" t="s">
        <v>2805</v>
      </c>
      <c r="B115" s="2" t="s">
        <v>2941</v>
      </c>
      <c r="C115" s="3">
        <v>2</v>
      </c>
      <c r="D115" s="3" t="s">
        <v>2942</v>
      </c>
      <c r="E115" s="3">
        <v>2</v>
      </c>
      <c r="F115" s="3" t="s">
        <v>2943</v>
      </c>
      <c r="G115" s="3">
        <v>2</v>
      </c>
      <c r="H115" s="3" t="s">
        <v>2944</v>
      </c>
      <c r="M115" s="3">
        <v>2</v>
      </c>
      <c r="N115" s="3" t="s">
        <v>2945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>
        <v>2</v>
      </c>
      <c r="BX115" s="3" t="s">
        <v>2946</v>
      </c>
      <c r="BY115" s="3">
        <v>2</v>
      </c>
      <c r="BZ115" s="3" t="s">
        <v>2947</v>
      </c>
      <c r="CA115" s="3">
        <v>2</v>
      </c>
      <c r="CB115" s="3" t="s">
        <v>2946</v>
      </c>
      <c r="CC115" s="3">
        <v>2</v>
      </c>
      <c r="CD115" s="3" t="s">
        <v>2948</v>
      </c>
      <c r="CE115" s="3">
        <v>2</v>
      </c>
      <c r="CF115" s="3" t="s">
        <v>2949</v>
      </c>
      <c r="CG115" s="3">
        <v>2</v>
      </c>
      <c r="CH115" s="3" t="s">
        <v>2950</v>
      </c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</row>
    <row r="116" spans="1:132" x14ac:dyDescent="0.25">
      <c r="A116" s="2" t="s">
        <v>267</v>
      </c>
      <c r="B116" s="2" t="s">
        <v>1265</v>
      </c>
      <c r="D116" s="3" t="s">
        <v>271</v>
      </c>
      <c r="F116" s="3" t="s">
        <v>781</v>
      </c>
      <c r="H116" s="3" t="s">
        <v>274</v>
      </c>
      <c r="J116" s="3" t="s">
        <v>10</v>
      </c>
      <c r="L116" s="3" t="s">
        <v>272</v>
      </c>
      <c r="N116" s="3" t="s">
        <v>273</v>
      </c>
      <c r="P116" s="3" t="s">
        <v>782</v>
      </c>
      <c r="R116" s="3" t="s">
        <v>787</v>
      </c>
      <c r="T116" s="3" t="s">
        <v>783</v>
      </c>
      <c r="V116" s="3" t="s">
        <v>785</v>
      </c>
      <c r="X116" s="3" t="s">
        <v>786</v>
      </c>
      <c r="Z116" s="3" t="s">
        <v>784</v>
      </c>
      <c r="AB116" s="3" t="s">
        <v>275</v>
      </c>
      <c r="AD116" s="3" t="s">
        <v>276</v>
      </c>
      <c r="AF116" s="3" t="s">
        <v>275</v>
      </c>
      <c r="AH116" s="3" t="s">
        <v>277</v>
      </c>
      <c r="AJ116" s="3" t="s">
        <v>278</v>
      </c>
      <c r="AL116" s="3" t="s">
        <v>279</v>
      </c>
      <c r="AM116" s="3"/>
      <c r="AN116" s="3" t="s">
        <v>788</v>
      </c>
      <c r="AO116" s="3"/>
      <c r="AP116" s="3" t="s">
        <v>789</v>
      </c>
      <c r="AQ116" s="3"/>
      <c r="AR116" s="3" t="s">
        <v>788</v>
      </c>
      <c r="AS116" s="3"/>
      <c r="AT116" s="3" t="s">
        <v>790</v>
      </c>
      <c r="AU116" s="3"/>
      <c r="AV116" s="3" t="s">
        <v>791</v>
      </c>
      <c r="AW116" s="3"/>
      <c r="AX116" s="3" t="s">
        <v>784</v>
      </c>
      <c r="AY116" s="3"/>
      <c r="AZ116" s="3" t="s">
        <v>792</v>
      </c>
      <c r="BA116" s="3"/>
      <c r="BB116" s="3" t="s">
        <v>793</v>
      </c>
      <c r="BC116" s="3"/>
      <c r="BD116" s="3" t="s">
        <v>794</v>
      </c>
      <c r="BE116" s="3"/>
      <c r="BF116" s="3" t="s">
        <v>795</v>
      </c>
      <c r="BG116" s="3"/>
      <c r="BH116" s="3" t="s">
        <v>796</v>
      </c>
      <c r="BI116" s="3"/>
      <c r="BJ116" s="3" t="s">
        <v>797</v>
      </c>
      <c r="BK116" s="3"/>
      <c r="BL116" s="3" t="s">
        <v>798</v>
      </c>
      <c r="BM116" s="3"/>
      <c r="BN116" s="3" t="s">
        <v>799</v>
      </c>
      <c r="BO116" s="3"/>
      <c r="BP116" s="3" t="s">
        <v>798</v>
      </c>
      <c r="BQ116" s="3"/>
      <c r="BR116" s="3" t="s">
        <v>800</v>
      </c>
      <c r="BS116" s="3"/>
      <c r="BT116" s="3" t="s">
        <v>801</v>
      </c>
      <c r="BU116" s="3"/>
      <c r="BV116" s="3" t="s">
        <v>802</v>
      </c>
      <c r="BW116" s="3"/>
      <c r="BX116" s="3" t="s">
        <v>803</v>
      </c>
      <c r="BY116" s="3"/>
      <c r="BZ116" s="3" t="s">
        <v>804</v>
      </c>
      <c r="CA116" s="3"/>
      <c r="CB116" s="3" t="s">
        <v>803</v>
      </c>
      <c r="CC116" s="3"/>
      <c r="CD116" s="3" t="s">
        <v>805</v>
      </c>
      <c r="CE116" s="3"/>
      <c r="CF116" s="3" t="s">
        <v>806</v>
      </c>
      <c r="CG116" s="3"/>
      <c r="CH116" s="3" t="s">
        <v>807</v>
      </c>
      <c r="CI116" s="3"/>
      <c r="CJ116" s="3" t="s">
        <v>808</v>
      </c>
      <c r="CK116" s="3"/>
      <c r="CL116" s="3" t="s">
        <v>809</v>
      </c>
      <c r="CM116" s="3"/>
      <c r="CN116" s="3" t="s">
        <v>808</v>
      </c>
      <c r="CO116" s="3"/>
      <c r="CP116" s="3" t="s">
        <v>810</v>
      </c>
      <c r="CQ116" s="3"/>
      <c r="CR116" s="3" t="s">
        <v>811</v>
      </c>
      <c r="CS116" s="3"/>
      <c r="CT116" s="3" t="s">
        <v>812</v>
      </c>
      <c r="CU116" s="3"/>
      <c r="CV116" s="3" t="s">
        <v>813</v>
      </c>
      <c r="CW116" s="3"/>
      <c r="CX116" s="3" t="s">
        <v>814</v>
      </c>
      <c r="CY116" s="3"/>
      <c r="CZ116" s="3" t="s">
        <v>813</v>
      </c>
      <c r="DA116" s="3"/>
      <c r="DB116" s="3" t="s">
        <v>815</v>
      </c>
      <c r="DC116" s="3"/>
      <c r="DD116" s="3" t="s">
        <v>816</v>
      </c>
      <c r="DE116" s="3"/>
      <c r="DF116" s="3" t="s">
        <v>817</v>
      </c>
      <c r="DG116" s="3"/>
      <c r="DH116" s="3" t="s">
        <v>818</v>
      </c>
      <c r="DI116" s="3"/>
      <c r="DJ116" s="3" t="s">
        <v>819</v>
      </c>
      <c r="DK116" s="3"/>
      <c r="DL116" s="3" t="s">
        <v>818</v>
      </c>
      <c r="DM116" s="3"/>
      <c r="DN116" s="3" t="s">
        <v>820</v>
      </c>
      <c r="DO116" s="3"/>
      <c r="DP116" s="3" t="s">
        <v>821</v>
      </c>
      <c r="DQ116" s="3"/>
      <c r="DR116" s="3" t="s">
        <v>822</v>
      </c>
      <c r="DS116" s="3"/>
      <c r="DT116" s="3" t="s">
        <v>823</v>
      </c>
      <c r="DU116" s="3">
        <v>1</v>
      </c>
      <c r="DV116" s="3"/>
      <c r="DW116" s="3" t="s">
        <v>824</v>
      </c>
      <c r="DX116" s="3">
        <v>1</v>
      </c>
      <c r="DY116" s="3"/>
      <c r="DZ116" s="3"/>
      <c r="EA116" s="3"/>
    </row>
    <row r="117" spans="1:132" x14ac:dyDescent="0.25">
      <c r="A117" s="2" t="s">
        <v>2844</v>
      </c>
      <c r="B117" s="2" t="s">
        <v>1641</v>
      </c>
      <c r="C117" s="3">
        <v>100</v>
      </c>
      <c r="D117" s="3" t="s">
        <v>829</v>
      </c>
      <c r="E117" s="3">
        <v>100</v>
      </c>
      <c r="F117" s="3" t="s">
        <v>829</v>
      </c>
      <c r="H117" s="3" t="s">
        <v>636</v>
      </c>
      <c r="I117" s="3">
        <v>100</v>
      </c>
      <c r="J117" s="3" t="s">
        <v>829</v>
      </c>
      <c r="K117" s="3">
        <v>100</v>
      </c>
      <c r="L117" s="3" t="s">
        <v>829</v>
      </c>
      <c r="O117" s="3">
        <v>100</v>
      </c>
      <c r="P117" s="3" t="s">
        <v>829</v>
      </c>
      <c r="Q117" s="3">
        <v>100</v>
      </c>
      <c r="R117" s="3" t="s">
        <v>829</v>
      </c>
      <c r="U117" s="3">
        <v>100</v>
      </c>
      <c r="V117" s="3" t="s">
        <v>829</v>
      </c>
      <c r="W117" s="3">
        <v>100</v>
      </c>
      <c r="X117" s="3" t="s">
        <v>829</v>
      </c>
      <c r="Z117" s="3" t="s">
        <v>1042</v>
      </c>
      <c r="AA117" s="3">
        <v>100</v>
      </c>
      <c r="AB117" s="3" t="s">
        <v>829</v>
      </c>
      <c r="AC117" s="3">
        <v>100</v>
      </c>
      <c r="AD117" s="3" t="s">
        <v>829</v>
      </c>
      <c r="AF117" s="3" t="s">
        <v>1037</v>
      </c>
      <c r="AG117" s="3">
        <v>100</v>
      </c>
      <c r="AH117" s="3" t="s">
        <v>829</v>
      </c>
      <c r="AI117" s="3">
        <v>100</v>
      </c>
      <c r="AJ117" s="3" t="s">
        <v>829</v>
      </c>
      <c r="AL117" s="3" t="s">
        <v>1039</v>
      </c>
      <c r="AM117" s="3">
        <v>100</v>
      </c>
      <c r="AN117" s="3" t="s">
        <v>829</v>
      </c>
      <c r="AO117" s="3">
        <v>100</v>
      </c>
      <c r="AP117" s="3" t="s">
        <v>829</v>
      </c>
      <c r="AQ117" s="3"/>
      <c r="AR117" s="3" t="s">
        <v>1040</v>
      </c>
      <c r="AS117" s="3">
        <v>100</v>
      </c>
      <c r="AT117" s="3" t="s">
        <v>829</v>
      </c>
      <c r="AU117" s="3">
        <v>100</v>
      </c>
      <c r="AV117" s="3" t="s">
        <v>829</v>
      </c>
      <c r="AW117" s="3"/>
      <c r="AX117" s="3" t="s">
        <v>1042</v>
      </c>
      <c r="AY117" s="3">
        <v>100</v>
      </c>
      <c r="AZ117" s="3" t="s">
        <v>829</v>
      </c>
      <c r="BA117" s="3">
        <v>100</v>
      </c>
      <c r="BB117" s="3" t="s">
        <v>829</v>
      </c>
      <c r="BC117" s="3"/>
      <c r="BD117" s="3"/>
      <c r="BE117" s="3">
        <v>100</v>
      </c>
      <c r="BF117" s="3" t="s">
        <v>829</v>
      </c>
      <c r="BG117" s="3">
        <v>100</v>
      </c>
      <c r="BH117" s="3" t="s">
        <v>829</v>
      </c>
      <c r="BI117" s="3"/>
      <c r="BJ117" s="3"/>
      <c r="BK117" s="3">
        <v>100</v>
      </c>
      <c r="BL117" s="3" t="s">
        <v>829</v>
      </c>
      <c r="BM117" s="3">
        <v>100</v>
      </c>
      <c r="BN117" s="3" t="s">
        <v>829</v>
      </c>
      <c r="BO117" s="3"/>
      <c r="BP117" s="3"/>
      <c r="BQ117" s="3">
        <v>100</v>
      </c>
      <c r="BR117" s="3" t="s">
        <v>829</v>
      </c>
      <c r="BS117" s="3">
        <v>100</v>
      </c>
      <c r="BT117" s="3" t="s">
        <v>829</v>
      </c>
      <c r="BU117" s="3"/>
      <c r="BV117" s="3"/>
      <c r="BW117" s="3">
        <v>100</v>
      </c>
      <c r="BX117" s="3" t="s">
        <v>829</v>
      </c>
      <c r="BY117" s="3">
        <v>100</v>
      </c>
      <c r="BZ117" s="3" t="s">
        <v>829</v>
      </c>
      <c r="CA117" s="3"/>
      <c r="CB117" s="3"/>
      <c r="CC117" s="3">
        <v>100</v>
      </c>
      <c r="CD117" s="3" t="s">
        <v>829</v>
      </c>
      <c r="CE117" s="3">
        <v>100</v>
      </c>
      <c r="CF117" s="3" t="s">
        <v>829</v>
      </c>
      <c r="CG117" s="3"/>
      <c r="CH117" s="3"/>
      <c r="CI117" s="3">
        <v>100</v>
      </c>
      <c r="CJ117" s="3" t="s">
        <v>829</v>
      </c>
      <c r="CK117" s="3">
        <v>100</v>
      </c>
      <c r="CL117" s="3" t="s">
        <v>829</v>
      </c>
      <c r="CM117" s="3"/>
      <c r="CN117" s="3" t="s">
        <v>1043</v>
      </c>
      <c r="CO117" s="3">
        <v>100</v>
      </c>
      <c r="CP117" s="3" t="s">
        <v>829</v>
      </c>
      <c r="CQ117" s="3">
        <v>100</v>
      </c>
      <c r="CR117" s="3" t="s">
        <v>829</v>
      </c>
      <c r="CS117" s="3"/>
      <c r="CT117" s="3" t="s">
        <v>1045</v>
      </c>
      <c r="CU117" s="3">
        <v>100</v>
      </c>
      <c r="CV117" s="3" t="s">
        <v>829</v>
      </c>
      <c r="CW117" s="3">
        <v>100</v>
      </c>
      <c r="CX117" s="3" t="s">
        <v>829</v>
      </c>
      <c r="CY117" s="3"/>
      <c r="CZ117" s="3"/>
      <c r="DA117" s="3">
        <v>100</v>
      </c>
      <c r="DB117" s="3" t="s">
        <v>829</v>
      </c>
      <c r="DC117" s="3">
        <v>100</v>
      </c>
      <c r="DD117" s="3" t="s">
        <v>829</v>
      </c>
      <c r="DE117" s="3"/>
      <c r="DF117" s="3" t="s">
        <v>2119</v>
      </c>
      <c r="DG117" s="3">
        <v>100</v>
      </c>
      <c r="DH117" s="3" t="s">
        <v>829</v>
      </c>
      <c r="DI117" s="3">
        <v>100</v>
      </c>
      <c r="DJ117" s="3" t="s">
        <v>829</v>
      </c>
      <c r="DK117" s="3"/>
      <c r="DL117" s="3"/>
      <c r="DM117" s="3">
        <v>100</v>
      </c>
      <c r="DN117" s="3" t="s">
        <v>829</v>
      </c>
      <c r="DO117" s="3">
        <v>100</v>
      </c>
      <c r="DP117" s="3" t="s">
        <v>829</v>
      </c>
      <c r="DQ117" s="3"/>
      <c r="DR117" s="3" t="s">
        <v>2119</v>
      </c>
      <c r="DS117" s="3"/>
      <c r="DT117" s="3"/>
      <c r="DU117" s="3"/>
      <c r="DV117" s="3"/>
      <c r="DW117" s="3"/>
      <c r="DX117" s="3"/>
      <c r="DY117" s="3"/>
      <c r="DZ117" s="3"/>
      <c r="EA117" s="3"/>
    </row>
    <row r="118" spans="1:132" x14ac:dyDescent="0.25">
      <c r="A118" s="2" t="s">
        <v>2859</v>
      </c>
      <c r="B118" s="2" t="s">
        <v>1641</v>
      </c>
      <c r="C118" s="3">
        <v>100</v>
      </c>
      <c r="D118" s="3" t="s">
        <v>829</v>
      </c>
      <c r="E118" s="3">
        <v>100</v>
      </c>
      <c r="F118" s="3" t="s">
        <v>829</v>
      </c>
      <c r="G118" s="3">
        <v>1</v>
      </c>
      <c r="H118" s="3" t="s">
        <v>865</v>
      </c>
      <c r="I118" s="3">
        <v>100</v>
      </c>
      <c r="J118" s="3" t="s">
        <v>829</v>
      </c>
      <c r="K118" s="3">
        <v>100</v>
      </c>
      <c r="L118" s="3" t="s">
        <v>829</v>
      </c>
      <c r="O118" s="3">
        <v>100</v>
      </c>
      <c r="P118" s="3" t="s">
        <v>829</v>
      </c>
      <c r="Q118" s="3">
        <v>100</v>
      </c>
      <c r="R118" s="3" t="s">
        <v>829</v>
      </c>
      <c r="U118" s="3">
        <v>100</v>
      </c>
      <c r="V118" s="3" t="s">
        <v>829</v>
      </c>
      <c r="W118" s="3">
        <v>100</v>
      </c>
      <c r="X118" s="3" t="s">
        <v>829</v>
      </c>
      <c r="AA118" s="3">
        <v>100</v>
      </c>
      <c r="AB118" s="3" t="s">
        <v>829</v>
      </c>
      <c r="AC118" s="3">
        <v>100</v>
      </c>
      <c r="AD118" s="3" t="s">
        <v>829</v>
      </c>
      <c r="AG118" s="3">
        <v>100</v>
      </c>
      <c r="AH118" s="3" t="s">
        <v>829</v>
      </c>
      <c r="AI118" s="3">
        <v>100</v>
      </c>
      <c r="AJ118" s="3" t="s">
        <v>829</v>
      </c>
      <c r="AL118" s="3"/>
      <c r="AM118" s="3">
        <v>100</v>
      </c>
      <c r="AN118" s="3" t="s">
        <v>829</v>
      </c>
      <c r="AO118" s="3">
        <v>100</v>
      </c>
      <c r="AP118" s="3" t="s">
        <v>829</v>
      </c>
      <c r="AQ118" s="3"/>
      <c r="AR118" s="3"/>
      <c r="AS118" s="3">
        <v>100</v>
      </c>
      <c r="AT118" s="3" t="s">
        <v>829</v>
      </c>
      <c r="AU118" s="3">
        <v>100</v>
      </c>
      <c r="AV118" s="3" t="s">
        <v>829</v>
      </c>
      <c r="AW118" s="3"/>
      <c r="AX118" s="3"/>
      <c r="AY118" s="3">
        <v>100</v>
      </c>
      <c r="AZ118" s="3" t="s">
        <v>829</v>
      </c>
      <c r="BA118" s="3">
        <v>100</v>
      </c>
      <c r="BB118" s="3" t="s">
        <v>829</v>
      </c>
      <c r="BC118" s="3"/>
      <c r="BD118" s="3"/>
      <c r="BE118" s="3">
        <v>100</v>
      </c>
      <c r="BF118" s="3" t="s">
        <v>829</v>
      </c>
      <c r="BG118" s="3">
        <v>100</v>
      </c>
      <c r="BH118" s="3" t="s">
        <v>829</v>
      </c>
      <c r="BI118" s="3"/>
      <c r="BJ118" s="3"/>
      <c r="BK118" s="3">
        <v>100</v>
      </c>
      <c r="BL118" s="3" t="s">
        <v>829</v>
      </c>
      <c r="BM118" s="3">
        <v>100</v>
      </c>
      <c r="BN118" s="3" t="s">
        <v>829</v>
      </c>
      <c r="BO118" s="3"/>
      <c r="BP118" s="3"/>
      <c r="BQ118" s="3">
        <v>100</v>
      </c>
      <c r="BR118" s="3" t="s">
        <v>829</v>
      </c>
      <c r="BS118" s="3">
        <v>100</v>
      </c>
      <c r="BT118" s="3" t="s">
        <v>829</v>
      </c>
      <c r="BU118" s="3"/>
      <c r="BV118" s="3"/>
      <c r="BW118" s="3">
        <v>100</v>
      </c>
      <c r="BX118" s="3" t="s">
        <v>829</v>
      </c>
      <c r="BY118" s="3">
        <v>100</v>
      </c>
      <c r="BZ118" s="3" t="s">
        <v>829</v>
      </c>
      <c r="CA118" s="3"/>
      <c r="CB118" s="3"/>
      <c r="CC118" s="3">
        <v>100</v>
      </c>
      <c r="CD118" s="3" t="s">
        <v>829</v>
      </c>
      <c r="CE118" s="3">
        <v>100</v>
      </c>
      <c r="CF118" s="3" t="s">
        <v>829</v>
      </c>
      <c r="CG118" s="3"/>
      <c r="CH118" s="3"/>
      <c r="CI118" s="3">
        <v>100</v>
      </c>
      <c r="CJ118" s="3" t="s">
        <v>829</v>
      </c>
      <c r="CK118" s="3">
        <v>100</v>
      </c>
      <c r="CL118" s="3" t="s">
        <v>829</v>
      </c>
      <c r="CM118" s="3"/>
      <c r="CN118" s="3"/>
      <c r="CO118" s="3">
        <v>100</v>
      </c>
      <c r="CP118" s="3" t="s">
        <v>829</v>
      </c>
      <c r="CQ118" s="3">
        <v>100</v>
      </c>
      <c r="CR118" s="3" t="s">
        <v>829</v>
      </c>
      <c r="CS118" s="3"/>
      <c r="CT118" s="3"/>
      <c r="CU118" s="3">
        <v>100</v>
      </c>
      <c r="CV118" s="3" t="s">
        <v>829</v>
      </c>
      <c r="CW118" s="3">
        <v>100</v>
      </c>
      <c r="CX118" s="3" t="s">
        <v>829</v>
      </c>
      <c r="CY118" s="3"/>
      <c r="CZ118" s="3"/>
      <c r="DA118" s="3">
        <v>100</v>
      </c>
      <c r="DB118" s="3" t="s">
        <v>829</v>
      </c>
      <c r="DC118" s="3">
        <v>100</v>
      </c>
      <c r="DD118" s="3" t="s">
        <v>829</v>
      </c>
      <c r="DE118" s="3"/>
      <c r="DF118" s="3"/>
      <c r="DG118" s="3">
        <v>100</v>
      </c>
      <c r="DH118" s="3" t="s">
        <v>829</v>
      </c>
      <c r="DI118" s="3">
        <v>100</v>
      </c>
      <c r="DJ118" s="3" t="s">
        <v>829</v>
      </c>
      <c r="DK118" s="3"/>
      <c r="DL118" s="3"/>
      <c r="DM118" s="3">
        <v>100</v>
      </c>
      <c r="DN118" s="3" t="s">
        <v>829</v>
      </c>
      <c r="DO118" s="3">
        <v>100</v>
      </c>
      <c r="DP118" s="3" t="s">
        <v>829</v>
      </c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</row>
    <row r="119" spans="1:132" x14ac:dyDescent="0.25">
      <c r="A119" s="2" t="s">
        <v>2860</v>
      </c>
      <c r="B119" s="2" t="s">
        <v>1435</v>
      </c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>
        <v>2</v>
      </c>
      <c r="DW119" s="3" t="s">
        <v>2223</v>
      </c>
      <c r="DX119" s="3"/>
      <c r="DY119" s="3"/>
      <c r="DZ119" s="3"/>
      <c r="EA119" s="3"/>
    </row>
    <row r="120" spans="1:132" x14ac:dyDescent="0.25">
      <c r="A120" s="2" t="s">
        <v>2873</v>
      </c>
      <c r="B120" s="2" t="s">
        <v>2931</v>
      </c>
      <c r="C120" s="3">
        <v>2</v>
      </c>
      <c r="D120" s="3" t="s">
        <v>2932</v>
      </c>
      <c r="E120" s="3">
        <v>2</v>
      </c>
      <c r="F120" s="3" t="s">
        <v>2933</v>
      </c>
      <c r="G120" s="3">
        <v>2</v>
      </c>
      <c r="H120" s="3" t="s">
        <v>2934</v>
      </c>
      <c r="M120" s="3">
        <v>2</v>
      </c>
      <c r="N120" s="3" t="s">
        <v>2935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>
        <v>2</v>
      </c>
      <c r="BX120" s="3" t="s">
        <v>2936</v>
      </c>
      <c r="BY120" s="3">
        <v>2</v>
      </c>
      <c r="BZ120" s="3" t="s">
        <v>2937</v>
      </c>
      <c r="CA120" s="3">
        <v>2</v>
      </c>
      <c r="CB120" s="3" t="s">
        <v>2936</v>
      </c>
      <c r="CC120" s="3">
        <v>2</v>
      </c>
      <c r="CD120" s="3" t="s">
        <v>2938</v>
      </c>
      <c r="CE120" s="3">
        <v>2</v>
      </c>
      <c r="CF120" s="3" t="s">
        <v>2939</v>
      </c>
      <c r="CG120" s="3">
        <v>2</v>
      </c>
      <c r="CH120" s="3" t="s">
        <v>2940</v>
      </c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</row>
    <row r="121" spans="1:132" x14ac:dyDescent="0.25">
      <c r="A121" s="2" t="s">
        <v>1359</v>
      </c>
      <c r="B121" s="2" t="s">
        <v>2149</v>
      </c>
      <c r="G121" s="3">
        <v>1</v>
      </c>
      <c r="H121" s="3" t="s">
        <v>2150</v>
      </c>
      <c r="O121" s="3">
        <v>2</v>
      </c>
      <c r="P121" s="3" t="s">
        <v>40</v>
      </c>
      <c r="Q121" s="3">
        <v>2</v>
      </c>
      <c r="R121" s="3" t="s">
        <v>2151</v>
      </c>
      <c r="S121" s="3">
        <v>2</v>
      </c>
      <c r="T121" s="3" t="s">
        <v>40</v>
      </c>
      <c r="U121" s="3">
        <v>2</v>
      </c>
      <c r="V121" s="3" t="s">
        <v>2152</v>
      </c>
      <c r="W121" s="3">
        <v>2</v>
      </c>
      <c r="X121" s="3" t="s">
        <v>2153</v>
      </c>
      <c r="Y121" s="3">
        <v>2</v>
      </c>
      <c r="Z121" s="3" t="s">
        <v>2154</v>
      </c>
      <c r="AL121" s="3"/>
      <c r="AM121" s="3">
        <v>2</v>
      </c>
      <c r="AN121" s="3" t="s">
        <v>2155</v>
      </c>
      <c r="AO121" s="3">
        <v>2</v>
      </c>
      <c r="AP121" s="3" t="s">
        <v>2156</v>
      </c>
      <c r="AQ121" s="3">
        <v>2</v>
      </c>
      <c r="AR121" s="3" t="s">
        <v>2155</v>
      </c>
      <c r="AS121" s="3">
        <v>2</v>
      </c>
      <c r="AT121" s="3" t="s">
        <v>2157</v>
      </c>
      <c r="AU121" s="3">
        <v>2</v>
      </c>
      <c r="AV121" s="3" t="s">
        <v>2158</v>
      </c>
      <c r="AW121" s="3">
        <v>2</v>
      </c>
      <c r="AX121" s="3" t="s">
        <v>2154</v>
      </c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>
        <v>1</v>
      </c>
      <c r="BX121" s="3" t="s">
        <v>663</v>
      </c>
      <c r="BY121" s="3">
        <v>2</v>
      </c>
      <c r="BZ121" s="3" t="s">
        <v>2172</v>
      </c>
      <c r="CA121" s="3">
        <v>2</v>
      </c>
      <c r="CB121" s="3" t="s">
        <v>2173</v>
      </c>
      <c r="CC121" s="3">
        <v>2</v>
      </c>
      <c r="CD121" s="3" t="s">
        <v>2159</v>
      </c>
      <c r="CE121" s="3">
        <v>2</v>
      </c>
      <c r="CF121" s="3" t="s">
        <v>2160</v>
      </c>
      <c r="CG121" s="3">
        <v>2</v>
      </c>
      <c r="CH121" s="3" t="s">
        <v>2161</v>
      </c>
      <c r="CI121" s="3">
        <v>2</v>
      </c>
      <c r="CJ121" s="3" t="s">
        <v>2162</v>
      </c>
      <c r="CK121" s="3">
        <v>2</v>
      </c>
      <c r="CL121" s="3" t="s">
        <v>2163</v>
      </c>
      <c r="CM121" s="3">
        <v>2</v>
      </c>
      <c r="CN121" s="3" t="s">
        <v>2162</v>
      </c>
      <c r="CO121" s="3">
        <v>2</v>
      </c>
      <c r="CP121" s="3" t="s">
        <v>2164</v>
      </c>
      <c r="CQ121" s="3">
        <v>2</v>
      </c>
      <c r="CR121" s="3" t="s">
        <v>2165</v>
      </c>
      <c r="CS121" s="3">
        <v>2</v>
      </c>
      <c r="CT121" s="3" t="s">
        <v>2166</v>
      </c>
      <c r="CU121" s="3">
        <v>2</v>
      </c>
      <c r="CV121" s="3" t="s">
        <v>2167</v>
      </c>
      <c r="CW121" s="3">
        <v>2</v>
      </c>
      <c r="CX121" s="3" t="s">
        <v>2168</v>
      </c>
      <c r="CY121" s="3">
        <v>2</v>
      </c>
      <c r="CZ121" s="3" t="s">
        <v>2167</v>
      </c>
      <c r="DA121" s="3">
        <v>2</v>
      </c>
      <c r="DB121" s="3" t="s">
        <v>2169</v>
      </c>
      <c r="DC121" s="3">
        <v>2</v>
      </c>
      <c r="DD121" s="3" t="s">
        <v>2170</v>
      </c>
      <c r="DE121" s="3">
        <v>2</v>
      </c>
      <c r="DF121" s="3" t="s">
        <v>2171</v>
      </c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</row>
    <row r="122" spans="1:132" x14ac:dyDescent="0.25">
      <c r="A122" s="2" t="s">
        <v>3762</v>
      </c>
      <c r="B122" s="2" t="s">
        <v>1640</v>
      </c>
      <c r="C122" s="3">
        <v>100</v>
      </c>
      <c r="D122" s="3" t="s">
        <v>829</v>
      </c>
      <c r="E122" s="3">
        <v>100</v>
      </c>
      <c r="F122" s="3" t="s">
        <v>829</v>
      </c>
      <c r="G122" s="3">
        <v>100</v>
      </c>
      <c r="H122" s="3" t="s">
        <v>829</v>
      </c>
      <c r="M122" s="3">
        <v>100</v>
      </c>
      <c r="N122" s="3" t="s">
        <v>829</v>
      </c>
      <c r="O122" s="3">
        <v>2</v>
      </c>
      <c r="P122" s="3" t="s">
        <v>832</v>
      </c>
      <c r="Q122" s="3">
        <v>2</v>
      </c>
      <c r="R122" s="3" t="s">
        <v>833</v>
      </c>
      <c r="S122" s="3">
        <v>2</v>
      </c>
      <c r="T122" s="3" t="s">
        <v>832</v>
      </c>
      <c r="U122" s="3">
        <v>2</v>
      </c>
      <c r="V122" s="3" t="s">
        <v>834</v>
      </c>
      <c r="W122" s="3">
        <v>2</v>
      </c>
      <c r="X122" s="3" t="s">
        <v>835</v>
      </c>
      <c r="Y122" s="3">
        <v>2</v>
      </c>
      <c r="Z122" s="3" t="s">
        <v>836</v>
      </c>
      <c r="AL122" s="3"/>
      <c r="AM122" s="3">
        <v>2</v>
      </c>
      <c r="AN122" s="3" t="s">
        <v>837</v>
      </c>
      <c r="AO122" s="3">
        <v>2</v>
      </c>
      <c r="AP122" s="3" t="s">
        <v>838</v>
      </c>
      <c r="AQ122" s="3">
        <v>2</v>
      </c>
      <c r="AR122" s="3" t="s">
        <v>837</v>
      </c>
      <c r="AS122" s="3">
        <v>2</v>
      </c>
      <c r="AT122" s="3" t="s">
        <v>839</v>
      </c>
      <c r="AU122" s="3">
        <v>2</v>
      </c>
      <c r="AV122" s="3" t="s">
        <v>840</v>
      </c>
      <c r="AW122" s="3">
        <v>2</v>
      </c>
      <c r="AX122" s="3" t="s">
        <v>836</v>
      </c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>
        <v>100</v>
      </c>
      <c r="BX122" s="3" t="s">
        <v>829</v>
      </c>
      <c r="BY122" s="3">
        <v>100</v>
      </c>
      <c r="BZ122" s="3" t="s">
        <v>829</v>
      </c>
      <c r="CA122" s="3">
        <v>100</v>
      </c>
      <c r="CB122" s="3" t="s">
        <v>829</v>
      </c>
      <c r="CC122" s="3">
        <v>100</v>
      </c>
      <c r="CD122" s="3" t="s">
        <v>829</v>
      </c>
      <c r="CE122" s="3">
        <v>100</v>
      </c>
      <c r="CF122" s="3" t="s">
        <v>829</v>
      </c>
      <c r="CG122" s="3">
        <v>100</v>
      </c>
      <c r="CH122" s="3" t="s">
        <v>829</v>
      </c>
      <c r="CI122" s="34">
        <v>2</v>
      </c>
      <c r="CJ122" s="3" t="s">
        <v>842</v>
      </c>
      <c r="CK122" s="3">
        <v>2</v>
      </c>
      <c r="CL122" s="3" t="s">
        <v>843</v>
      </c>
      <c r="CM122" s="3">
        <v>2</v>
      </c>
      <c r="CN122" s="3" t="s">
        <v>842</v>
      </c>
      <c r="CO122" s="3">
        <v>2</v>
      </c>
      <c r="CP122" s="3" t="s">
        <v>844</v>
      </c>
      <c r="CQ122" s="3">
        <v>2</v>
      </c>
      <c r="CR122" s="3" t="s">
        <v>845</v>
      </c>
      <c r="CS122" s="3">
        <v>2</v>
      </c>
      <c r="CT122" s="3" t="s">
        <v>846</v>
      </c>
      <c r="CU122" s="3">
        <v>2</v>
      </c>
      <c r="CV122" s="3" t="s">
        <v>847</v>
      </c>
      <c r="CW122" s="3">
        <v>2</v>
      </c>
      <c r="CX122" s="3" t="s">
        <v>848</v>
      </c>
      <c r="CY122" s="3">
        <v>2</v>
      </c>
      <c r="CZ122" s="3" t="s">
        <v>847</v>
      </c>
      <c r="DA122" s="3">
        <v>2</v>
      </c>
      <c r="DB122" s="3" t="s">
        <v>849</v>
      </c>
      <c r="DC122" s="3">
        <v>2</v>
      </c>
      <c r="DD122" s="3" t="s">
        <v>850</v>
      </c>
      <c r="DE122" s="3">
        <v>2</v>
      </c>
      <c r="DF122" s="3" t="s">
        <v>851</v>
      </c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</row>
    <row r="123" spans="1:132" x14ac:dyDescent="0.25">
      <c r="A123" s="2" t="s">
        <v>60</v>
      </c>
      <c r="B123" s="2" t="s">
        <v>1058</v>
      </c>
      <c r="O123" s="3">
        <v>1</v>
      </c>
      <c r="P123" s="3" t="s">
        <v>1059</v>
      </c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>
        <v>1</v>
      </c>
      <c r="BX123" s="3" t="s">
        <v>1060</v>
      </c>
      <c r="BY123" s="3">
        <v>1</v>
      </c>
      <c r="BZ123" s="3" t="s">
        <v>1061</v>
      </c>
      <c r="CA123" s="3">
        <v>1</v>
      </c>
      <c r="CB123" s="3" t="s">
        <v>1060</v>
      </c>
      <c r="CC123" s="3">
        <v>1</v>
      </c>
      <c r="CD123" s="3" t="s">
        <v>1062</v>
      </c>
      <c r="CE123" s="3">
        <v>1</v>
      </c>
      <c r="CF123" s="3" t="s">
        <v>1063</v>
      </c>
      <c r="CG123" s="3">
        <v>1</v>
      </c>
      <c r="CH123" s="3" t="s">
        <v>1064</v>
      </c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2" t="s">
        <v>1244</v>
      </c>
    </row>
    <row r="124" spans="1:132" x14ac:dyDescent="0.25">
      <c r="A124" s="2" t="s">
        <v>121</v>
      </c>
      <c r="B124" s="2" t="s">
        <v>2474</v>
      </c>
      <c r="C124" s="3">
        <v>1</v>
      </c>
      <c r="D124" s="3" t="s">
        <v>299</v>
      </c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>
        <v>1</v>
      </c>
      <c r="BX124" s="3" t="s">
        <v>841</v>
      </c>
      <c r="BY124" s="3">
        <v>1</v>
      </c>
      <c r="BZ124" s="3" t="s">
        <v>730</v>
      </c>
      <c r="CA124" s="3">
        <v>1</v>
      </c>
      <c r="CB124" s="3" t="s">
        <v>841</v>
      </c>
      <c r="CC124" s="3">
        <v>1</v>
      </c>
      <c r="CD124" s="3" t="s">
        <v>731</v>
      </c>
      <c r="CE124" s="3">
        <v>1</v>
      </c>
      <c r="CF124" s="3" t="s">
        <v>732</v>
      </c>
      <c r="CG124" s="3">
        <v>1</v>
      </c>
      <c r="CH124" s="3" t="s">
        <v>733</v>
      </c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</row>
    <row r="125" spans="1:132" x14ac:dyDescent="0.25">
      <c r="A125" s="2" t="s">
        <v>3820</v>
      </c>
      <c r="B125" s="2" t="s">
        <v>3859</v>
      </c>
      <c r="C125" s="3">
        <v>1</v>
      </c>
      <c r="D125" s="3" t="s">
        <v>1021</v>
      </c>
      <c r="G125" s="3">
        <v>1</v>
      </c>
      <c r="H125" s="3" t="s">
        <v>2150</v>
      </c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>
        <v>1</v>
      </c>
      <c r="BX125" s="3" t="s">
        <v>663</v>
      </c>
      <c r="BY125" s="3">
        <v>1</v>
      </c>
      <c r="BZ125" s="3" t="s">
        <v>664</v>
      </c>
      <c r="CA125" s="3">
        <v>1</v>
      </c>
      <c r="CB125" s="3" t="s">
        <v>663</v>
      </c>
      <c r="CC125" s="3">
        <v>1</v>
      </c>
      <c r="CD125" s="3" t="s">
        <v>1022</v>
      </c>
      <c r="CE125" s="3">
        <v>1</v>
      </c>
      <c r="CF125" s="3" t="s">
        <v>1023</v>
      </c>
      <c r="CG125" s="3">
        <v>1</v>
      </c>
      <c r="CH125" s="3" t="s">
        <v>662</v>
      </c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</row>
    <row r="126" spans="1:132" x14ac:dyDescent="0.25">
      <c r="A126" s="2" t="s">
        <v>1939</v>
      </c>
      <c r="B126" s="2" t="s">
        <v>2583</v>
      </c>
      <c r="C126" s="3">
        <v>4</v>
      </c>
      <c r="D126" s="3" t="s">
        <v>2584</v>
      </c>
      <c r="E126" s="3">
        <v>4</v>
      </c>
      <c r="F126" s="3" t="s">
        <v>2585</v>
      </c>
      <c r="G126" s="3">
        <v>4</v>
      </c>
      <c r="H126" s="3" t="s">
        <v>2586</v>
      </c>
      <c r="M126" s="3">
        <v>4</v>
      </c>
      <c r="N126" s="3" t="s">
        <v>2587</v>
      </c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>
        <v>4</v>
      </c>
      <c r="BX126" s="3" t="s">
        <v>2588</v>
      </c>
      <c r="BY126" s="3">
        <v>4</v>
      </c>
      <c r="BZ126" s="3" t="s">
        <v>2589</v>
      </c>
      <c r="CA126" s="3">
        <v>4</v>
      </c>
      <c r="CB126" s="3" t="s">
        <v>2588</v>
      </c>
      <c r="CC126" s="3">
        <v>4</v>
      </c>
      <c r="CD126" s="3" t="s">
        <v>2590</v>
      </c>
      <c r="CE126" s="3">
        <v>4</v>
      </c>
      <c r="CF126" s="3" t="s">
        <v>2591</v>
      </c>
      <c r="CG126" s="3">
        <v>4</v>
      </c>
      <c r="CH126" s="3" t="s">
        <v>2592</v>
      </c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</row>
    <row r="127" spans="1:132" x14ac:dyDescent="0.25">
      <c r="A127" s="2" t="s">
        <v>3848</v>
      </c>
      <c r="B127" s="2" t="s">
        <v>3861</v>
      </c>
      <c r="C127" s="3">
        <v>2</v>
      </c>
      <c r="D127" s="3" t="s">
        <v>2494</v>
      </c>
      <c r="E127" s="3">
        <v>2</v>
      </c>
      <c r="F127" s="3" t="s">
        <v>2495</v>
      </c>
      <c r="G127" s="3">
        <v>2</v>
      </c>
      <c r="H127" s="3" t="s">
        <v>2496</v>
      </c>
      <c r="M127" s="3">
        <v>2</v>
      </c>
      <c r="N127" s="3" t="s">
        <v>2497</v>
      </c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>
        <v>2</v>
      </c>
      <c r="BX127" s="3" t="s">
        <v>2496</v>
      </c>
      <c r="BY127" s="3">
        <v>2</v>
      </c>
      <c r="BZ127" s="3" t="s">
        <v>2495</v>
      </c>
      <c r="CA127" s="3">
        <v>2</v>
      </c>
      <c r="CB127" s="3" t="s">
        <v>2496</v>
      </c>
      <c r="CC127" s="3"/>
      <c r="CD127" s="3"/>
      <c r="CE127" s="3"/>
      <c r="CF127" s="3"/>
      <c r="CG127" s="3">
        <v>2</v>
      </c>
      <c r="CH127" s="3" t="s">
        <v>2497</v>
      </c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</row>
    <row r="128" spans="1:132" x14ac:dyDescent="0.25">
      <c r="A128" s="2" t="s">
        <v>2406</v>
      </c>
      <c r="B128" s="2" t="s">
        <v>2473</v>
      </c>
      <c r="F128" s="3" t="s">
        <v>40</v>
      </c>
      <c r="H128" s="3" t="s">
        <v>636</v>
      </c>
      <c r="L128" s="3" t="s">
        <v>2208</v>
      </c>
      <c r="N128" s="3" t="s">
        <v>1643</v>
      </c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 t="s">
        <v>19</v>
      </c>
      <c r="BY128" s="3"/>
      <c r="BZ128" s="3" t="s">
        <v>20</v>
      </c>
      <c r="CA128" s="3"/>
      <c r="CB128" s="3" t="s">
        <v>19</v>
      </c>
      <c r="CC128" s="3"/>
      <c r="CD128" s="3" t="s">
        <v>2120</v>
      </c>
      <c r="CE128" s="3"/>
      <c r="CF128" s="3" t="s">
        <v>2121</v>
      </c>
      <c r="CG128" s="3"/>
      <c r="CH128" s="3" t="s">
        <v>23</v>
      </c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</row>
    <row r="129" spans="1:131" x14ac:dyDescent="0.25">
      <c r="A129" s="2" t="s">
        <v>4909</v>
      </c>
      <c r="B129" s="2" t="s">
        <v>1435</v>
      </c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>
        <v>2</v>
      </c>
      <c r="DW129" s="3" t="s">
        <v>2111</v>
      </c>
      <c r="DX129" s="3"/>
      <c r="DY129" s="3"/>
      <c r="DZ129" s="3"/>
      <c r="EA129" s="3"/>
    </row>
    <row r="130" spans="1:131" x14ac:dyDescent="0.25">
      <c r="A130" s="2" t="s">
        <v>3857</v>
      </c>
      <c r="B130" s="2" t="s">
        <v>1639</v>
      </c>
      <c r="C130" s="3">
        <v>100</v>
      </c>
      <c r="D130" s="3" t="s">
        <v>829</v>
      </c>
      <c r="F130" s="3" t="s">
        <v>40</v>
      </c>
      <c r="H130" s="3" t="s">
        <v>636</v>
      </c>
      <c r="J130" s="3" t="s">
        <v>1032</v>
      </c>
      <c r="L130" s="3" t="s">
        <v>1033</v>
      </c>
      <c r="P130" s="3" t="s">
        <v>1034</v>
      </c>
      <c r="R130" s="3" t="s">
        <v>1035</v>
      </c>
      <c r="V130" s="3" t="s">
        <v>1032</v>
      </c>
      <c r="X130" s="3" t="s">
        <v>1036</v>
      </c>
      <c r="Z130" s="3" t="s">
        <v>1042</v>
      </c>
      <c r="AB130" s="3" t="s">
        <v>1037</v>
      </c>
      <c r="AD130" s="3" t="s">
        <v>1038</v>
      </c>
      <c r="AF130" s="3" t="s">
        <v>1037</v>
      </c>
      <c r="AL130" s="3" t="s">
        <v>1039</v>
      </c>
      <c r="AM130" s="3"/>
      <c r="AN130" s="3" t="s">
        <v>1040</v>
      </c>
      <c r="AO130" s="3"/>
      <c r="AP130" s="3" t="s">
        <v>1041</v>
      </c>
      <c r="AQ130" s="3"/>
      <c r="AR130" s="3" t="s">
        <v>1040</v>
      </c>
      <c r="AS130" s="3"/>
      <c r="AT130" s="3"/>
      <c r="AU130" s="3"/>
      <c r="AV130" s="3"/>
      <c r="AW130" s="3"/>
      <c r="AX130" s="3" t="s">
        <v>1042</v>
      </c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>
        <v>100</v>
      </c>
      <c r="BX130" s="3" t="s">
        <v>829</v>
      </c>
      <c r="BY130" s="3">
        <v>100</v>
      </c>
      <c r="BZ130" s="3" t="s">
        <v>829</v>
      </c>
      <c r="CA130" s="3">
        <v>100</v>
      </c>
      <c r="CB130" s="3" t="s">
        <v>829</v>
      </c>
      <c r="CC130" s="3">
        <v>100</v>
      </c>
      <c r="CD130" s="3" t="s">
        <v>829</v>
      </c>
      <c r="CE130" s="3">
        <v>100</v>
      </c>
      <c r="CF130" s="3" t="s">
        <v>829</v>
      </c>
      <c r="CG130" s="3">
        <v>100</v>
      </c>
      <c r="CH130" s="3" t="s">
        <v>829</v>
      </c>
      <c r="CI130" s="3"/>
      <c r="CJ130" s="3" t="s">
        <v>1043</v>
      </c>
      <c r="CK130" s="3"/>
      <c r="CL130" s="3" t="s">
        <v>1044</v>
      </c>
      <c r="CM130" s="3"/>
      <c r="CN130" s="3" t="s">
        <v>1043</v>
      </c>
      <c r="CO130" s="3"/>
      <c r="CP130" s="3"/>
      <c r="CQ130" s="3"/>
      <c r="CR130" s="3"/>
      <c r="CS130" s="3"/>
      <c r="CT130" s="3" t="s">
        <v>1045</v>
      </c>
      <c r="CU130" s="3"/>
      <c r="CV130" s="3"/>
      <c r="CW130" s="3"/>
      <c r="CX130" s="3" t="s">
        <v>2118</v>
      </c>
      <c r="CY130" s="3"/>
      <c r="CZ130" s="3"/>
      <c r="DA130" s="3"/>
      <c r="DB130" s="3"/>
      <c r="DC130" s="3"/>
      <c r="DD130" s="3"/>
      <c r="DE130" s="3"/>
      <c r="DF130" s="3" t="s">
        <v>2119</v>
      </c>
      <c r="DG130" s="3"/>
      <c r="DH130" s="3"/>
      <c r="DI130" s="3"/>
      <c r="DJ130" s="3" t="s">
        <v>2118</v>
      </c>
      <c r="DK130" s="3"/>
      <c r="DL130" s="3"/>
      <c r="DM130" s="3"/>
      <c r="DN130" s="3"/>
      <c r="DO130" s="3"/>
      <c r="DP130" s="3"/>
      <c r="DQ130" s="3"/>
      <c r="DR130" s="3" t="s">
        <v>2119</v>
      </c>
      <c r="DS130" s="3"/>
      <c r="DT130" s="3"/>
      <c r="DU130" s="3">
        <v>1</v>
      </c>
      <c r="DV130" s="3"/>
      <c r="DW130" s="3" t="s">
        <v>1046</v>
      </c>
      <c r="DX130" s="3"/>
      <c r="DY130" s="3"/>
      <c r="DZ130" s="3"/>
      <c r="EA130" s="3"/>
    </row>
    <row r="131" spans="1:131" x14ac:dyDescent="0.25">
      <c r="A131" s="2" t="s">
        <v>2249</v>
      </c>
      <c r="B131" s="2" t="s">
        <v>2531</v>
      </c>
      <c r="C131" s="3">
        <v>2</v>
      </c>
      <c r="D131" s="3" t="s">
        <v>304</v>
      </c>
      <c r="O131" s="3">
        <v>2</v>
      </c>
      <c r="P131" s="3" t="s">
        <v>2532</v>
      </c>
      <c r="Q131" s="3">
        <v>2</v>
      </c>
      <c r="R131" s="3" t="s">
        <v>2533</v>
      </c>
      <c r="S131" s="3">
        <v>2</v>
      </c>
      <c r="T131" s="3" t="s">
        <v>2532</v>
      </c>
      <c r="U131" s="3">
        <v>2</v>
      </c>
      <c r="V131" s="3" t="s">
        <v>2534</v>
      </c>
      <c r="W131" s="3">
        <v>2</v>
      </c>
      <c r="X131" s="3" t="s">
        <v>2535</v>
      </c>
      <c r="Y131" s="3">
        <v>2</v>
      </c>
      <c r="Z131" s="3" t="s">
        <v>2536</v>
      </c>
      <c r="AL131" s="3"/>
      <c r="AM131" s="3">
        <v>2</v>
      </c>
      <c r="AN131" s="3" t="s">
        <v>2537</v>
      </c>
      <c r="AO131" s="3">
        <v>2</v>
      </c>
      <c r="AP131" s="3" t="s">
        <v>2538</v>
      </c>
      <c r="AQ131" s="3">
        <v>2</v>
      </c>
      <c r="AR131" s="3" t="s">
        <v>2537</v>
      </c>
      <c r="AS131" s="3">
        <v>2</v>
      </c>
      <c r="AT131" s="3" t="s">
        <v>2539</v>
      </c>
      <c r="AU131" s="3">
        <v>2</v>
      </c>
      <c r="AV131" s="3" t="s">
        <v>2540</v>
      </c>
      <c r="AW131" s="3">
        <v>2</v>
      </c>
      <c r="AX131" s="3" t="s">
        <v>2536</v>
      </c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>
        <v>2</v>
      </c>
      <c r="BX131" s="3" t="s">
        <v>2541</v>
      </c>
      <c r="BY131" s="3">
        <v>2</v>
      </c>
      <c r="BZ131" s="3" t="s">
        <v>2542</v>
      </c>
      <c r="CA131" s="3">
        <v>2</v>
      </c>
      <c r="CB131" s="3" t="s">
        <v>2541</v>
      </c>
      <c r="CC131" s="3">
        <v>2</v>
      </c>
      <c r="CD131" s="3" t="s">
        <v>2543</v>
      </c>
      <c r="CE131" s="3">
        <v>2</v>
      </c>
      <c r="CF131" s="3" t="s">
        <v>2544</v>
      </c>
      <c r="CG131" s="3">
        <v>2</v>
      </c>
      <c r="CH131" s="3" t="s">
        <v>2545</v>
      </c>
      <c r="CI131" s="3">
        <v>2</v>
      </c>
      <c r="CJ131" s="3" t="s">
        <v>2546</v>
      </c>
      <c r="CK131" s="3">
        <v>2</v>
      </c>
      <c r="CL131" s="3" t="s">
        <v>2547</v>
      </c>
      <c r="CM131" s="3">
        <v>2</v>
      </c>
      <c r="CN131" s="3" t="s">
        <v>2546</v>
      </c>
      <c r="CO131" s="3">
        <v>2</v>
      </c>
      <c r="CP131" s="3" t="s">
        <v>2548</v>
      </c>
      <c r="CQ131" s="3">
        <v>2</v>
      </c>
      <c r="CR131" s="3" t="s">
        <v>2549</v>
      </c>
      <c r="CS131" s="3">
        <v>2</v>
      </c>
      <c r="CT131" s="3" t="s">
        <v>2550</v>
      </c>
      <c r="CU131" s="3">
        <v>2</v>
      </c>
      <c r="CV131" s="3" t="s">
        <v>2551</v>
      </c>
      <c r="CW131" s="3">
        <v>2</v>
      </c>
      <c r="CX131" s="3" t="s">
        <v>2552</v>
      </c>
      <c r="CY131" s="3">
        <v>2</v>
      </c>
      <c r="CZ131" s="3" t="s">
        <v>2551</v>
      </c>
      <c r="DA131" s="3">
        <v>2</v>
      </c>
      <c r="DB131" s="3" t="s">
        <v>2553</v>
      </c>
      <c r="DC131" s="3">
        <v>2</v>
      </c>
      <c r="DD131" s="3" t="s">
        <v>2554</v>
      </c>
      <c r="DE131" s="3">
        <v>2</v>
      </c>
      <c r="DF131" s="3" t="s">
        <v>2555</v>
      </c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</row>
    <row r="132" spans="1:131" x14ac:dyDescent="0.25">
      <c r="A132" s="2" t="s">
        <v>988</v>
      </c>
      <c r="B132" s="2" t="s">
        <v>2230</v>
      </c>
      <c r="D132" s="3" t="s">
        <v>303</v>
      </c>
      <c r="F132" s="3" t="s">
        <v>40</v>
      </c>
      <c r="H132" s="3" t="s">
        <v>636</v>
      </c>
      <c r="J132" s="3" t="s">
        <v>1032</v>
      </c>
      <c r="L132" s="3" t="s">
        <v>1033</v>
      </c>
      <c r="P132" s="3" t="s">
        <v>1034</v>
      </c>
      <c r="R132" s="3" t="s">
        <v>1035</v>
      </c>
      <c r="V132" s="3" t="s">
        <v>1032</v>
      </c>
      <c r="X132" s="3" t="s">
        <v>1036</v>
      </c>
      <c r="Z132" s="3" t="s">
        <v>1042</v>
      </c>
      <c r="AB132" s="3" t="s">
        <v>1037</v>
      </c>
      <c r="AD132" s="3" t="s">
        <v>1038</v>
      </c>
      <c r="AF132" s="3" t="s">
        <v>1037</v>
      </c>
      <c r="AL132" s="3" t="s">
        <v>1039</v>
      </c>
      <c r="AM132" s="3"/>
      <c r="AN132" s="3" t="s">
        <v>1040</v>
      </c>
      <c r="AO132" s="3"/>
      <c r="AP132" s="3" t="s">
        <v>1041</v>
      </c>
      <c r="AQ132" s="3"/>
      <c r="AR132" s="3" t="s">
        <v>1040</v>
      </c>
      <c r="AS132" s="3"/>
      <c r="AT132" s="3"/>
      <c r="AU132" s="3"/>
      <c r="AV132" s="3"/>
      <c r="AW132" s="3"/>
      <c r="AX132" s="3" t="s">
        <v>1042</v>
      </c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 t="s">
        <v>19</v>
      </c>
      <c r="BY132" s="3"/>
      <c r="BZ132" s="3" t="s">
        <v>20</v>
      </c>
      <c r="CA132" s="3"/>
      <c r="CB132" s="3" t="s">
        <v>19</v>
      </c>
      <c r="CC132" s="3"/>
      <c r="CD132" s="3" t="s">
        <v>2120</v>
      </c>
      <c r="CE132" s="3"/>
      <c r="CF132" s="3" t="s">
        <v>2121</v>
      </c>
      <c r="CG132" s="3"/>
      <c r="CH132" s="3" t="s">
        <v>23</v>
      </c>
      <c r="CI132" s="3"/>
      <c r="CJ132" s="3" t="s">
        <v>1043</v>
      </c>
      <c r="CK132" s="3"/>
      <c r="CL132" s="3" t="s">
        <v>1044</v>
      </c>
      <c r="CM132" s="3"/>
      <c r="CN132" s="3" t="s">
        <v>1043</v>
      </c>
      <c r="CO132" s="3"/>
      <c r="CP132" s="3"/>
      <c r="CQ132" s="3"/>
      <c r="CR132" s="3"/>
      <c r="CS132" s="3"/>
      <c r="CT132" s="3" t="s">
        <v>1045</v>
      </c>
      <c r="CU132" s="3"/>
      <c r="CV132" s="3"/>
      <c r="CW132" s="3"/>
      <c r="CX132" s="3" t="s">
        <v>2118</v>
      </c>
      <c r="CY132" s="3"/>
      <c r="CZ132" s="3"/>
      <c r="DA132" s="3"/>
      <c r="DB132" s="3"/>
      <c r="DC132" s="3"/>
      <c r="DD132" s="3"/>
      <c r="DE132" s="3"/>
      <c r="DF132" s="3" t="s">
        <v>2119</v>
      </c>
      <c r="DG132" s="3"/>
      <c r="DH132" s="3"/>
      <c r="DI132" s="3"/>
      <c r="DJ132" s="3" t="s">
        <v>2118</v>
      </c>
      <c r="DK132" s="3"/>
      <c r="DL132" s="3"/>
      <c r="DM132" s="3"/>
      <c r="DN132" s="3"/>
      <c r="DO132" s="3"/>
      <c r="DP132" s="3"/>
      <c r="DQ132" s="3"/>
      <c r="DR132" s="3" t="s">
        <v>2119</v>
      </c>
      <c r="DS132" s="3"/>
      <c r="DT132" s="3"/>
      <c r="DU132" s="3"/>
      <c r="DV132" s="3"/>
      <c r="DW132" s="3"/>
      <c r="DX132" s="3"/>
      <c r="DY132" s="3"/>
      <c r="DZ132" s="3"/>
      <c r="EA132" s="3"/>
    </row>
    <row r="133" spans="1:131" x14ac:dyDescent="0.25">
      <c r="A133" s="2" t="s">
        <v>47</v>
      </c>
      <c r="B133" s="2" t="s">
        <v>2130</v>
      </c>
      <c r="C133" s="3">
        <v>2</v>
      </c>
      <c r="D133" s="3" t="s">
        <v>1076</v>
      </c>
      <c r="E133" s="3">
        <v>2</v>
      </c>
      <c r="F133" s="3" t="s">
        <v>1077</v>
      </c>
      <c r="G133" s="3">
        <v>2</v>
      </c>
      <c r="H133" s="3" t="s">
        <v>1078</v>
      </c>
      <c r="M133" s="3">
        <v>2</v>
      </c>
      <c r="N133" s="3" t="s">
        <v>1079</v>
      </c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>
        <v>2</v>
      </c>
      <c r="BX133" s="3" t="s">
        <v>1080</v>
      </c>
      <c r="BY133" s="3">
        <v>2</v>
      </c>
      <c r="BZ133" s="3" t="s">
        <v>1081</v>
      </c>
      <c r="CA133" s="3">
        <v>2</v>
      </c>
      <c r="CB133" s="3" t="s">
        <v>1080</v>
      </c>
      <c r="CC133" s="3"/>
      <c r="CD133" s="3"/>
      <c r="CE133" s="3"/>
      <c r="CF133" s="3"/>
      <c r="CG133" s="3">
        <v>2</v>
      </c>
      <c r="CH133" s="3" t="s">
        <v>1082</v>
      </c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</row>
    <row r="134" spans="1:131" x14ac:dyDescent="0.25">
      <c r="A134" s="2" t="s">
        <v>2303</v>
      </c>
      <c r="B134" s="2" t="s">
        <v>2202</v>
      </c>
      <c r="C134" s="3">
        <v>3</v>
      </c>
      <c r="D134" s="3" t="s">
        <v>2304</v>
      </c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>
        <v>3</v>
      </c>
      <c r="BX134" s="3" t="s">
        <v>2305</v>
      </c>
      <c r="BY134" s="3">
        <v>3</v>
      </c>
      <c r="BZ134" s="3" t="s">
        <v>2306</v>
      </c>
      <c r="CA134" s="3">
        <v>3</v>
      </c>
      <c r="CB134" s="3" t="s">
        <v>2305</v>
      </c>
      <c r="CC134" s="3">
        <v>3</v>
      </c>
      <c r="CD134" s="3" t="s">
        <v>2307</v>
      </c>
      <c r="CE134" s="3">
        <v>3</v>
      </c>
      <c r="CF134" s="3" t="s">
        <v>2308</v>
      </c>
      <c r="CG134" s="3">
        <v>3</v>
      </c>
      <c r="CH134" s="3" t="s">
        <v>2309</v>
      </c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</row>
    <row r="135" spans="1:131" x14ac:dyDescent="0.25">
      <c r="A135" s="2" t="s">
        <v>958</v>
      </c>
      <c r="B135" s="2" t="s">
        <v>1428</v>
      </c>
      <c r="C135" s="3">
        <v>3</v>
      </c>
      <c r="D135" s="3" t="s">
        <v>1421</v>
      </c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>
        <v>3</v>
      </c>
      <c r="BX135" s="3" t="s">
        <v>1422</v>
      </c>
      <c r="BY135" s="3">
        <v>3</v>
      </c>
      <c r="BZ135" s="3" t="s">
        <v>1423</v>
      </c>
      <c r="CA135" s="3">
        <v>3</v>
      </c>
      <c r="CB135" s="3" t="s">
        <v>1422</v>
      </c>
      <c r="CC135" s="3">
        <v>3</v>
      </c>
      <c r="CD135" s="3" t="s">
        <v>1424</v>
      </c>
      <c r="CE135" s="3">
        <v>3</v>
      </c>
      <c r="CF135" s="3" t="s">
        <v>1425</v>
      </c>
      <c r="CG135" s="3">
        <v>3</v>
      </c>
      <c r="CH135" s="3" t="s">
        <v>1426</v>
      </c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</row>
    <row r="136" spans="1:131" x14ac:dyDescent="0.25">
      <c r="A136" s="2" t="s">
        <v>2</v>
      </c>
      <c r="B136" s="2" t="s">
        <v>2608</v>
      </c>
      <c r="D136" s="3" t="s">
        <v>4</v>
      </c>
      <c r="E136" s="3">
        <v>1</v>
      </c>
      <c r="F136" s="3" t="s">
        <v>240</v>
      </c>
      <c r="G136" s="3">
        <v>1</v>
      </c>
      <c r="H136" s="3" t="s">
        <v>241</v>
      </c>
      <c r="J136" s="3" t="s">
        <v>10</v>
      </c>
      <c r="L136" s="3" t="s">
        <v>11</v>
      </c>
      <c r="N136" s="3" t="s">
        <v>9</v>
      </c>
      <c r="O136" s="3">
        <v>1</v>
      </c>
      <c r="P136" s="3" t="s">
        <v>627</v>
      </c>
      <c r="Q136" s="3">
        <v>1</v>
      </c>
      <c r="R136" s="3" t="s">
        <v>628</v>
      </c>
      <c r="S136" s="3">
        <v>1</v>
      </c>
      <c r="T136" s="3" t="s">
        <v>629</v>
      </c>
      <c r="U136" s="3">
        <v>1</v>
      </c>
      <c r="V136" s="3" t="s">
        <v>630</v>
      </c>
      <c r="W136" s="3">
        <v>1</v>
      </c>
      <c r="X136" s="3" t="s">
        <v>631</v>
      </c>
      <c r="Y136" s="3">
        <v>1</v>
      </c>
      <c r="Z136" s="3" t="s">
        <v>632</v>
      </c>
      <c r="AA136" s="3">
        <v>1</v>
      </c>
      <c r="AB136" s="3" t="s">
        <v>242</v>
      </c>
      <c r="AC136" s="3">
        <v>1</v>
      </c>
      <c r="AD136" s="3" t="s">
        <v>243</v>
      </c>
      <c r="AE136" s="3">
        <v>1</v>
      </c>
      <c r="AF136" s="3" t="s">
        <v>242</v>
      </c>
      <c r="AG136" s="3">
        <v>1</v>
      </c>
      <c r="AH136" s="3" t="s">
        <v>244</v>
      </c>
      <c r="AI136" s="3">
        <v>1</v>
      </c>
      <c r="AJ136" s="3" t="s">
        <v>245</v>
      </c>
      <c r="AK136" s="3">
        <v>1</v>
      </c>
      <c r="AL136" s="3" t="s">
        <v>246</v>
      </c>
      <c r="AM136" s="3">
        <v>1</v>
      </c>
      <c r="AN136" s="3" t="s">
        <v>760</v>
      </c>
      <c r="AO136" s="3">
        <v>1</v>
      </c>
      <c r="AP136" s="3" t="s">
        <v>761</v>
      </c>
      <c r="AQ136" s="3">
        <v>1</v>
      </c>
      <c r="AR136" s="3" t="s">
        <v>760</v>
      </c>
      <c r="AS136" s="3">
        <v>1</v>
      </c>
      <c r="AT136" s="3" t="s">
        <v>762</v>
      </c>
      <c r="AU136" s="3">
        <v>1</v>
      </c>
      <c r="AV136" s="3" t="s">
        <v>763</v>
      </c>
      <c r="AW136" s="3">
        <v>1</v>
      </c>
      <c r="AX136" s="3" t="s">
        <v>632</v>
      </c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 t="s">
        <v>688</v>
      </c>
      <c r="BY136" s="3"/>
      <c r="BZ136" s="3" t="s">
        <v>689</v>
      </c>
      <c r="CA136" s="3"/>
      <c r="CB136" s="3" t="s">
        <v>688</v>
      </c>
      <c r="CC136" s="3"/>
      <c r="CD136" s="3" t="s">
        <v>690</v>
      </c>
      <c r="CE136" s="3"/>
      <c r="CF136" s="3" t="s">
        <v>691</v>
      </c>
      <c r="CG136" s="3"/>
      <c r="CH136" s="3" t="s">
        <v>692</v>
      </c>
      <c r="CI136" s="3">
        <v>1</v>
      </c>
      <c r="CJ136" s="3" t="s">
        <v>768</v>
      </c>
      <c r="CK136" s="3">
        <v>1</v>
      </c>
      <c r="CL136" s="3" t="s">
        <v>769</v>
      </c>
      <c r="CM136" s="3">
        <v>1</v>
      </c>
      <c r="CN136" s="3" t="s">
        <v>768</v>
      </c>
      <c r="CO136" s="3">
        <v>1</v>
      </c>
      <c r="CP136" s="3" t="s">
        <v>770</v>
      </c>
      <c r="CQ136" s="3">
        <v>1</v>
      </c>
      <c r="CR136" s="3" t="s">
        <v>771</v>
      </c>
      <c r="CS136" s="3">
        <v>1</v>
      </c>
      <c r="CT136" s="3" t="s">
        <v>772</v>
      </c>
      <c r="CU136" s="3">
        <v>1</v>
      </c>
      <c r="CV136" s="3" t="s">
        <v>774</v>
      </c>
      <c r="CW136" s="3">
        <v>1</v>
      </c>
      <c r="CX136" s="3" t="s">
        <v>775</v>
      </c>
      <c r="CY136" s="3">
        <v>1</v>
      </c>
      <c r="CZ136" s="3" t="s">
        <v>774</v>
      </c>
      <c r="DA136" s="3">
        <v>1</v>
      </c>
      <c r="DB136" s="3" t="s">
        <v>776</v>
      </c>
      <c r="DC136" s="3">
        <v>1</v>
      </c>
      <c r="DD136" s="3" t="s">
        <v>777</v>
      </c>
      <c r="DE136" s="3">
        <v>1</v>
      </c>
      <c r="DF136" s="3" t="s">
        <v>778</v>
      </c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>
        <v>1</v>
      </c>
      <c r="DY136" s="3" t="s">
        <v>736</v>
      </c>
      <c r="DZ136" s="3"/>
      <c r="EA136" s="3" t="s">
        <v>737</v>
      </c>
    </row>
    <row r="137" spans="1:131" x14ac:dyDescent="0.25">
      <c r="A137" s="2" t="s">
        <v>2322</v>
      </c>
      <c r="B137" s="2" t="s">
        <v>2202</v>
      </c>
      <c r="C137" s="3">
        <v>3</v>
      </c>
      <c r="D137" s="3" t="s">
        <v>2323</v>
      </c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>
        <v>3</v>
      </c>
      <c r="BX137" s="3" t="s">
        <v>2324</v>
      </c>
      <c r="BY137" s="3">
        <v>3</v>
      </c>
      <c r="BZ137" s="3" t="s">
        <v>2325</v>
      </c>
      <c r="CA137" s="3">
        <v>3</v>
      </c>
      <c r="CB137" s="3" t="s">
        <v>2324</v>
      </c>
      <c r="CC137" s="3">
        <v>3</v>
      </c>
      <c r="CD137" s="3" t="s">
        <v>2326</v>
      </c>
      <c r="CE137" s="3">
        <v>3</v>
      </c>
      <c r="CF137" s="3" t="s">
        <v>2327</v>
      </c>
      <c r="CG137" s="3">
        <v>3</v>
      </c>
      <c r="CH137" s="3" t="s">
        <v>2328</v>
      </c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</row>
    <row r="138" spans="1:131" x14ac:dyDescent="0.25">
      <c r="A138" s="2" t="s">
        <v>2364</v>
      </c>
      <c r="B138" s="2" t="s">
        <v>1435</v>
      </c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>
        <v>1</v>
      </c>
      <c r="DV138" s="3">
        <v>2</v>
      </c>
      <c r="DW138" s="3" t="s">
        <v>1436</v>
      </c>
      <c r="DX138" s="3"/>
      <c r="DY138" s="3"/>
      <c r="DZ138" s="3"/>
      <c r="EA138" s="3"/>
    </row>
    <row r="139" spans="1:131" x14ac:dyDescent="0.25">
      <c r="A139" s="2" t="s">
        <v>2378</v>
      </c>
      <c r="B139" s="2" t="s">
        <v>1639</v>
      </c>
      <c r="C139" s="3">
        <v>100</v>
      </c>
      <c r="D139" s="3" t="s">
        <v>829</v>
      </c>
      <c r="E139" s="3">
        <v>1</v>
      </c>
      <c r="F139" s="3" t="s">
        <v>2380</v>
      </c>
      <c r="G139" s="3">
        <v>1</v>
      </c>
      <c r="H139" s="3" t="s">
        <v>2379</v>
      </c>
      <c r="P139" s="3" t="s">
        <v>1034</v>
      </c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>
        <v>100</v>
      </c>
      <c r="BX139" s="3" t="s">
        <v>829</v>
      </c>
      <c r="BY139" s="3">
        <v>100</v>
      </c>
      <c r="BZ139" s="3" t="s">
        <v>829</v>
      </c>
      <c r="CA139" s="3">
        <v>100</v>
      </c>
      <c r="CB139" s="3" t="s">
        <v>829</v>
      </c>
      <c r="CC139" s="3">
        <v>100</v>
      </c>
      <c r="CD139" s="3" t="s">
        <v>829</v>
      </c>
      <c r="CE139" s="3">
        <v>100</v>
      </c>
      <c r="CF139" s="3" t="s">
        <v>829</v>
      </c>
      <c r="CG139" s="3">
        <v>100</v>
      </c>
      <c r="CH139" s="3" t="s">
        <v>829</v>
      </c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</row>
    <row r="140" spans="1:131" x14ac:dyDescent="0.25">
      <c r="A140" s="2" t="s">
        <v>2408</v>
      </c>
      <c r="B140" s="2" t="s">
        <v>2507</v>
      </c>
      <c r="C140" s="3">
        <v>3</v>
      </c>
      <c r="D140" s="3" t="s">
        <v>2509</v>
      </c>
      <c r="E140" s="3">
        <v>3</v>
      </c>
      <c r="F140" s="3" t="s">
        <v>2510</v>
      </c>
      <c r="G140" s="3">
        <v>3</v>
      </c>
      <c r="H140" s="3" t="s">
        <v>2511</v>
      </c>
      <c r="M140" s="3">
        <v>3</v>
      </c>
      <c r="N140" s="3" t="s">
        <v>2508</v>
      </c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>
        <v>3</v>
      </c>
      <c r="BX140" s="3" t="s">
        <v>2512</v>
      </c>
      <c r="BY140" s="3">
        <v>3</v>
      </c>
      <c r="BZ140" s="3" t="s">
        <v>2513</v>
      </c>
      <c r="CA140" s="3">
        <v>3</v>
      </c>
      <c r="CB140" s="3" t="s">
        <v>2512</v>
      </c>
      <c r="CC140" s="3">
        <v>3</v>
      </c>
      <c r="CD140" s="3" t="s">
        <v>2514</v>
      </c>
      <c r="CE140" s="3">
        <v>3</v>
      </c>
      <c r="CF140" s="3" t="s">
        <v>2515</v>
      </c>
      <c r="CG140" s="3">
        <v>3</v>
      </c>
      <c r="CH140" s="3" t="s">
        <v>2516</v>
      </c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</row>
    <row r="141" spans="1:131" x14ac:dyDescent="0.25">
      <c r="A141" s="2" t="s">
        <v>2417</v>
      </c>
      <c r="B141" s="2" t="s">
        <v>2148</v>
      </c>
      <c r="E141" s="3">
        <v>2</v>
      </c>
      <c r="F141" s="3" t="s">
        <v>2609</v>
      </c>
      <c r="G141" s="3">
        <v>2</v>
      </c>
      <c r="H141" s="3" t="s">
        <v>2610</v>
      </c>
      <c r="M141" s="3">
        <v>2</v>
      </c>
      <c r="N141" s="3" t="s">
        <v>2610</v>
      </c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</row>
    <row r="142" spans="1:131" x14ac:dyDescent="0.25">
      <c r="A142" s="2" t="s">
        <v>2440</v>
      </c>
      <c r="B142" s="2" t="s">
        <v>2475</v>
      </c>
      <c r="E142" s="3">
        <v>2</v>
      </c>
      <c r="F142" s="3" t="s">
        <v>2476</v>
      </c>
      <c r="G142" s="3">
        <v>2</v>
      </c>
      <c r="H142" s="3" t="s">
        <v>2477</v>
      </c>
      <c r="M142" s="3">
        <v>2</v>
      </c>
      <c r="N142" s="3" t="s">
        <v>2478</v>
      </c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</row>
    <row r="143" spans="1:131" x14ac:dyDescent="0.25">
      <c r="A143" s="2" t="s">
        <v>2453</v>
      </c>
      <c r="B143" s="2" t="s">
        <v>1435</v>
      </c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>
        <v>3</v>
      </c>
      <c r="DW143" s="3" t="s">
        <v>2223</v>
      </c>
      <c r="DX143" s="3"/>
      <c r="DY143" s="3"/>
      <c r="DZ143" s="3"/>
      <c r="EA143" s="3"/>
    </row>
    <row r="144" spans="1:131" x14ac:dyDescent="0.25">
      <c r="A144" s="2" t="s">
        <v>2457</v>
      </c>
      <c r="B144" s="2" t="s">
        <v>1435</v>
      </c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>
        <v>1</v>
      </c>
      <c r="DW144" s="3" t="s">
        <v>2223</v>
      </c>
      <c r="DX144" s="3"/>
      <c r="DY144" s="3"/>
      <c r="DZ144" s="3"/>
      <c r="EA144" s="3"/>
    </row>
    <row r="145" spans="1:132" x14ac:dyDescent="0.25">
      <c r="A145" s="2" t="s">
        <v>110</v>
      </c>
      <c r="B145" s="2" t="s">
        <v>3866</v>
      </c>
      <c r="C145" s="3">
        <v>1</v>
      </c>
      <c r="D145" s="3" t="s">
        <v>299</v>
      </c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>
        <v>1</v>
      </c>
      <c r="BX145" s="3" t="s">
        <v>841</v>
      </c>
      <c r="BY145" s="3">
        <v>1</v>
      </c>
      <c r="BZ145" s="3" t="s">
        <v>730</v>
      </c>
      <c r="CA145" s="3">
        <v>1</v>
      </c>
      <c r="CB145" s="3" t="s">
        <v>841</v>
      </c>
      <c r="CC145" s="3">
        <v>1</v>
      </c>
      <c r="CD145" s="3" t="s">
        <v>731</v>
      </c>
      <c r="CE145" s="3">
        <v>1</v>
      </c>
      <c r="CF145" s="3" t="s">
        <v>732</v>
      </c>
      <c r="CG145" s="3">
        <v>1</v>
      </c>
      <c r="CH145" s="3" t="s">
        <v>733</v>
      </c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</row>
    <row r="146" spans="1:132" x14ac:dyDescent="0.25">
      <c r="A146" s="2" t="s">
        <v>1</v>
      </c>
      <c r="B146" s="2" t="s">
        <v>1344</v>
      </c>
      <c r="D146" s="3" t="s">
        <v>24</v>
      </c>
      <c r="F146" s="3" t="s">
        <v>25</v>
      </c>
      <c r="H146" s="3" t="s">
        <v>26</v>
      </c>
      <c r="L146" s="3" t="s">
        <v>27</v>
      </c>
      <c r="N146" s="3" t="s">
        <v>249</v>
      </c>
      <c r="P146" s="3" t="s">
        <v>738</v>
      </c>
      <c r="R146" s="3" t="s">
        <v>739</v>
      </c>
      <c r="T146" s="3" t="s">
        <v>740</v>
      </c>
      <c r="V146" s="3" t="s">
        <v>741</v>
      </c>
      <c r="X146" s="3" t="s">
        <v>742</v>
      </c>
      <c r="Z146" s="3" t="s">
        <v>743</v>
      </c>
      <c r="AB146" s="3" t="s">
        <v>28</v>
      </c>
      <c r="AD146" s="3" t="s">
        <v>29</v>
      </c>
      <c r="AF146" s="3" t="s">
        <v>28</v>
      </c>
      <c r="AH146" s="3" t="s">
        <v>30</v>
      </c>
      <c r="AJ146" s="3" t="s">
        <v>31</v>
      </c>
      <c r="AL146" s="3" t="s">
        <v>32</v>
      </c>
      <c r="AM146" s="3"/>
      <c r="AN146" s="3" t="s">
        <v>744</v>
      </c>
      <c r="AO146" s="3"/>
      <c r="AP146" s="3" t="s">
        <v>745</v>
      </c>
      <c r="AQ146" s="3"/>
      <c r="AR146" s="3" t="s">
        <v>744</v>
      </c>
      <c r="AS146" s="3"/>
      <c r="AT146" s="3" t="s">
        <v>746</v>
      </c>
      <c r="AU146" s="3"/>
      <c r="AV146" s="3" t="s">
        <v>747</v>
      </c>
      <c r="AW146" s="3"/>
      <c r="AX146" s="3" t="s">
        <v>743</v>
      </c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 t="s">
        <v>703</v>
      </c>
      <c r="BY146" s="3"/>
      <c r="BZ146" s="3" t="s">
        <v>704</v>
      </c>
      <c r="CA146" s="3"/>
      <c r="CB146" s="3" t="s">
        <v>703</v>
      </c>
      <c r="CC146" s="3"/>
      <c r="CD146" s="3" t="s">
        <v>705</v>
      </c>
      <c r="CE146" s="3"/>
      <c r="CF146" s="3" t="s">
        <v>706</v>
      </c>
      <c r="CG146" s="3"/>
      <c r="CH146" s="3" t="s">
        <v>707</v>
      </c>
      <c r="CI146" s="3"/>
      <c r="CJ146" s="3" t="s">
        <v>748</v>
      </c>
      <c r="CK146" s="3"/>
      <c r="CL146" s="3" t="s">
        <v>749</v>
      </c>
      <c r="CM146" s="3"/>
      <c r="CN146" s="3" t="s">
        <v>748</v>
      </c>
      <c r="CO146" s="3"/>
      <c r="CP146" s="3" t="s">
        <v>750</v>
      </c>
      <c r="CQ146" s="3"/>
      <c r="CR146" s="3" t="s">
        <v>751</v>
      </c>
      <c r="CS146" s="3"/>
      <c r="CT146" s="3" t="s">
        <v>752</v>
      </c>
      <c r="CU146" s="3"/>
      <c r="CV146" s="3" t="s">
        <v>753</v>
      </c>
      <c r="CW146" s="3"/>
      <c r="CX146" s="3" t="s">
        <v>754</v>
      </c>
      <c r="CY146" s="3"/>
      <c r="CZ146" s="3" t="s">
        <v>753</v>
      </c>
      <c r="DA146" s="3"/>
      <c r="DB146" s="3" t="s">
        <v>755</v>
      </c>
      <c r="DC146" s="3"/>
      <c r="DD146" s="3" t="s">
        <v>757</v>
      </c>
      <c r="DE146" s="3"/>
      <c r="DF146" s="3" t="s">
        <v>756</v>
      </c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>
        <v>1</v>
      </c>
      <c r="DY146" s="3" t="s">
        <v>758</v>
      </c>
      <c r="DZ146" s="3"/>
      <c r="EA146" s="3"/>
    </row>
    <row r="147" spans="1:132" x14ac:dyDescent="0.25">
      <c r="A147" s="2" t="s">
        <v>1847</v>
      </c>
      <c r="B147" s="2" t="s">
        <v>298</v>
      </c>
      <c r="C147" s="3">
        <v>1</v>
      </c>
      <c r="D147" s="3" t="s">
        <v>299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>
        <v>1</v>
      </c>
      <c r="BX147" s="3" t="s">
        <v>841</v>
      </c>
      <c r="BY147" s="3">
        <v>1</v>
      </c>
      <c r="BZ147" s="3" t="s">
        <v>730</v>
      </c>
      <c r="CA147" s="3">
        <v>1</v>
      </c>
      <c r="CB147" s="3" t="s">
        <v>841</v>
      </c>
      <c r="CC147" s="3">
        <v>1</v>
      </c>
      <c r="CD147" s="3" t="s">
        <v>731</v>
      </c>
      <c r="CE147" s="3">
        <v>1</v>
      </c>
      <c r="CF147" s="3" t="s">
        <v>732</v>
      </c>
      <c r="CG147" s="3">
        <v>1</v>
      </c>
      <c r="CH147" s="3" t="s">
        <v>733</v>
      </c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>
        <v>1</v>
      </c>
      <c r="DW147" s="3" t="s">
        <v>2111</v>
      </c>
      <c r="DX147" s="3"/>
      <c r="DY147" s="3"/>
      <c r="DZ147" s="3"/>
      <c r="EA147" s="3"/>
    </row>
    <row r="148" spans="1:132" x14ac:dyDescent="0.25">
      <c r="A148" s="2" t="s">
        <v>1878</v>
      </c>
      <c r="B148" s="2" t="s">
        <v>2236</v>
      </c>
      <c r="C148" s="3">
        <v>3</v>
      </c>
      <c r="D148" s="3" t="s">
        <v>2237</v>
      </c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>
        <v>3</v>
      </c>
      <c r="BX148" s="3" t="s">
        <v>2238</v>
      </c>
      <c r="BY148" s="3">
        <v>3</v>
      </c>
      <c r="BZ148" s="3" t="s">
        <v>2239</v>
      </c>
      <c r="CA148" s="3">
        <v>3</v>
      </c>
      <c r="CB148" s="3" t="s">
        <v>2238</v>
      </c>
      <c r="CC148" s="3">
        <v>3</v>
      </c>
      <c r="CD148" s="3" t="s">
        <v>2242</v>
      </c>
      <c r="CE148" s="3">
        <v>3</v>
      </c>
      <c r="CF148" s="3" t="s">
        <v>2240</v>
      </c>
      <c r="CG148" s="3">
        <v>3</v>
      </c>
      <c r="CH148" s="3" t="s">
        <v>2241</v>
      </c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</row>
    <row r="149" spans="1:132" x14ac:dyDescent="0.25">
      <c r="A149" s="2" t="s">
        <v>1887</v>
      </c>
      <c r="B149" s="2" t="s">
        <v>2074</v>
      </c>
      <c r="G149" s="3">
        <v>1</v>
      </c>
      <c r="H149" s="3" t="s">
        <v>865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2" t="s">
        <v>2075</v>
      </c>
    </row>
    <row r="150" spans="1:132" x14ac:dyDescent="0.25">
      <c r="A150" s="2" t="s">
        <v>44</v>
      </c>
      <c r="B150" s="2" t="s">
        <v>719</v>
      </c>
      <c r="O150" s="3">
        <v>1</v>
      </c>
      <c r="P150" s="3" t="s">
        <v>589</v>
      </c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>
        <v>1</v>
      </c>
      <c r="BX150" s="3" t="s">
        <v>720</v>
      </c>
      <c r="BY150" s="3">
        <v>1</v>
      </c>
      <c r="BZ150" s="3" t="s">
        <v>721</v>
      </c>
      <c r="CA150" s="3">
        <v>1</v>
      </c>
      <c r="CB150" s="3" t="s">
        <v>720</v>
      </c>
      <c r="CC150" s="3">
        <v>1</v>
      </c>
      <c r="CD150" s="3" t="s">
        <v>722</v>
      </c>
      <c r="CE150" s="3">
        <v>1</v>
      </c>
      <c r="CF150" s="3" t="s">
        <v>723</v>
      </c>
      <c r="CG150" s="3">
        <v>1</v>
      </c>
      <c r="CH150" s="3" t="s">
        <v>724</v>
      </c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</row>
    <row r="151" spans="1:132" x14ac:dyDescent="0.25">
      <c r="A151" s="2" t="s">
        <v>1929</v>
      </c>
      <c r="B151" s="2" t="s">
        <v>2563</v>
      </c>
      <c r="C151" s="3">
        <v>1</v>
      </c>
      <c r="D151" s="3" t="s">
        <v>2077</v>
      </c>
      <c r="G151" s="3">
        <v>1</v>
      </c>
      <c r="H151" s="3" t="s">
        <v>865</v>
      </c>
      <c r="O151" s="3">
        <v>2</v>
      </c>
      <c r="P151" s="3" t="s">
        <v>2564</v>
      </c>
      <c r="Q151" s="3">
        <v>2</v>
      </c>
      <c r="R151" s="3" t="s">
        <v>2565</v>
      </c>
      <c r="S151" s="3">
        <v>2</v>
      </c>
      <c r="T151" s="3" t="s">
        <v>2564</v>
      </c>
      <c r="U151" s="3">
        <v>2</v>
      </c>
      <c r="V151" s="3" t="s">
        <v>2568</v>
      </c>
      <c r="W151" s="3">
        <v>2</v>
      </c>
      <c r="X151" s="3" t="s">
        <v>2566</v>
      </c>
      <c r="Y151" s="3">
        <v>2</v>
      </c>
      <c r="Z151" s="3" t="s">
        <v>2567</v>
      </c>
      <c r="AL151" s="3"/>
      <c r="AM151" s="3">
        <v>2</v>
      </c>
      <c r="AN151" s="3" t="s">
        <v>2569</v>
      </c>
      <c r="AO151" s="3">
        <v>2</v>
      </c>
      <c r="AP151" s="3" t="s">
        <v>2570</v>
      </c>
      <c r="AQ151" s="3">
        <v>2</v>
      </c>
      <c r="AR151" s="3" t="s">
        <v>2569</v>
      </c>
      <c r="AS151" s="3">
        <v>2</v>
      </c>
      <c r="AT151" s="3" t="s">
        <v>2571</v>
      </c>
      <c r="AU151" s="3">
        <v>2</v>
      </c>
      <c r="AV151" s="3" t="s">
        <v>2572</v>
      </c>
      <c r="AW151" s="3">
        <v>2</v>
      </c>
      <c r="AX151" s="3" t="s">
        <v>2567</v>
      </c>
      <c r="AY151" s="3">
        <v>1</v>
      </c>
      <c r="AZ151" s="3" t="s">
        <v>2086</v>
      </c>
      <c r="BA151" s="3">
        <v>1</v>
      </c>
      <c r="BB151" s="3" t="s">
        <v>2087</v>
      </c>
      <c r="BC151" s="3">
        <v>1</v>
      </c>
      <c r="BD151" s="3" t="s">
        <v>2088</v>
      </c>
      <c r="BE151" s="3">
        <v>1</v>
      </c>
      <c r="BF151" s="3" t="s">
        <v>2089</v>
      </c>
      <c r="BG151" s="3">
        <v>1</v>
      </c>
      <c r="BH151" s="3" t="s">
        <v>2090</v>
      </c>
      <c r="BI151" s="3">
        <v>1</v>
      </c>
      <c r="BJ151" s="3" t="s">
        <v>2091</v>
      </c>
      <c r="BK151" s="3">
        <v>1</v>
      </c>
      <c r="BL151" s="3" t="s">
        <v>2092</v>
      </c>
      <c r="BM151" s="3">
        <v>1</v>
      </c>
      <c r="BN151" s="3" t="s">
        <v>2093</v>
      </c>
      <c r="BO151" s="3">
        <v>1</v>
      </c>
      <c r="BP151" s="3" t="s">
        <v>2092</v>
      </c>
      <c r="BQ151" s="3">
        <v>1</v>
      </c>
      <c r="BR151" s="3" t="s">
        <v>2094</v>
      </c>
      <c r="BS151" s="3">
        <v>1</v>
      </c>
      <c r="BT151" s="3" t="s">
        <v>2095</v>
      </c>
      <c r="BU151" s="3">
        <v>1</v>
      </c>
      <c r="BV151" s="3" t="s">
        <v>2096</v>
      </c>
      <c r="BW151" s="3">
        <v>1</v>
      </c>
      <c r="BX151" s="3" t="s">
        <v>2097</v>
      </c>
      <c r="BY151" s="3">
        <v>1</v>
      </c>
      <c r="BZ151" s="3" t="s">
        <v>2098</v>
      </c>
      <c r="CA151" s="3">
        <v>1</v>
      </c>
      <c r="CB151" s="3" t="s">
        <v>2097</v>
      </c>
      <c r="CC151" s="3">
        <v>1</v>
      </c>
      <c r="CD151" s="3" t="s">
        <v>2099</v>
      </c>
      <c r="CE151" s="3">
        <v>1</v>
      </c>
      <c r="CF151" s="3" t="s">
        <v>2100</v>
      </c>
      <c r="CG151" s="3">
        <v>1</v>
      </c>
      <c r="CH151" s="3" t="s">
        <v>2101</v>
      </c>
      <c r="CI151" s="3">
        <v>2</v>
      </c>
      <c r="CJ151" s="3" t="s">
        <v>2573</v>
      </c>
      <c r="CK151" s="3">
        <v>2</v>
      </c>
      <c r="CL151" s="3" t="s">
        <v>2574</v>
      </c>
      <c r="CM151" s="3">
        <v>2</v>
      </c>
      <c r="CN151" s="3" t="s">
        <v>2573</v>
      </c>
      <c r="CO151" s="3">
        <v>2</v>
      </c>
      <c r="CP151" s="3" t="s">
        <v>2575</v>
      </c>
      <c r="CQ151" s="3">
        <v>2</v>
      </c>
      <c r="CR151" s="3" t="s">
        <v>2576</v>
      </c>
      <c r="CS151" s="3">
        <v>2</v>
      </c>
      <c r="CT151" s="3" t="s">
        <v>2577</v>
      </c>
      <c r="CU151" s="3">
        <v>2</v>
      </c>
      <c r="CV151" s="3" t="s">
        <v>2578</v>
      </c>
      <c r="CW151" s="3">
        <v>2</v>
      </c>
      <c r="CX151" s="3" t="s">
        <v>2579</v>
      </c>
      <c r="CY151" s="3">
        <v>2</v>
      </c>
      <c r="CZ151" s="3" t="s">
        <v>2578</v>
      </c>
      <c r="DA151" s="3">
        <v>2</v>
      </c>
      <c r="DB151" s="3" t="s">
        <v>2580</v>
      </c>
      <c r="DC151" s="34">
        <v>2</v>
      </c>
      <c r="DD151" s="3" t="s">
        <v>2581</v>
      </c>
      <c r="DE151" s="3">
        <v>2</v>
      </c>
      <c r="DF151" s="3" t="s">
        <v>2582</v>
      </c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</row>
    <row r="152" spans="1:132" x14ac:dyDescent="0.25">
      <c r="A152" s="2" t="s">
        <v>1281</v>
      </c>
      <c r="B152" s="2" t="s">
        <v>2556</v>
      </c>
      <c r="D152" s="3" t="s">
        <v>2557</v>
      </c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 t="s">
        <v>2562</v>
      </c>
      <c r="BY152" s="3"/>
      <c r="BZ152" s="3" t="s">
        <v>2558</v>
      </c>
      <c r="CA152" s="3"/>
      <c r="CB152" s="3" t="s">
        <v>2562</v>
      </c>
      <c r="CC152" s="3"/>
      <c r="CD152" s="3" t="s">
        <v>2559</v>
      </c>
      <c r="CE152" s="3"/>
      <c r="CF152" s="3" t="s">
        <v>2560</v>
      </c>
      <c r="CG152" s="3"/>
      <c r="CH152" s="3" t="s">
        <v>2561</v>
      </c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</row>
    <row r="153" spans="1:132" x14ac:dyDescent="0.25">
      <c r="A153" s="2" t="s">
        <v>250</v>
      </c>
      <c r="B153" s="2" t="s">
        <v>1341</v>
      </c>
      <c r="D153" s="3" t="s">
        <v>251</v>
      </c>
      <c r="F153" s="3" t="s">
        <v>687</v>
      </c>
      <c r="H153" s="3" t="s">
        <v>252</v>
      </c>
      <c r="L153" s="3" t="s">
        <v>253</v>
      </c>
      <c r="N153" s="3" t="s">
        <v>4952</v>
      </c>
      <c r="R153" s="3" t="s">
        <v>659</v>
      </c>
      <c r="T153" s="3" t="s">
        <v>660</v>
      </c>
      <c r="V153" s="3" t="s">
        <v>39</v>
      </c>
      <c r="X153" s="3" t="s">
        <v>661</v>
      </c>
      <c r="Z153" s="3" t="s">
        <v>662</v>
      </c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 t="s">
        <v>688</v>
      </c>
      <c r="BY153" s="3"/>
      <c r="BZ153" s="3" t="s">
        <v>689</v>
      </c>
      <c r="CA153" s="3"/>
      <c r="CB153" s="3" t="s">
        <v>688</v>
      </c>
      <c r="CC153" s="3"/>
      <c r="CD153" s="3" t="s">
        <v>690</v>
      </c>
      <c r="CE153" s="3"/>
      <c r="CF153" s="3" t="s">
        <v>691</v>
      </c>
      <c r="CG153" s="3"/>
      <c r="CH153" s="3" t="s">
        <v>692</v>
      </c>
      <c r="CI153" s="3"/>
      <c r="CJ153" s="3" t="s">
        <v>678</v>
      </c>
      <c r="CK153" s="3"/>
      <c r="CL153" s="3" t="s">
        <v>679</v>
      </c>
      <c r="CM153" s="3"/>
      <c r="CN153" s="3" t="s">
        <v>678</v>
      </c>
      <c r="CO153" s="3"/>
      <c r="CP153" s="3" t="s">
        <v>680</v>
      </c>
      <c r="CQ153" s="3"/>
      <c r="CR153" s="3" t="s">
        <v>681</v>
      </c>
      <c r="CS153" s="3"/>
      <c r="CT153" s="3" t="s">
        <v>682</v>
      </c>
      <c r="CU153" s="3"/>
      <c r="CV153" s="3" t="s">
        <v>257</v>
      </c>
      <c r="CW153" s="3"/>
      <c r="CX153" s="3" t="s">
        <v>683</v>
      </c>
      <c r="CY153" s="3"/>
      <c r="CZ153" s="3" t="s">
        <v>257</v>
      </c>
      <c r="DA153" s="3"/>
      <c r="DB153" s="3" t="s">
        <v>684</v>
      </c>
      <c r="DC153" s="3"/>
      <c r="DD153" s="3" t="s">
        <v>685</v>
      </c>
      <c r="DE153" s="3"/>
      <c r="DF153" s="3" t="s">
        <v>686</v>
      </c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>
        <v>1</v>
      </c>
      <c r="DV153" s="3"/>
      <c r="DW153" s="3" t="s">
        <v>264</v>
      </c>
      <c r="DX153" s="3"/>
      <c r="DY153" s="3"/>
      <c r="DZ153" s="3"/>
      <c r="EA153" s="3"/>
    </row>
    <row r="154" spans="1:132" x14ac:dyDescent="0.25">
      <c r="A154" s="2" t="s">
        <v>4948</v>
      </c>
      <c r="B154" s="2" t="s">
        <v>4949</v>
      </c>
      <c r="D154" s="3" t="s">
        <v>251</v>
      </c>
      <c r="F154" s="3" t="s">
        <v>687</v>
      </c>
      <c r="H154" s="3" t="s">
        <v>252</v>
      </c>
      <c r="L154" s="3" t="s">
        <v>253</v>
      </c>
      <c r="N154" s="3" t="s">
        <v>254</v>
      </c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4" t="s">
        <v>4950</v>
      </c>
      <c r="BX154" s="3" t="s">
        <v>688</v>
      </c>
      <c r="BY154" s="3"/>
      <c r="BZ154" s="3" t="s">
        <v>689</v>
      </c>
      <c r="CA154" s="3"/>
      <c r="CB154" s="3" t="s">
        <v>688</v>
      </c>
      <c r="CC154" s="3"/>
      <c r="CD154" s="3" t="s">
        <v>690</v>
      </c>
      <c r="CE154" s="3"/>
      <c r="CF154" s="3" t="s">
        <v>691</v>
      </c>
      <c r="CG154" s="3"/>
      <c r="CH154" s="3" t="s">
        <v>692</v>
      </c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</row>
    <row r="155" spans="1:132" x14ac:dyDescent="0.25">
      <c r="A155" s="2" t="s">
        <v>2069</v>
      </c>
      <c r="B155" s="2" t="s">
        <v>2202</v>
      </c>
      <c r="C155" s="3">
        <v>3</v>
      </c>
      <c r="D155" s="3" t="s">
        <v>264</v>
      </c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>
        <v>3</v>
      </c>
      <c r="BX155" s="3" t="s">
        <v>2458</v>
      </c>
      <c r="BY155" s="3">
        <v>3</v>
      </c>
      <c r="BZ155" s="3" t="s">
        <v>2459</v>
      </c>
      <c r="CA155" s="3">
        <v>3</v>
      </c>
      <c r="CB155" s="3" t="s">
        <v>2458</v>
      </c>
      <c r="CC155" s="3">
        <v>3</v>
      </c>
      <c r="CD155" s="3" t="s">
        <v>2460</v>
      </c>
      <c r="CE155" s="3">
        <v>3</v>
      </c>
      <c r="CF155" s="3" t="s">
        <v>2461</v>
      </c>
      <c r="CG155" s="3">
        <v>3</v>
      </c>
      <c r="CH155" s="3" t="s">
        <v>2462</v>
      </c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</row>
    <row r="156" spans="1:132" x14ac:dyDescent="0.25">
      <c r="A156" s="2" t="s">
        <v>247</v>
      </c>
      <c r="B156" s="2" t="s">
        <v>1342</v>
      </c>
      <c r="D156" s="3" t="s">
        <v>24</v>
      </c>
      <c r="F156" s="3" t="s">
        <v>25</v>
      </c>
      <c r="H156" s="3" t="s">
        <v>26</v>
      </c>
      <c r="J156" s="3" t="s">
        <v>39</v>
      </c>
      <c r="L156" s="3" t="s">
        <v>248</v>
      </c>
      <c r="N156" s="3" t="s">
        <v>249</v>
      </c>
      <c r="P156" s="3" t="s">
        <v>693</v>
      </c>
      <c r="R156" s="3" t="s">
        <v>694</v>
      </c>
      <c r="T156" s="3" t="s">
        <v>695</v>
      </c>
      <c r="V156" s="3" t="s">
        <v>696</v>
      </c>
      <c r="X156" s="3" t="s">
        <v>697</v>
      </c>
      <c r="Z156" s="3" t="s">
        <v>698</v>
      </c>
      <c r="AB156" s="3" t="s">
        <v>28</v>
      </c>
      <c r="AD156" s="3" t="s">
        <v>29</v>
      </c>
      <c r="AF156" s="3" t="s">
        <v>28</v>
      </c>
      <c r="AH156" s="3" t="s">
        <v>30</v>
      </c>
      <c r="AJ156" s="3" t="s">
        <v>31</v>
      </c>
      <c r="AL156" s="3" t="s">
        <v>32</v>
      </c>
      <c r="AM156" s="3"/>
      <c r="AN156" s="3" t="s">
        <v>699</v>
      </c>
      <c r="AO156" s="3"/>
      <c r="AP156" s="3" t="s">
        <v>700</v>
      </c>
      <c r="AQ156" s="3"/>
      <c r="AR156" s="3" t="s">
        <v>699</v>
      </c>
      <c r="AS156" s="3"/>
      <c r="AT156" s="3" t="s">
        <v>701</v>
      </c>
      <c r="AU156" s="3"/>
      <c r="AV156" s="3" t="s">
        <v>702</v>
      </c>
      <c r="AW156" s="3"/>
      <c r="AX156" s="3" t="s">
        <v>698</v>
      </c>
      <c r="AY156" s="3"/>
      <c r="AZ156" s="3" t="s">
        <v>667</v>
      </c>
      <c r="BA156" s="3"/>
      <c r="BB156" s="3" t="s">
        <v>668</v>
      </c>
      <c r="BC156" s="3"/>
      <c r="BD156" s="3" t="s">
        <v>669</v>
      </c>
      <c r="BE156" s="3"/>
      <c r="BF156" s="3" t="s">
        <v>670</v>
      </c>
      <c r="BG156" s="3"/>
      <c r="BH156" s="3" t="s">
        <v>671</v>
      </c>
      <c r="BI156" s="3"/>
      <c r="BJ156" s="3" t="s">
        <v>672</v>
      </c>
      <c r="BK156" s="3"/>
      <c r="BL156" s="3" t="s">
        <v>673</v>
      </c>
      <c r="BM156" s="3"/>
      <c r="BN156" s="3" t="s">
        <v>674</v>
      </c>
      <c r="BO156" s="3"/>
      <c r="BP156" s="3" t="s">
        <v>673</v>
      </c>
      <c r="BQ156" s="3"/>
      <c r="BR156" s="3" t="s">
        <v>675</v>
      </c>
      <c r="BS156" s="3"/>
      <c r="BT156" s="3" t="s">
        <v>676</v>
      </c>
      <c r="BU156" s="3"/>
      <c r="BV156" s="3" t="s">
        <v>677</v>
      </c>
      <c r="BW156" s="3"/>
      <c r="BX156" s="3" t="s">
        <v>703</v>
      </c>
      <c r="BY156" s="3"/>
      <c r="BZ156" s="3" t="s">
        <v>704</v>
      </c>
      <c r="CA156" s="3"/>
      <c r="CB156" s="3" t="s">
        <v>703</v>
      </c>
      <c r="CC156" s="3"/>
      <c r="CD156" s="3" t="s">
        <v>705</v>
      </c>
      <c r="CE156" s="3"/>
      <c r="CF156" s="3" t="s">
        <v>706</v>
      </c>
      <c r="CG156" s="3"/>
      <c r="CH156" s="3" t="s">
        <v>707</v>
      </c>
      <c r="CI156" s="3"/>
      <c r="CJ156" s="3" t="s">
        <v>708</v>
      </c>
      <c r="CK156" s="3"/>
      <c r="CL156" s="3" t="s">
        <v>709</v>
      </c>
      <c r="CM156" s="3"/>
      <c r="CN156" s="3" t="s">
        <v>708</v>
      </c>
      <c r="CO156" s="3"/>
      <c r="CP156" s="3" t="s">
        <v>710</v>
      </c>
      <c r="CQ156" s="3"/>
      <c r="CR156" s="3" t="s">
        <v>711</v>
      </c>
      <c r="CS156" s="3"/>
      <c r="CT156" s="3" t="s">
        <v>712</v>
      </c>
      <c r="CU156" s="3"/>
      <c r="CV156" s="3" t="s">
        <v>713</v>
      </c>
      <c r="CW156" s="3"/>
      <c r="CX156" s="3" t="s">
        <v>714</v>
      </c>
      <c r="CY156" s="3"/>
      <c r="CZ156" s="3" t="s">
        <v>713</v>
      </c>
      <c r="DA156" s="3"/>
      <c r="DB156" s="3" t="s">
        <v>715</v>
      </c>
      <c r="DC156" s="3"/>
      <c r="DD156" s="3" t="s">
        <v>716</v>
      </c>
      <c r="DE156" s="3"/>
      <c r="DF156" s="3" t="s">
        <v>717</v>
      </c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>
        <v>1</v>
      </c>
      <c r="DV156" s="3"/>
      <c r="DW156" s="3" t="s">
        <v>263</v>
      </c>
      <c r="DX156" s="3">
        <v>1</v>
      </c>
      <c r="DY156" s="3" t="s">
        <v>718</v>
      </c>
      <c r="DZ156" s="3"/>
      <c r="EA156" s="3"/>
    </row>
    <row r="157" spans="1:132" x14ac:dyDescent="0.25">
      <c r="A157" s="2" t="s">
        <v>1329</v>
      </c>
      <c r="B157" s="2" t="s">
        <v>2130</v>
      </c>
      <c r="C157" s="3">
        <v>2</v>
      </c>
      <c r="D157" s="3" t="s">
        <v>2138</v>
      </c>
      <c r="E157" s="3">
        <v>2</v>
      </c>
      <c r="F157" s="3" t="s">
        <v>2139</v>
      </c>
      <c r="G157" s="3">
        <v>2</v>
      </c>
      <c r="H157" s="3" t="s">
        <v>2140</v>
      </c>
      <c r="M157" s="3">
        <v>2</v>
      </c>
      <c r="N157" s="3" t="s">
        <v>2141</v>
      </c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>
        <v>2</v>
      </c>
      <c r="BX157" s="3" t="s">
        <v>2142</v>
      </c>
      <c r="BY157" s="3">
        <v>2</v>
      </c>
      <c r="BZ157" s="3" t="s">
        <v>2143</v>
      </c>
      <c r="CA157" s="3">
        <v>2</v>
      </c>
      <c r="CB157" s="3" t="s">
        <v>2142</v>
      </c>
      <c r="CC157" s="3"/>
      <c r="CD157" s="3"/>
      <c r="CE157" s="3"/>
      <c r="CF157" s="3"/>
      <c r="CG157" s="3">
        <v>2</v>
      </c>
      <c r="CH157" s="3" t="s">
        <v>2144</v>
      </c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</row>
    <row r="158" spans="1:132" x14ac:dyDescent="0.25">
      <c r="A158" s="2" t="s">
        <v>1337</v>
      </c>
      <c r="B158" s="2" t="s">
        <v>1435</v>
      </c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>
        <v>1</v>
      </c>
      <c r="DW158" s="3" t="s">
        <v>2111</v>
      </c>
      <c r="DX158" s="3"/>
      <c r="DY158" s="3"/>
      <c r="DZ158" s="3"/>
      <c r="EA158" s="3"/>
    </row>
    <row r="159" spans="1:132" x14ac:dyDescent="0.25">
      <c r="A159" s="2" t="s">
        <v>633</v>
      </c>
      <c r="B159" s="2" t="s">
        <v>268</v>
      </c>
      <c r="D159" s="3" t="s">
        <v>34</v>
      </c>
      <c r="F159" s="3" t="s">
        <v>35</v>
      </c>
      <c r="H159" s="3" t="s">
        <v>36</v>
      </c>
      <c r="J159" s="3" t="s">
        <v>7</v>
      </c>
      <c r="L159" s="3" t="s">
        <v>8</v>
      </c>
      <c r="N159" s="3" t="s">
        <v>33</v>
      </c>
      <c r="P159" s="3" t="s">
        <v>304</v>
      </c>
      <c r="R159" s="3" t="s">
        <v>598</v>
      </c>
      <c r="T159" s="3" t="s">
        <v>4</v>
      </c>
      <c r="V159" s="3" t="s">
        <v>7</v>
      </c>
      <c r="X159" s="3" t="s">
        <v>599</v>
      </c>
      <c r="Z159" s="3" t="s">
        <v>600</v>
      </c>
      <c r="AB159" s="3" t="s">
        <v>12</v>
      </c>
      <c r="AD159" s="3" t="s">
        <v>13</v>
      </c>
      <c r="AF159" s="3" t="s">
        <v>12</v>
      </c>
      <c r="AH159" s="3" t="s">
        <v>14</v>
      </c>
      <c r="AJ159" s="3" t="s">
        <v>15</v>
      </c>
      <c r="AL159" s="3" t="s">
        <v>16</v>
      </c>
      <c r="AM159" s="3"/>
      <c r="AN159" s="3" t="s">
        <v>601</v>
      </c>
      <c r="AO159" s="3"/>
      <c r="AP159" s="3" t="s">
        <v>602</v>
      </c>
      <c r="AQ159" s="3"/>
      <c r="AR159" s="3" t="s">
        <v>601</v>
      </c>
      <c r="AS159" s="3"/>
      <c r="AT159" s="3" t="s">
        <v>603</v>
      </c>
      <c r="AU159" s="3"/>
      <c r="AV159" s="3" t="s">
        <v>604</v>
      </c>
      <c r="AW159" s="3"/>
      <c r="AX159" s="3" t="s">
        <v>600</v>
      </c>
      <c r="AY159" s="3"/>
      <c r="AZ159" s="3" t="s">
        <v>605</v>
      </c>
      <c r="BA159" s="3"/>
      <c r="BB159" s="3" t="s">
        <v>606</v>
      </c>
      <c r="BC159" s="3"/>
      <c r="BD159" s="3" t="s">
        <v>607</v>
      </c>
      <c r="BE159" s="3"/>
      <c r="BF159" s="3" t="s">
        <v>608</v>
      </c>
      <c r="BG159" s="3"/>
      <c r="BH159" s="3" t="s">
        <v>609</v>
      </c>
      <c r="BI159" s="3"/>
      <c r="BJ159" s="3" t="s">
        <v>610</v>
      </c>
      <c r="BK159" s="3"/>
      <c r="BL159" s="3" t="s">
        <v>612</v>
      </c>
      <c r="BM159" s="3"/>
      <c r="BN159" s="3" t="s">
        <v>613</v>
      </c>
      <c r="BO159" s="3"/>
      <c r="BP159" s="3" t="s">
        <v>612</v>
      </c>
      <c r="BQ159" s="3"/>
      <c r="BR159" s="3" t="s">
        <v>614</v>
      </c>
      <c r="BS159" s="3"/>
      <c r="BT159" s="3" t="s">
        <v>615</v>
      </c>
      <c r="BU159" s="3"/>
      <c r="BV159" s="3" t="s">
        <v>616</v>
      </c>
      <c r="BW159" s="3"/>
      <c r="BX159" s="3" t="s">
        <v>38</v>
      </c>
      <c r="BY159" s="3"/>
      <c r="BZ159" s="3" t="s">
        <v>37</v>
      </c>
      <c r="CA159" s="3"/>
      <c r="CB159" s="3" t="s">
        <v>38</v>
      </c>
      <c r="CC159" s="3"/>
      <c r="CD159" s="3" t="s">
        <v>17</v>
      </c>
      <c r="CE159" s="3"/>
      <c r="CF159" s="3" t="s">
        <v>18</v>
      </c>
      <c r="CG159" s="3"/>
      <c r="CH159" s="3" t="s">
        <v>26</v>
      </c>
      <c r="CI159" s="3"/>
      <c r="CJ159" s="3" t="s">
        <v>617</v>
      </c>
      <c r="CK159" s="3"/>
      <c r="CL159" s="3" t="s">
        <v>780</v>
      </c>
      <c r="CM159" s="3"/>
      <c r="CN159" s="3" t="s">
        <v>617</v>
      </c>
      <c r="CO159" s="3"/>
      <c r="CP159" s="3" t="s">
        <v>618</v>
      </c>
      <c r="CQ159" s="3"/>
      <c r="CR159" s="3" t="s">
        <v>619</v>
      </c>
      <c r="CS159" s="3"/>
      <c r="CT159" s="3" t="s">
        <v>620</v>
      </c>
      <c r="CU159" s="3"/>
      <c r="CV159" s="3" t="s">
        <v>255</v>
      </c>
      <c r="CW159" s="3"/>
      <c r="CX159" s="3" t="s">
        <v>625</v>
      </c>
      <c r="CY159" s="3"/>
      <c r="CZ159" s="3" t="s">
        <v>255</v>
      </c>
      <c r="DA159" s="3"/>
      <c r="DB159" s="3" t="s">
        <v>622</v>
      </c>
      <c r="DC159" s="3"/>
      <c r="DD159" s="3" t="s">
        <v>623</v>
      </c>
      <c r="DE159" s="3"/>
      <c r="DF159" s="3" t="s">
        <v>624</v>
      </c>
      <c r="DG159" s="3"/>
      <c r="DH159" s="3" t="s">
        <v>255</v>
      </c>
      <c r="DI159" s="3"/>
      <c r="DJ159" s="3" t="s">
        <v>625</v>
      </c>
      <c r="DK159" s="3"/>
      <c r="DL159" s="3" t="s">
        <v>255</v>
      </c>
      <c r="DM159" s="3"/>
      <c r="DN159" s="3" t="s">
        <v>622</v>
      </c>
      <c r="DO159" s="3"/>
      <c r="DP159" s="3" t="s">
        <v>623</v>
      </c>
      <c r="DQ159" s="3"/>
      <c r="DR159" s="3" t="s">
        <v>624</v>
      </c>
      <c r="DS159" s="3"/>
      <c r="DT159" s="3" t="s">
        <v>259</v>
      </c>
      <c r="DU159" s="3"/>
      <c r="DV159" s="3"/>
      <c r="DW159" s="3" t="s">
        <v>260</v>
      </c>
      <c r="DX159" s="3"/>
      <c r="DY159" s="3"/>
      <c r="DZ159" s="3"/>
      <c r="EA159" s="3"/>
    </row>
    <row r="160" spans="1:132" x14ac:dyDescent="0.25">
      <c r="A160" s="2" t="s">
        <v>634</v>
      </c>
      <c r="B160" s="2" t="s">
        <v>269</v>
      </c>
      <c r="D160" s="3" t="s">
        <v>34</v>
      </c>
      <c r="F160" s="3" t="s">
        <v>37</v>
      </c>
      <c r="H160" s="3" t="s">
        <v>38</v>
      </c>
      <c r="J160" s="3" t="s">
        <v>17</v>
      </c>
      <c r="L160" s="3" t="s">
        <v>18</v>
      </c>
      <c r="N160" s="3" t="s">
        <v>26</v>
      </c>
      <c r="P160" s="3" t="s">
        <v>636</v>
      </c>
      <c r="R160" s="3" t="s">
        <v>637</v>
      </c>
      <c r="T160" s="3" t="s">
        <v>280</v>
      </c>
      <c r="V160" s="3" t="s">
        <v>17</v>
      </c>
      <c r="X160" s="3" t="s">
        <v>638</v>
      </c>
      <c r="Z160" s="3" t="s">
        <v>246</v>
      </c>
      <c r="AB160" s="3" t="s">
        <v>19</v>
      </c>
      <c r="AD160" s="3" t="s">
        <v>20</v>
      </c>
      <c r="AF160" s="3" t="s">
        <v>19</v>
      </c>
      <c r="AH160" s="3" t="s">
        <v>21</v>
      </c>
      <c r="AJ160" s="3" t="s">
        <v>22</v>
      </c>
      <c r="AL160" s="3" t="s">
        <v>23</v>
      </c>
      <c r="AM160" s="3"/>
      <c r="AN160" s="3" t="s">
        <v>242</v>
      </c>
      <c r="AO160" s="3"/>
      <c r="AP160" s="3" t="s">
        <v>243</v>
      </c>
      <c r="AQ160" s="3"/>
      <c r="AR160" s="3" t="s">
        <v>242</v>
      </c>
      <c r="AS160" s="3"/>
      <c r="AT160" s="3" t="s">
        <v>639</v>
      </c>
      <c r="AU160" s="3"/>
      <c r="AV160" s="3" t="s">
        <v>640</v>
      </c>
      <c r="AW160" s="3"/>
      <c r="AX160" s="3" t="s">
        <v>246</v>
      </c>
      <c r="AY160" s="3"/>
      <c r="AZ160" s="3" t="s">
        <v>641</v>
      </c>
      <c r="BA160" s="3"/>
      <c r="BB160" s="3" t="s">
        <v>642</v>
      </c>
      <c r="BC160" s="3"/>
      <c r="BD160" s="3" t="s">
        <v>643</v>
      </c>
      <c r="BE160" s="3"/>
      <c r="BF160" s="3" t="s">
        <v>644</v>
      </c>
      <c r="BG160" s="3"/>
      <c r="BH160" s="3" t="s">
        <v>645</v>
      </c>
      <c r="BI160" s="3"/>
      <c r="BJ160" s="3" t="s">
        <v>611</v>
      </c>
      <c r="BK160" s="3"/>
      <c r="BL160" s="3" t="s">
        <v>646</v>
      </c>
      <c r="BM160" s="3"/>
      <c r="BN160" s="3" t="s">
        <v>647</v>
      </c>
      <c r="BO160" s="3"/>
      <c r="BP160" s="3" t="s">
        <v>646</v>
      </c>
      <c r="BQ160" s="3"/>
      <c r="BR160" s="3" t="s">
        <v>648</v>
      </c>
      <c r="BS160" s="3"/>
      <c r="BT160" s="3" t="s">
        <v>649</v>
      </c>
      <c r="BU160" s="3"/>
      <c r="BV160" s="3" t="s">
        <v>650</v>
      </c>
      <c r="BW160" s="3"/>
      <c r="BX160" s="3" t="s">
        <v>36</v>
      </c>
      <c r="BY160" s="3"/>
      <c r="BZ160" s="3" t="s">
        <v>35</v>
      </c>
      <c r="CA160" s="3"/>
      <c r="CB160" s="3" t="s">
        <v>36</v>
      </c>
      <c r="CC160" s="3"/>
      <c r="CD160" s="3" t="s">
        <v>7</v>
      </c>
      <c r="CE160" s="3"/>
      <c r="CF160" s="3" t="s">
        <v>8</v>
      </c>
      <c r="CG160" s="3"/>
      <c r="CH160" s="3" t="s">
        <v>33</v>
      </c>
      <c r="CI160" s="3"/>
      <c r="CJ160" s="3" t="s">
        <v>651</v>
      </c>
      <c r="CK160" s="3"/>
      <c r="CL160" s="3" t="s">
        <v>652</v>
      </c>
      <c r="CM160" s="3"/>
      <c r="CN160" s="3" t="s">
        <v>651</v>
      </c>
      <c r="CO160" s="3"/>
      <c r="CP160" s="3" t="s">
        <v>653</v>
      </c>
      <c r="CQ160" s="3"/>
      <c r="CR160" s="3" t="s">
        <v>654</v>
      </c>
      <c r="CS160" s="3"/>
      <c r="CT160" s="3" t="s">
        <v>655</v>
      </c>
      <c r="CU160" s="3"/>
      <c r="CV160" s="3" t="s">
        <v>256</v>
      </c>
      <c r="CW160" s="3"/>
      <c r="CX160" s="3" t="s">
        <v>621</v>
      </c>
      <c r="CY160" s="3"/>
      <c r="CZ160" s="3" t="s">
        <v>256</v>
      </c>
      <c r="DA160" s="3"/>
      <c r="DB160" s="3" t="s">
        <v>656</v>
      </c>
      <c r="DC160" s="3"/>
      <c r="DD160" s="3" t="s">
        <v>657</v>
      </c>
      <c r="DE160" s="3"/>
      <c r="DF160" s="3" t="s">
        <v>658</v>
      </c>
      <c r="DG160" s="3"/>
      <c r="DH160" s="3" t="s">
        <v>256</v>
      </c>
      <c r="DI160" s="3"/>
      <c r="DJ160" s="3" t="s">
        <v>621</v>
      </c>
      <c r="DK160" s="3"/>
      <c r="DL160" s="3" t="s">
        <v>256</v>
      </c>
      <c r="DM160" s="3"/>
      <c r="DN160" s="3" t="s">
        <v>656</v>
      </c>
      <c r="DO160" s="3"/>
      <c r="DP160" s="3" t="s">
        <v>657</v>
      </c>
      <c r="DQ160" s="3"/>
      <c r="DR160" s="3" t="s">
        <v>658</v>
      </c>
      <c r="DS160" s="3"/>
      <c r="DT160" s="3" t="s">
        <v>261</v>
      </c>
      <c r="DU160" s="3"/>
      <c r="DV160" s="3"/>
      <c r="DW160" s="3" t="s">
        <v>262</v>
      </c>
      <c r="DX160" s="3"/>
      <c r="DY160" s="3"/>
      <c r="DZ160" s="3"/>
      <c r="EA160" s="3"/>
    </row>
    <row r="161" spans="1:132" x14ac:dyDescent="0.25">
      <c r="A161" s="2" t="s">
        <v>635</v>
      </c>
      <c r="B161" s="2" t="s">
        <v>270</v>
      </c>
      <c r="D161" s="3" t="s">
        <v>34</v>
      </c>
      <c r="F161" s="3" t="s">
        <v>37</v>
      </c>
      <c r="H161" s="3" t="s">
        <v>38</v>
      </c>
      <c r="J161" s="3" t="s">
        <v>39</v>
      </c>
      <c r="L161" s="3" t="s">
        <v>40</v>
      </c>
      <c r="N161" s="3" t="s">
        <v>26</v>
      </c>
      <c r="P161" s="3" t="s">
        <v>636</v>
      </c>
      <c r="R161" s="3" t="s">
        <v>659</v>
      </c>
      <c r="T161" s="3" t="s">
        <v>660</v>
      </c>
      <c r="V161" s="3" t="s">
        <v>39</v>
      </c>
      <c r="X161" s="3" t="s">
        <v>661</v>
      </c>
      <c r="Z161" s="3" t="s">
        <v>662</v>
      </c>
      <c r="AB161" s="3" t="s">
        <v>19</v>
      </c>
      <c r="AD161" s="3" t="s">
        <v>20</v>
      </c>
      <c r="AF161" s="3" t="s">
        <v>19</v>
      </c>
      <c r="AH161" s="3" t="s">
        <v>21</v>
      </c>
      <c r="AJ161" s="3" t="s">
        <v>22</v>
      </c>
      <c r="AL161" s="3" t="s">
        <v>23</v>
      </c>
      <c r="AM161" s="3"/>
      <c r="AN161" s="3" t="s">
        <v>663</v>
      </c>
      <c r="AO161" s="3"/>
      <c r="AP161" s="3" t="s">
        <v>664</v>
      </c>
      <c r="AQ161" s="3"/>
      <c r="AR161" s="3" t="s">
        <v>663</v>
      </c>
      <c r="AS161" s="3"/>
      <c r="AT161" s="3" t="s">
        <v>665</v>
      </c>
      <c r="AU161" s="3"/>
      <c r="AV161" s="3" t="s">
        <v>666</v>
      </c>
      <c r="AW161" s="3"/>
      <c r="AX161" s="3" t="s">
        <v>662</v>
      </c>
      <c r="AY161" s="3"/>
      <c r="AZ161" s="3" t="s">
        <v>667</v>
      </c>
      <c r="BA161" s="3"/>
      <c r="BB161" s="3" t="s">
        <v>668</v>
      </c>
      <c r="BC161" s="3"/>
      <c r="BD161" s="3" t="s">
        <v>669</v>
      </c>
      <c r="BE161" s="3"/>
      <c r="BF161" s="3" t="s">
        <v>670</v>
      </c>
      <c r="BG161" s="3"/>
      <c r="BH161" s="3" t="s">
        <v>671</v>
      </c>
      <c r="BI161" s="3"/>
      <c r="BJ161" s="3" t="s">
        <v>672</v>
      </c>
      <c r="BK161" s="3"/>
      <c r="BL161" s="3" t="s">
        <v>673</v>
      </c>
      <c r="BM161" s="3"/>
      <c r="BN161" s="3" t="s">
        <v>674</v>
      </c>
      <c r="BO161" s="3"/>
      <c r="BP161" s="3" t="s">
        <v>673</v>
      </c>
      <c r="BQ161" s="3"/>
      <c r="BR161" s="3" t="s">
        <v>675</v>
      </c>
      <c r="BS161" s="3"/>
      <c r="BT161" s="3" t="s">
        <v>676</v>
      </c>
      <c r="BU161" s="3"/>
      <c r="BV161" s="3" t="s">
        <v>677</v>
      </c>
      <c r="BW161" s="3"/>
      <c r="BX161" s="3" t="s">
        <v>36</v>
      </c>
      <c r="BY161" s="3"/>
      <c r="BZ161" s="3" t="s">
        <v>35</v>
      </c>
      <c r="CA161" s="3"/>
      <c r="CB161" s="3" t="s">
        <v>36</v>
      </c>
      <c r="CC161" s="3"/>
      <c r="CD161" s="3" t="s">
        <v>7</v>
      </c>
      <c r="CE161" s="3"/>
      <c r="CF161" s="3" t="s">
        <v>8</v>
      </c>
      <c r="CG161" s="3"/>
      <c r="CH161" s="3" t="s">
        <v>33</v>
      </c>
      <c r="CI161" s="3"/>
      <c r="CJ161" s="3" t="s">
        <v>678</v>
      </c>
      <c r="CK161" s="3"/>
      <c r="CL161" s="3" t="s">
        <v>679</v>
      </c>
      <c r="CM161" s="3"/>
      <c r="CN161" s="3" t="s">
        <v>678</v>
      </c>
      <c r="CO161" s="3"/>
      <c r="CP161" s="3" t="s">
        <v>680</v>
      </c>
      <c r="CQ161" s="3"/>
      <c r="CR161" s="3" t="s">
        <v>681</v>
      </c>
      <c r="CS161" s="3"/>
      <c r="CT161" s="3" t="s">
        <v>682</v>
      </c>
      <c r="CU161" s="3"/>
      <c r="CV161" s="3" t="s">
        <v>257</v>
      </c>
      <c r="CW161" s="3"/>
      <c r="CX161" s="3" t="s">
        <v>683</v>
      </c>
      <c r="CY161" s="3"/>
      <c r="CZ161" s="3" t="s">
        <v>257</v>
      </c>
      <c r="DA161" s="3"/>
      <c r="DB161" s="3" t="s">
        <v>684</v>
      </c>
      <c r="DC161" s="3"/>
      <c r="DD161" s="3" t="s">
        <v>685</v>
      </c>
      <c r="DE161" s="3"/>
      <c r="DF161" s="3" t="s">
        <v>686</v>
      </c>
      <c r="DG161" s="3"/>
      <c r="DH161" s="3" t="s">
        <v>257</v>
      </c>
      <c r="DI161" s="3"/>
      <c r="DJ161" s="3" t="s">
        <v>683</v>
      </c>
      <c r="DK161" s="3"/>
      <c r="DL161" s="3" t="s">
        <v>257</v>
      </c>
      <c r="DM161" s="3"/>
      <c r="DN161" s="3" t="s">
        <v>684</v>
      </c>
      <c r="DO161" s="3"/>
      <c r="DP161" s="3" t="s">
        <v>685</v>
      </c>
      <c r="DQ161" s="3"/>
      <c r="DR161" s="3" t="s">
        <v>686</v>
      </c>
      <c r="DS161" s="3"/>
      <c r="DT161" s="3" t="s">
        <v>263</v>
      </c>
      <c r="DU161" s="3"/>
      <c r="DV161" s="3"/>
      <c r="DW161" s="3" t="s">
        <v>262</v>
      </c>
      <c r="DX161" s="3"/>
      <c r="DY161" s="3"/>
      <c r="DZ161" s="3"/>
      <c r="EA161" s="3"/>
    </row>
    <row r="162" spans="1:132" x14ac:dyDescent="0.25">
      <c r="A162" s="2" t="s">
        <v>735</v>
      </c>
      <c r="B162" s="2" t="s">
        <v>1072</v>
      </c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</row>
    <row r="163" spans="1:132" x14ac:dyDescent="0.25">
      <c r="A163" s="2" t="s">
        <v>258</v>
      </c>
      <c r="D163" s="3">
        <f>SUBTOTAL(103,padroes[1])</f>
        <v>115</v>
      </c>
      <c r="F163" s="3">
        <f>SUBTOTAL(103,padroes[2])</f>
        <v>83</v>
      </c>
      <c r="H163" s="3">
        <f>SUBTOTAL(103,padroes[3])</f>
        <v>81</v>
      </c>
      <c r="J163" s="3">
        <f>SUBTOTAL(103,padroes[4])</f>
        <v>28</v>
      </c>
      <c r="L163" s="3">
        <f>SUBTOTAL(103,padroes[5])</f>
        <v>35</v>
      </c>
      <c r="N163" s="3">
        <f>SUBTOTAL(103,padroes[6])</f>
        <v>63</v>
      </c>
      <c r="P163" s="3">
        <f>SUBTOTAL(103,padroes[7])</f>
        <v>53</v>
      </c>
      <c r="R163" s="3">
        <f>SUBTOTAL(103,padroes[8])</f>
        <v>43</v>
      </c>
      <c r="T163" s="3">
        <f>SUBTOTAL(103,padroes[9])</f>
        <v>24</v>
      </c>
      <c r="V163" s="3">
        <f>SUBTOTAL(103,padroes[10])</f>
        <v>43</v>
      </c>
      <c r="X163" s="3">
        <f>SUBTOTAL(103,padroes[11])</f>
        <v>43</v>
      </c>
      <c r="Z163" s="3">
        <f>SUBTOTAL(103,padroes[12])</f>
        <v>32</v>
      </c>
      <c r="AB163" s="3">
        <f>SUBTOTAL(103,padroes[13])</f>
        <v>30</v>
      </c>
      <c r="AD163" s="3">
        <f>SUBTOTAL(103,padroes[14])</f>
        <v>30</v>
      </c>
      <c r="AF163" s="3">
        <f>SUBTOTAL(103,padroes[15])</f>
        <v>17</v>
      </c>
      <c r="AH163" s="3">
        <f>SUBTOTAL(103,padroes[16])</f>
        <v>23</v>
      </c>
      <c r="AJ163" s="3">
        <f>SUBTOTAL(103,padroes[17])</f>
        <v>23</v>
      </c>
      <c r="AL163" s="3">
        <f>SUBTOTAL(103,padroes[18])</f>
        <v>18</v>
      </c>
      <c r="AN163" s="2">
        <f>SUBTOTAL(103,padroes[19])</f>
        <v>41</v>
      </c>
      <c r="AP163" s="2">
        <f>SUBTOTAL(103,padroes[20])</f>
        <v>41</v>
      </c>
      <c r="AR163" s="2">
        <f>SUBTOTAL(103,padroes[21])</f>
        <v>28</v>
      </c>
      <c r="AT163" s="2">
        <f>SUBTOTAL(103,padroes[22])</f>
        <v>36</v>
      </c>
      <c r="AV163" s="2">
        <f>SUBTOTAL(103,padroes[23])</f>
        <v>36</v>
      </c>
      <c r="AX163" s="2">
        <f>SUBTOTAL(103,padroes[24])</f>
        <v>30</v>
      </c>
      <c r="AZ163" s="2">
        <f>SUBTOTAL(103,padroes[25])</f>
        <v>24</v>
      </c>
      <c r="BB163" s="2">
        <f>SUBTOTAL(103,padroes[26])</f>
        <v>24</v>
      </c>
      <c r="BD163" s="2">
        <f>SUBTOTAL(103,padroes[27])</f>
        <v>10</v>
      </c>
      <c r="BF163" s="2">
        <f>SUBTOTAL(103,padroes[28])</f>
        <v>23</v>
      </c>
      <c r="BH163" s="2">
        <f>SUBTOTAL(103,padroes[29])</f>
        <v>23</v>
      </c>
      <c r="BJ163" s="2">
        <f>SUBTOTAL(103,padroes[30])</f>
        <v>11</v>
      </c>
      <c r="BL163" s="2">
        <f>SUBTOTAL(103,padroes[31])</f>
        <v>24</v>
      </c>
      <c r="BN163" s="2">
        <f>SUBTOTAL(103,padroes[32])</f>
        <v>24</v>
      </c>
      <c r="BP163" s="2">
        <f>SUBTOTAL(103,padroes[33])</f>
        <v>10</v>
      </c>
      <c r="BR163" s="2">
        <f>SUBTOTAL(103,padroes[34])</f>
        <v>23</v>
      </c>
      <c r="BT163" s="2">
        <f>SUBTOTAL(103,padroes[35])</f>
        <v>23</v>
      </c>
      <c r="BV163" s="2">
        <f>SUBTOTAL(103,padroes[36])</f>
        <v>11</v>
      </c>
      <c r="BX163" s="2">
        <f>SUBTOTAL(103,padroes[37])</f>
        <v>123</v>
      </c>
      <c r="BZ163" s="2">
        <f>SUBTOTAL(103,padroes[38])</f>
        <v>123</v>
      </c>
      <c r="CB163" s="2">
        <f>SUBTOTAL(103,padroes[39])</f>
        <v>117</v>
      </c>
      <c r="CD163" s="2">
        <f>SUBTOTAL(103,padroes[40])</f>
        <v>105</v>
      </c>
      <c r="CF163" s="2">
        <f>SUBTOTAL(103,padroes[41])</f>
        <v>105</v>
      </c>
      <c r="CH163" s="2">
        <f>SUBTOTAL(103,padroes[42])</f>
        <v>118</v>
      </c>
      <c r="CJ163" s="2">
        <f>SUBTOTAL(103,padroes[43])</f>
        <v>42</v>
      </c>
      <c r="CL163" s="2">
        <f>SUBTOTAL(103,padroes[44])</f>
        <v>42</v>
      </c>
      <c r="CN163" s="2">
        <f>SUBTOTAL(103,padroes[45])</f>
        <v>29</v>
      </c>
      <c r="CP163" s="2">
        <f>SUBTOTAL(103,padroes[46])</f>
        <v>39</v>
      </c>
      <c r="CR163" s="2">
        <f>SUBTOTAL(103,padroes[47])</f>
        <v>39</v>
      </c>
      <c r="CT163" s="2">
        <f>SUBTOTAL(103,padroes[48])</f>
        <v>31</v>
      </c>
      <c r="CV163" s="2">
        <f>SUBTOTAL(103,padroes[49])</f>
        <v>37</v>
      </c>
      <c r="CX163" s="2">
        <f>SUBTOTAL(103,padroes[50])</f>
        <v>40</v>
      </c>
      <c r="CZ163" s="2">
        <f>SUBTOTAL(103,padroes[51])</f>
        <v>23</v>
      </c>
      <c r="DB163" s="2">
        <f>SUBTOTAL(103,padroes[52])</f>
        <v>37</v>
      </c>
      <c r="DD163" s="2">
        <f>SUBTOTAL(103,padroes[53])</f>
        <v>37</v>
      </c>
      <c r="DF163" s="2">
        <f>SUBTOTAL(103,padroes[54])</f>
        <v>29</v>
      </c>
      <c r="DH163" s="2">
        <f>SUBTOTAL(103,padroes[55])</f>
        <v>20</v>
      </c>
      <c r="DJ163" s="2">
        <f>SUBTOTAL(103,padroes[56])</f>
        <v>23</v>
      </c>
      <c r="DL163" s="2">
        <f>SUBTOTAL(103,padroes[57])</f>
        <v>6</v>
      </c>
      <c r="DN163" s="2">
        <f>SUBTOTAL(103,padroes[58])</f>
        <v>19</v>
      </c>
      <c r="DP163" s="2">
        <f>SUBTOTAL(103,padroes[59])</f>
        <v>19</v>
      </c>
      <c r="DR163" s="2">
        <f>SUBTOTAL(103,padroes[60])</f>
        <v>11</v>
      </c>
      <c r="DT163" s="2">
        <f>SUBTOTAL(103,padroes[61])</f>
        <v>5</v>
      </c>
      <c r="DW163" s="2">
        <f>SUBTOTAL(103,padroes[62])</f>
        <v>41</v>
      </c>
      <c r="DY163" s="2">
        <f>SUBTOTAL(103,padroes[63])</f>
        <v>5</v>
      </c>
      <c r="EA163" s="2">
        <f>SUBTOTAL(103,padroes[64])</f>
        <v>1</v>
      </c>
      <c r="EB163" s="2">
        <f>SUBTOTAL(103,padroes[Observações])</f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6"/>
  <sheetViews>
    <sheetView topLeftCell="A24" workbookViewId="0">
      <selection activeCell="A60" sqref="A60:C226"/>
    </sheetView>
  </sheetViews>
  <sheetFormatPr defaultRowHeight="15" x14ac:dyDescent="0.25"/>
  <cols>
    <col min="1" max="1" width="12.7109375" bestFit="1" customWidth="1"/>
    <col min="2" max="2" width="16.28515625" customWidth="1"/>
    <col min="3" max="3" width="20" bestFit="1" customWidth="1"/>
    <col min="5" max="5" width="15.140625" customWidth="1"/>
    <col min="6" max="6" width="14.85546875" customWidth="1"/>
  </cols>
  <sheetData>
    <row r="1" spans="1:3" x14ac:dyDescent="0.25">
      <c r="A1" s="35" t="s">
        <v>0</v>
      </c>
      <c r="B1" s="35" t="s">
        <v>4647</v>
      </c>
      <c r="C1" s="35" t="s">
        <v>4648</v>
      </c>
    </row>
    <row r="2" spans="1:3" x14ac:dyDescent="0.25">
      <c r="A2" t="s">
        <v>141</v>
      </c>
      <c r="B2" t="s">
        <v>4854</v>
      </c>
      <c r="C2" t="s">
        <v>4813</v>
      </c>
    </row>
    <row r="3" spans="1:3" x14ac:dyDescent="0.25">
      <c r="A3" t="s">
        <v>4873</v>
      </c>
      <c r="B3" t="s">
        <v>4874</v>
      </c>
      <c r="C3" t="s">
        <v>4875</v>
      </c>
    </row>
    <row r="4" spans="1:3" x14ac:dyDescent="0.25">
      <c r="A4" t="s">
        <v>4916</v>
      </c>
      <c r="B4" t="s">
        <v>4914</v>
      </c>
      <c r="C4" t="s">
        <v>4915</v>
      </c>
    </row>
    <row r="5" spans="1:3" x14ac:dyDescent="0.25">
      <c r="A5" t="s">
        <v>422</v>
      </c>
      <c r="B5" t="s">
        <v>4644</v>
      </c>
      <c r="C5" t="s">
        <v>4641</v>
      </c>
    </row>
    <row r="6" spans="1:3" x14ac:dyDescent="0.25">
      <c r="A6" t="s">
        <v>4917</v>
      </c>
      <c r="B6" t="s">
        <v>4919</v>
      </c>
      <c r="C6" t="s">
        <v>4918</v>
      </c>
    </row>
    <row r="7" spans="1:3" x14ac:dyDescent="0.25">
      <c r="A7" t="s">
        <v>4927</v>
      </c>
      <c r="B7" t="s">
        <v>4928</v>
      </c>
      <c r="C7" t="s">
        <v>4929</v>
      </c>
    </row>
    <row r="8" spans="1:3" x14ac:dyDescent="0.25">
      <c r="A8" t="s">
        <v>4904</v>
      </c>
      <c r="B8" t="s">
        <v>4905</v>
      </c>
      <c r="C8" t="s">
        <v>4906</v>
      </c>
    </row>
    <row r="9" spans="1:3" x14ac:dyDescent="0.25">
      <c r="A9" t="s">
        <v>4379</v>
      </c>
      <c r="B9" t="s">
        <v>4817</v>
      </c>
      <c r="C9" t="s">
        <v>4819</v>
      </c>
    </row>
    <row r="10" spans="1:3" x14ac:dyDescent="0.25">
      <c r="A10" t="s">
        <v>4870</v>
      </c>
      <c r="B10" t="s">
        <v>4871</v>
      </c>
      <c r="C10" t="s">
        <v>4872</v>
      </c>
    </row>
    <row r="11" spans="1:3" x14ac:dyDescent="0.25">
      <c r="A11" t="s">
        <v>4464</v>
      </c>
      <c r="B11" t="s">
        <v>4814</v>
      </c>
      <c r="C11" t="s">
        <v>4814</v>
      </c>
    </row>
    <row r="12" spans="1:3" x14ac:dyDescent="0.25">
      <c r="A12" t="s">
        <v>4509</v>
      </c>
      <c r="B12" t="s">
        <v>4921</v>
      </c>
      <c r="C12" t="s">
        <v>4922</v>
      </c>
    </row>
    <row r="13" spans="1:3" x14ac:dyDescent="0.25">
      <c r="A13" t="s">
        <v>3781</v>
      </c>
      <c r="B13" t="s">
        <v>4868</v>
      </c>
      <c r="C13" t="s">
        <v>4869</v>
      </c>
    </row>
    <row r="14" spans="1:3" x14ac:dyDescent="0.25">
      <c r="A14" t="s">
        <v>1996</v>
      </c>
      <c r="B14" t="s">
        <v>4794</v>
      </c>
      <c r="C14" t="s">
        <v>4820</v>
      </c>
    </row>
    <row r="15" spans="1:3" x14ac:dyDescent="0.25">
      <c r="A15" t="s">
        <v>3783</v>
      </c>
      <c r="B15" t="s">
        <v>4825</v>
      </c>
      <c r="C15" t="s">
        <v>3858</v>
      </c>
    </row>
    <row r="16" spans="1:3" x14ac:dyDescent="0.25">
      <c r="A16" t="s">
        <v>1128</v>
      </c>
      <c r="B16" t="s">
        <v>4649</v>
      </c>
      <c r="C16" t="s">
        <v>4652</v>
      </c>
    </row>
    <row r="17" spans="1:3" x14ac:dyDescent="0.25">
      <c r="A17" t="s">
        <v>4577</v>
      </c>
      <c r="B17" t="s">
        <v>4818</v>
      </c>
      <c r="C17" t="s">
        <v>4801</v>
      </c>
    </row>
    <row r="18" spans="1:3" x14ac:dyDescent="0.25">
      <c r="A18" t="s">
        <v>4101</v>
      </c>
      <c r="B18" t="s">
        <v>4861</v>
      </c>
      <c r="C18" t="s">
        <v>4862</v>
      </c>
    </row>
    <row r="19" spans="1:3" x14ac:dyDescent="0.25">
      <c r="A19" t="s">
        <v>4581</v>
      </c>
      <c r="B19" t="s">
        <v>4866</v>
      </c>
      <c r="C19" t="s">
        <v>4867</v>
      </c>
    </row>
    <row r="20" spans="1:3" x14ac:dyDescent="0.25">
      <c r="A20" t="s">
        <v>4615</v>
      </c>
      <c r="B20" t="s">
        <v>4896</v>
      </c>
      <c r="C20" t="s">
        <v>4860</v>
      </c>
    </row>
    <row r="21" spans="1:3" x14ac:dyDescent="0.25">
      <c r="A21" t="s">
        <v>4619</v>
      </c>
      <c r="B21" t="s">
        <v>4858</v>
      </c>
      <c r="C21" t="s">
        <v>4855</v>
      </c>
    </row>
    <row r="22" spans="1:3" x14ac:dyDescent="0.25">
      <c r="A22" t="s">
        <v>4620</v>
      </c>
      <c r="B22" t="s">
        <v>4895</v>
      </c>
      <c r="C22" t="s">
        <v>4855</v>
      </c>
    </row>
    <row r="23" spans="1:3" x14ac:dyDescent="0.25">
      <c r="A23" t="s">
        <v>4621</v>
      </c>
      <c r="B23" t="s">
        <v>4845</v>
      </c>
      <c r="C23" t="s">
        <v>4860</v>
      </c>
    </row>
    <row r="24" spans="1:3" x14ac:dyDescent="0.25">
      <c r="A24" t="s">
        <v>3834</v>
      </c>
      <c r="B24" t="s">
        <v>4923</v>
      </c>
      <c r="C24" t="s">
        <v>4924</v>
      </c>
    </row>
    <row r="25" spans="1:3" x14ac:dyDescent="0.25">
      <c r="A25" t="s">
        <v>4878</v>
      </c>
      <c r="B25" t="s">
        <v>4879</v>
      </c>
      <c r="C25" t="s">
        <v>4880</v>
      </c>
    </row>
    <row r="26" spans="1:3" x14ac:dyDescent="0.25">
      <c r="A26" t="s">
        <v>4881</v>
      </c>
      <c r="B26" t="s">
        <v>4882</v>
      </c>
      <c r="C26" t="s">
        <v>4883</v>
      </c>
    </row>
    <row r="27" spans="1:3" x14ac:dyDescent="0.25">
      <c r="A27" t="s">
        <v>1774</v>
      </c>
      <c r="B27" t="s">
        <v>4876</v>
      </c>
      <c r="C27" t="s">
        <v>4877</v>
      </c>
    </row>
    <row r="28" spans="1:3" x14ac:dyDescent="0.25">
      <c r="A28" t="s">
        <v>4884</v>
      </c>
      <c r="B28" t="s">
        <v>4885</v>
      </c>
      <c r="C28" t="s">
        <v>4877</v>
      </c>
    </row>
    <row r="29" spans="1:3" x14ac:dyDescent="0.25">
      <c r="A29" t="s">
        <v>1484</v>
      </c>
      <c r="B29" t="s">
        <v>4846</v>
      </c>
      <c r="C29" t="s">
        <v>4856</v>
      </c>
    </row>
    <row r="30" spans="1:3" x14ac:dyDescent="0.25">
      <c r="A30" t="s">
        <v>1504</v>
      </c>
      <c r="B30" t="s">
        <v>4847</v>
      </c>
      <c r="C30" t="s">
        <v>4815</v>
      </c>
    </row>
    <row r="31" spans="1:3" x14ac:dyDescent="0.25">
      <c r="A31" t="s">
        <v>1995</v>
      </c>
      <c r="B31" t="s">
        <v>4803</v>
      </c>
      <c r="C31" t="s">
        <v>4821</v>
      </c>
    </row>
    <row r="32" spans="1:3" x14ac:dyDescent="0.25">
      <c r="A32" t="s">
        <v>2008</v>
      </c>
      <c r="B32" t="s">
        <v>4840</v>
      </c>
      <c r="C32" t="s">
        <v>4839</v>
      </c>
    </row>
    <row r="33" spans="1:3" x14ac:dyDescent="0.25">
      <c r="A33" t="s">
        <v>2014</v>
      </c>
      <c r="B33" t="s">
        <v>4786</v>
      </c>
      <c r="C33" t="s">
        <v>4785</v>
      </c>
    </row>
    <row r="34" spans="1:3" x14ac:dyDescent="0.25">
      <c r="A34" t="s">
        <v>2035</v>
      </c>
      <c r="B34" t="s">
        <v>4793</v>
      </c>
      <c r="C34" t="s">
        <v>4795</v>
      </c>
    </row>
    <row r="35" spans="1:3" x14ac:dyDescent="0.25">
      <c r="A35" t="s">
        <v>4898</v>
      </c>
      <c r="B35" t="s">
        <v>4899</v>
      </c>
      <c r="C35" t="s">
        <v>4900</v>
      </c>
    </row>
    <row r="36" spans="1:3" x14ac:dyDescent="0.25">
      <c r="A36" t="s">
        <v>4863</v>
      </c>
      <c r="B36" t="s">
        <v>4864</v>
      </c>
      <c r="C36" t="s">
        <v>4865</v>
      </c>
    </row>
    <row r="37" spans="1:3" x14ac:dyDescent="0.25">
      <c r="A37" t="s">
        <v>3490</v>
      </c>
      <c r="B37" t="s">
        <v>4859</v>
      </c>
      <c r="C37" t="s">
        <v>4816</v>
      </c>
    </row>
    <row r="38" spans="1:3" x14ac:dyDescent="0.25">
      <c r="A38" t="s">
        <v>3491</v>
      </c>
      <c r="B38" t="s">
        <v>4930</v>
      </c>
      <c r="C38" t="s">
        <v>4931</v>
      </c>
    </row>
    <row r="39" spans="1:3" x14ac:dyDescent="0.25">
      <c r="A39" t="s">
        <v>4886</v>
      </c>
      <c r="B39" t="s">
        <v>4887</v>
      </c>
      <c r="C39" t="s">
        <v>4888</v>
      </c>
    </row>
    <row r="40" spans="1:3" x14ac:dyDescent="0.25">
      <c r="A40" t="s">
        <v>4933</v>
      </c>
      <c r="B40" t="s">
        <v>4934</v>
      </c>
      <c r="C40" t="s">
        <v>4935</v>
      </c>
    </row>
    <row r="41" spans="1:3" x14ac:dyDescent="0.25">
      <c r="A41" t="s">
        <v>4910</v>
      </c>
      <c r="B41" t="s">
        <v>4936</v>
      </c>
      <c r="C41" t="s">
        <v>4937</v>
      </c>
    </row>
    <row r="42" spans="1:3" x14ac:dyDescent="0.25">
      <c r="A42" t="s">
        <v>1460</v>
      </c>
      <c r="B42" t="s">
        <v>4842</v>
      </c>
      <c r="C42" t="s">
        <v>4841</v>
      </c>
    </row>
    <row r="43" spans="1:3" x14ac:dyDescent="0.25">
      <c r="A43" t="s">
        <v>423</v>
      </c>
      <c r="B43" t="s">
        <v>4645</v>
      </c>
      <c r="C43" t="s">
        <v>4642</v>
      </c>
    </row>
    <row r="44" spans="1:3" x14ac:dyDescent="0.25">
      <c r="A44" t="s">
        <v>2660</v>
      </c>
      <c r="B44" t="s">
        <v>4848</v>
      </c>
      <c r="C44" t="s">
        <v>4857</v>
      </c>
    </row>
    <row r="45" spans="1:3" x14ac:dyDescent="0.25">
      <c r="A45" t="s">
        <v>2686</v>
      </c>
      <c r="B45" t="s">
        <v>4646</v>
      </c>
      <c r="C45" t="s">
        <v>4643</v>
      </c>
    </row>
    <row r="46" spans="1:3" x14ac:dyDescent="0.25">
      <c r="A46" t="s">
        <v>2860</v>
      </c>
      <c r="B46" t="s">
        <v>4653</v>
      </c>
      <c r="C46" t="s">
        <v>4654</v>
      </c>
    </row>
    <row r="47" spans="1:3" x14ac:dyDescent="0.25">
      <c r="A47" t="s">
        <v>3797</v>
      </c>
      <c r="B47" t="s">
        <v>4802</v>
      </c>
      <c r="C47" t="s">
        <v>4805</v>
      </c>
    </row>
    <row r="48" spans="1:3" x14ac:dyDescent="0.25">
      <c r="A48" t="s">
        <v>4909</v>
      </c>
      <c r="B48" t="s">
        <v>4938</v>
      </c>
      <c r="C48" t="s">
        <v>4939</v>
      </c>
    </row>
    <row r="49" spans="1:3" x14ac:dyDescent="0.25">
      <c r="A49" t="s">
        <v>4940</v>
      </c>
      <c r="B49" t="s">
        <v>4941</v>
      </c>
      <c r="C49" t="s">
        <v>4942</v>
      </c>
    </row>
    <row r="50" spans="1:3" x14ac:dyDescent="0.25">
      <c r="A50" t="s">
        <v>4943</v>
      </c>
      <c r="B50" t="s">
        <v>4944</v>
      </c>
      <c r="C50" t="s">
        <v>4945</v>
      </c>
    </row>
    <row r="51" spans="1:3" x14ac:dyDescent="0.25">
      <c r="A51" t="s">
        <v>4901</v>
      </c>
      <c r="B51" t="s">
        <v>4902</v>
      </c>
      <c r="C51" t="s">
        <v>4903</v>
      </c>
    </row>
    <row r="52" spans="1:3" x14ac:dyDescent="0.25">
      <c r="A52" t="s">
        <v>2420</v>
      </c>
      <c r="B52" t="s">
        <v>4804</v>
      </c>
      <c r="C52" t="s">
        <v>4822</v>
      </c>
    </row>
    <row r="53" spans="1:3" x14ac:dyDescent="0.25">
      <c r="A53" t="s">
        <v>2435</v>
      </c>
      <c r="B53" t="s">
        <v>4650</v>
      </c>
      <c r="C53" t="s">
        <v>4780</v>
      </c>
    </row>
    <row r="54" spans="1:3" x14ac:dyDescent="0.25">
      <c r="A54" t="s">
        <v>2448</v>
      </c>
      <c r="B54" t="s">
        <v>4844</v>
      </c>
      <c r="C54" t="s">
        <v>4843</v>
      </c>
    </row>
    <row r="55" spans="1:3" x14ac:dyDescent="0.25">
      <c r="A55" t="s">
        <v>2453</v>
      </c>
      <c r="B55" t="s">
        <v>4781</v>
      </c>
      <c r="C55" t="s">
        <v>4782</v>
      </c>
    </row>
    <row r="56" spans="1:3" x14ac:dyDescent="0.25">
      <c r="A56" t="s">
        <v>2457</v>
      </c>
      <c r="B56" t="s">
        <v>4823</v>
      </c>
      <c r="C56" t="s">
        <v>4826</v>
      </c>
    </row>
    <row r="57" spans="1:3" x14ac:dyDescent="0.25">
      <c r="A57" t="s">
        <v>1847</v>
      </c>
      <c r="B57" t="s">
        <v>4946</v>
      </c>
      <c r="C57" t="s">
        <v>4947</v>
      </c>
    </row>
    <row r="58" spans="1:3" x14ac:dyDescent="0.25">
      <c r="A58" t="s">
        <v>1276</v>
      </c>
      <c r="B58" t="s">
        <v>4912</v>
      </c>
      <c r="C58" t="s">
        <v>4913</v>
      </c>
    </row>
    <row r="59" spans="1:3" x14ac:dyDescent="0.25">
      <c r="A59" t="s">
        <v>1337</v>
      </c>
      <c r="B59" t="s">
        <v>4824</v>
      </c>
      <c r="C59" t="s">
        <v>4812</v>
      </c>
    </row>
    <row r="60" spans="1:3" x14ac:dyDescent="0.25">
      <c r="A60" t="s">
        <v>81</v>
      </c>
      <c r="C60" t="s">
        <v>4706</v>
      </c>
    </row>
    <row r="61" spans="1:3" x14ac:dyDescent="0.25">
      <c r="A61" t="s">
        <v>84</v>
      </c>
      <c r="C61" t="s">
        <v>4707</v>
      </c>
    </row>
    <row r="62" spans="1:3" x14ac:dyDescent="0.25">
      <c r="A62" t="s">
        <v>115</v>
      </c>
      <c r="C62" t="s">
        <v>4849</v>
      </c>
    </row>
    <row r="63" spans="1:3" x14ac:dyDescent="0.25">
      <c r="A63" t="s">
        <v>197</v>
      </c>
      <c r="C63" t="s">
        <v>4827</v>
      </c>
    </row>
    <row r="64" spans="1:3" x14ac:dyDescent="0.25">
      <c r="A64" t="s">
        <v>201</v>
      </c>
      <c r="C64" t="s">
        <v>4787</v>
      </c>
    </row>
    <row r="65" spans="1:3" x14ac:dyDescent="0.25">
      <c r="A65" t="s">
        <v>208</v>
      </c>
      <c r="C65" t="s">
        <v>4655</v>
      </c>
    </row>
    <row r="66" spans="1:3" x14ac:dyDescent="0.25">
      <c r="A66" t="s">
        <v>222</v>
      </c>
      <c r="C66" t="s">
        <v>4639</v>
      </c>
    </row>
    <row r="67" spans="1:3" x14ac:dyDescent="0.25">
      <c r="A67" t="s">
        <v>223</v>
      </c>
      <c r="C67" t="s">
        <v>4708</v>
      </c>
    </row>
    <row r="68" spans="1:3" x14ac:dyDescent="0.25">
      <c r="A68" t="s">
        <v>364</v>
      </c>
      <c r="C68" t="s">
        <v>4709</v>
      </c>
    </row>
    <row r="69" spans="1:3" x14ac:dyDescent="0.25">
      <c r="A69" t="s">
        <v>418</v>
      </c>
      <c r="C69" t="s">
        <v>4808</v>
      </c>
    </row>
    <row r="70" spans="1:3" x14ac:dyDescent="0.25">
      <c r="A70" t="s">
        <v>424</v>
      </c>
      <c r="C70" t="s">
        <v>4672</v>
      </c>
    </row>
    <row r="71" spans="1:3" x14ac:dyDescent="0.25">
      <c r="A71" t="s">
        <v>891</v>
      </c>
      <c r="C71" t="s">
        <v>4788</v>
      </c>
    </row>
    <row r="72" spans="1:3" x14ac:dyDescent="0.25">
      <c r="A72" t="s">
        <v>461</v>
      </c>
      <c r="C72" t="s">
        <v>4673</v>
      </c>
    </row>
    <row r="73" spans="1:3" x14ac:dyDescent="0.25">
      <c r="A73" t="s">
        <v>1259</v>
      </c>
      <c r="C73" t="s">
        <v>4710</v>
      </c>
    </row>
    <row r="74" spans="1:3" x14ac:dyDescent="0.25">
      <c r="A74" t="s">
        <v>82</v>
      </c>
      <c r="C74" t="s">
        <v>4711</v>
      </c>
    </row>
    <row r="75" spans="1:3" x14ac:dyDescent="0.25">
      <c r="A75" t="s">
        <v>1005</v>
      </c>
      <c r="C75" t="s">
        <v>4651</v>
      </c>
    </row>
    <row r="76" spans="1:3" x14ac:dyDescent="0.25">
      <c r="A76" t="s">
        <v>1151</v>
      </c>
      <c r="C76" t="s">
        <v>4796</v>
      </c>
    </row>
    <row r="77" spans="1:3" x14ac:dyDescent="0.25">
      <c r="A77" t="s">
        <v>3227</v>
      </c>
      <c r="C77" t="s">
        <v>4712</v>
      </c>
    </row>
    <row r="78" spans="1:3" x14ac:dyDescent="0.25">
      <c r="A78" t="s">
        <v>3228</v>
      </c>
      <c r="C78" t="s">
        <v>4830</v>
      </c>
    </row>
    <row r="79" spans="1:3" x14ac:dyDescent="0.25">
      <c r="A79" t="s">
        <v>3230</v>
      </c>
      <c r="C79" t="s">
        <v>4790</v>
      </c>
    </row>
    <row r="80" spans="1:3" x14ac:dyDescent="0.25">
      <c r="A80" t="s">
        <v>3237</v>
      </c>
      <c r="C80" t="s">
        <v>4911</v>
      </c>
    </row>
    <row r="81" spans="1:3" x14ac:dyDescent="0.25">
      <c r="A81" t="s">
        <v>3245</v>
      </c>
      <c r="C81" t="s">
        <v>4713</v>
      </c>
    </row>
    <row r="82" spans="1:3" x14ac:dyDescent="0.25">
      <c r="A82" t="s">
        <v>3250</v>
      </c>
      <c r="C82" t="s">
        <v>4674</v>
      </c>
    </row>
    <row r="83" spans="1:3" x14ac:dyDescent="0.25">
      <c r="A83" t="s">
        <v>3255</v>
      </c>
      <c r="C83" t="s">
        <v>4714</v>
      </c>
    </row>
    <row r="84" spans="1:3" x14ac:dyDescent="0.25">
      <c r="A84" t="s">
        <v>3257</v>
      </c>
      <c r="C84" t="s">
        <v>4797</v>
      </c>
    </row>
    <row r="85" spans="1:3" x14ac:dyDescent="0.25">
      <c r="A85" t="s">
        <v>3262</v>
      </c>
      <c r="C85" t="s">
        <v>4715</v>
      </c>
    </row>
    <row r="86" spans="1:3" x14ac:dyDescent="0.25">
      <c r="A86" t="s">
        <v>3271</v>
      </c>
      <c r="C86" t="s">
        <v>4716</v>
      </c>
    </row>
    <row r="87" spans="1:3" x14ac:dyDescent="0.25">
      <c r="A87" t="s">
        <v>3279</v>
      </c>
      <c r="C87" t="s">
        <v>4810</v>
      </c>
    </row>
    <row r="88" spans="1:3" x14ac:dyDescent="0.25">
      <c r="A88" t="s">
        <v>3280</v>
      </c>
      <c r="C88" t="s">
        <v>4656</v>
      </c>
    </row>
    <row r="89" spans="1:3" x14ac:dyDescent="0.25">
      <c r="A89" t="s">
        <v>3283</v>
      </c>
      <c r="C89" t="s">
        <v>4675</v>
      </c>
    </row>
    <row r="90" spans="1:3" x14ac:dyDescent="0.25">
      <c r="A90" t="s">
        <v>3285</v>
      </c>
      <c r="C90" t="s">
        <v>4676</v>
      </c>
    </row>
    <row r="91" spans="1:3" x14ac:dyDescent="0.25">
      <c r="A91" t="s">
        <v>3286</v>
      </c>
      <c r="C91" t="s">
        <v>4767</v>
      </c>
    </row>
    <row r="92" spans="1:3" x14ac:dyDescent="0.25">
      <c r="A92" t="s">
        <v>3287</v>
      </c>
      <c r="C92" t="s">
        <v>4717</v>
      </c>
    </row>
    <row r="93" spans="1:3" x14ac:dyDescent="0.25">
      <c r="A93" t="s">
        <v>3292</v>
      </c>
      <c r="C93" t="s">
        <v>4768</v>
      </c>
    </row>
    <row r="94" spans="1:3" x14ac:dyDescent="0.25">
      <c r="A94" t="s">
        <v>4377</v>
      </c>
      <c r="C94" t="s">
        <v>4677</v>
      </c>
    </row>
    <row r="95" spans="1:3" x14ac:dyDescent="0.25">
      <c r="A95" t="s">
        <v>4383</v>
      </c>
      <c r="C95" t="s">
        <v>4718</v>
      </c>
    </row>
    <row r="96" spans="1:3" x14ac:dyDescent="0.25">
      <c r="A96" t="s">
        <v>4400</v>
      </c>
      <c r="C96" t="s">
        <v>4678</v>
      </c>
    </row>
    <row r="97" spans="1:3" x14ac:dyDescent="0.25">
      <c r="A97" t="s">
        <v>4401</v>
      </c>
      <c r="C97" t="s">
        <v>4719</v>
      </c>
    </row>
    <row r="98" spans="1:3" x14ac:dyDescent="0.25">
      <c r="A98" t="s">
        <v>4403</v>
      </c>
      <c r="C98" t="s">
        <v>4850</v>
      </c>
    </row>
    <row r="99" spans="1:3" x14ac:dyDescent="0.25">
      <c r="A99" t="s">
        <v>4404</v>
      </c>
      <c r="C99" t="s">
        <v>4657</v>
      </c>
    </row>
    <row r="100" spans="1:3" x14ac:dyDescent="0.25">
      <c r="A100" t="s">
        <v>4413</v>
      </c>
      <c r="C100" t="s">
        <v>4769</v>
      </c>
    </row>
    <row r="101" spans="1:3" x14ac:dyDescent="0.25">
      <c r="A101" t="s">
        <v>4420</v>
      </c>
      <c r="C101" t="s">
        <v>4679</v>
      </c>
    </row>
    <row r="102" spans="1:3" x14ac:dyDescent="0.25">
      <c r="A102" t="s">
        <v>4424</v>
      </c>
      <c r="C102" t="s">
        <v>4770</v>
      </c>
    </row>
    <row r="103" spans="1:3" x14ac:dyDescent="0.25">
      <c r="A103" t="s">
        <v>4426</v>
      </c>
      <c r="C103" t="s">
        <v>4828</v>
      </c>
    </row>
    <row r="104" spans="1:3" x14ac:dyDescent="0.25">
      <c r="A104" t="s">
        <v>4428</v>
      </c>
      <c r="C104" t="s">
        <v>4798</v>
      </c>
    </row>
    <row r="105" spans="1:3" x14ac:dyDescent="0.25">
      <c r="A105" t="s">
        <v>4440</v>
      </c>
      <c r="C105" t="s">
        <v>4658</v>
      </c>
    </row>
    <row r="106" spans="1:3" x14ac:dyDescent="0.25">
      <c r="A106" t="s">
        <v>4446</v>
      </c>
      <c r="C106" t="s">
        <v>4720</v>
      </c>
    </row>
    <row r="107" spans="1:3" x14ac:dyDescent="0.25">
      <c r="A107" t="s">
        <v>4450</v>
      </c>
      <c r="C107" t="s">
        <v>4721</v>
      </c>
    </row>
    <row r="108" spans="1:3" x14ac:dyDescent="0.25">
      <c r="A108" t="s">
        <v>4459</v>
      </c>
      <c r="C108" t="s">
        <v>4722</v>
      </c>
    </row>
    <row r="109" spans="1:3" x14ac:dyDescent="0.25">
      <c r="A109" t="s">
        <v>4467</v>
      </c>
      <c r="C109" t="s">
        <v>4723</v>
      </c>
    </row>
    <row r="110" spans="1:3" x14ac:dyDescent="0.25">
      <c r="A110" t="s">
        <v>4468</v>
      </c>
      <c r="C110" t="s">
        <v>4724</v>
      </c>
    </row>
    <row r="111" spans="1:3" x14ac:dyDescent="0.25">
      <c r="A111" t="s">
        <v>4485</v>
      </c>
      <c r="C111" t="s">
        <v>4725</v>
      </c>
    </row>
    <row r="112" spans="1:3" x14ac:dyDescent="0.25">
      <c r="A112" t="s">
        <v>4488</v>
      </c>
      <c r="C112" t="s">
        <v>4726</v>
      </c>
    </row>
    <row r="113" spans="1:3" x14ac:dyDescent="0.25">
      <c r="A113" t="s">
        <v>4495</v>
      </c>
      <c r="C113" t="s">
        <v>4771</v>
      </c>
    </row>
    <row r="114" spans="1:3" x14ac:dyDescent="0.25">
      <c r="A114" t="s">
        <v>4497</v>
      </c>
      <c r="C114" t="s">
        <v>4727</v>
      </c>
    </row>
    <row r="115" spans="1:3" x14ac:dyDescent="0.25">
      <c r="A115" t="s">
        <v>4500</v>
      </c>
      <c r="C115" t="s">
        <v>4728</v>
      </c>
    </row>
    <row r="116" spans="1:3" x14ac:dyDescent="0.25">
      <c r="A116" t="s">
        <v>4501</v>
      </c>
      <c r="C116" t="s">
        <v>4729</v>
      </c>
    </row>
    <row r="117" spans="1:3" x14ac:dyDescent="0.25">
      <c r="A117" t="s">
        <v>4502</v>
      </c>
      <c r="C117" t="s">
        <v>4730</v>
      </c>
    </row>
    <row r="118" spans="1:3" x14ac:dyDescent="0.25">
      <c r="A118" t="s">
        <v>4507</v>
      </c>
      <c r="C118" t="s">
        <v>4680</v>
      </c>
    </row>
    <row r="119" spans="1:3" x14ac:dyDescent="0.25">
      <c r="A119" t="s">
        <v>419</v>
      </c>
      <c r="C119" t="s">
        <v>4809</v>
      </c>
    </row>
    <row r="120" spans="1:3" x14ac:dyDescent="0.25">
      <c r="A120" t="s">
        <v>4535</v>
      </c>
      <c r="C120" t="s">
        <v>4731</v>
      </c>
    </row>
    <row r="121" spans="1:3" x14ac:dyDescent="0.25">
      <c r="A121" t="s">
        <v>4536</v>
      </c>
      <c r="C121" t="s">
        <v>4732</v>
      </c>
    </row>
    <row r="122" spans="1:3" x14ac:dyDescent="0.25">
      <c r="A122" t="s">
        <v>4537</v>
      </c>
      <c r="C122" t="s">
        <v>4784</v>
      </c>
    </row>
    <row r="123" spans="1:3" x14ac:dyDescent="0.25">
      <c r="A123" t="s">
        <v>4564</v>
      </c>
      <c r="C123" t="s">
        <v>4851</v>
      </c>
    </row>
    <row r="124" spans="1:3" x14ac:dyDescent="0.25">
      <c r="A124" t="s">
        <v>4566</v>
      </c>
      <c r="C124" t="s">
        <v>4806</v>
      </c>
    </row>
    <row r="125" spans="1:3" x14ac:dyDescent="0.25">
      <c r="A125" t="s">
        <v>4570</v>
      </c>
      <c r="C125" t="s">
        <v>4681</v>
      </c>
    </row>
    <row r="126" spans="1:3" x14ac:dyDescent="0.25">
      <c r="A126" t="s">
        <v>4573</v>
      </c>
      <c r="C126" t="s">
        <v>4791</v>
      </c>
    </row>
    <row r="127" spans="1:3" x14ac:dyDescent="0.25">
      <c r="A127" t="s">
        <v>2363</v>
      </c>
      <c r="C127" t="s">
        <v>4831</v>
      </c>
    </row>
    <row r="128" spans="1:3" x14ac:dyDescent="0.25">
      <c r="A128" t="s">
        <v>4586</v>
      </c>
      <c r="C128" t="s">
        <v>4659</v>
      </c>
    </row>
    <row r="129" spans="1:3" x14ac:dyDescent="0.25">
      <c r="A129" t="s">
        <v>4600</v>
      </c>
      <c r="C129" t="s">
        <v>4733</v>
      </c>
    </row>
    <row r="130" spans="1:3" x14ac:dyDescent="0.25">
      <c r="A130" t="s">
        <v>4604</v>
      </c>
      <c r="C130" t="s">
        <v>4734</v>
      </c>
    </row>
    <row r="131" spans="1:3" x14ac:dyDescent="0.25">
      <c r="A131" t="s">
        <v>4605</v>
      </c>
      <c r="C131" t="s">
        <v>4660</v>
      </c>
    </row>
    <row r="132" spans="1:3" x14ac:dyDescent="0.25">
      <c r="A132" t="s">
        <v>4607</v>
      </c>
      <c r="C132" t="s">
        <v>4735</v>
      </c>
    </row>
    <row r="133" spans="1:3" x14ac:dyDescent="0.25">
      <c r="A133" t="s">
        <v>4611</v>
      </c>
      <c r="C133" t="s">
        <v>4736</v>
      </c>
    </row>
    <row r="134" spans="1:3" x14ac:dyDescent="0.25">
      <c r="A134" t="s">
        <v>4617</v>
      </c>
      <c r="C134" t="s">
        <v>4737</v>
      </c>
    </row>
    <row r="135" spans="1:3" x14ac:dyDescent="0.25">
      <c r="A135" t="s">
        <v>4618</v>
      </c>
      <c r="C135" t="s">
        <v>4682</v>
      </c>
    </row>
    <row r="136" spans="1:3" x14ac:dyDescent="0.25">
      <c r="A136" t="s">
        <v>4626</v>
      </c>
      <c r="C136" t="s">
        <v>4683</v>
      </c>
    </row>
    <row r="137" spans="1:3" x14ac:dyDescent="0.25">
      <c r="A137" t="s">
        <v>859</v>
      </c>
      <c r="C137" t="s">
        <v>4661</v>
      </c>
    </row>
    <row r="138" spans="1:3" x14ac:dyDescent="0.25">
      <c r="A138" t="s">
        <v>1719</v>
      </c>
      <c r="C138" t="s">
        <v>4738</v>
      </c>
    </row>
    <row r="139" spans="1:3" x14ac:dyDescent="0.25">
      <c r="A139" t="s">
        <v>1354</v>
      </c>
      <c r="C139" t="s">
        <v>4739</v>
      </c>
    </row>
    <row r="140" spans="1:3" x14ac:dyDescent="0.25">
      <c r="A140" t="s">
        <v>1510</v>
      </c>
      <c r="C140" t="s">
        <v>4662</v>
      </c>
    </row>
    <row r="141" spans="1:3" x14ac:dyDescent="0.25">
      <c r="A141" t="s">
        <v>1994</v>
      </c>
      <c r="C141" t="s">
        <v>4740</v>
      </c>
    </row>
    <row r="142" spans="1:3" x14ac:dyDescent="0.25">
      <c r="A142" t="s">
        <v>2006</v>
      </c>
      <c r="C142" t="s">
        <v>4684</v>
      </c>
    </row>
    <row r="143" spans="1:3" x14ac:dyDescent="0.25">
      <c r="A143" t="s">
        <v>2020</v>
      </c>
      <c r="C143" t="s">
        <v>4685</v>
      </c>
    </row>
    <row r="144" spans="1:3" x14ac:dyDescent="0.25">
      <c r="A144" t="s">
        <v>2028</v>
      </c>
      <c r="C144" t="s">
        <v>4741</v>
      </c>
    </row>
    <row r="145" spans="1:3" x14ac:dyDescent="0.25">
      <c r="A145" t="s">
        <v>2033</v>
      </c>
      <c r="C145" t="s">
        <v>4829</v>
      </c>
    </row>
    <row r="146" spans="1:3" x14ac:dyDescent="0.25">
      <c r="A146" t="s">
        <v>2037</v>
      </c>
      <c r="C146" t="s">
        <v>4742</v>
      </c>
    </row>
    <row r="147" spans="1:3" x14ac:dyDescent="0.25">
      <c r="A147" t="s">
        <v>2038</v>
      </c>
      <c r="C147" t="s">
        <v>4743</v>
      </c>
    </row>
    <row r="148" spans="1:3" x14ac:dyDescent="0.25">
      <c r="A148" t="s">
        <v>2044</v>
      </c>
      <c r="C148" t="s">
        <v>4807</v>
      </c>
    </row>
    <row r="149" spans="1:3" x14ac:dyDescent="0.25">
      <c r="A149" t="s">
        <v>2052</v>
      </c>
      <c r="C149" t="s">
        <v>4686</v>
      </c>
    </row>
    <row r="150" spans="1:3" x14ac:dyDescent="0.25">
      <c r="A150" t="s">
        <v>2056</v>
      </c>
      <c r="C150" t="s">
        <v>4764</v>
      </c>
    </row>
    <row r="151" spans="1:3" x14ac:dyDescent="0.25">
      <c r="A151" t="s">
        <v>2057</v>
      </c>
      <c r="C151" t="s">
        <v>4772</v>
      </c>
    </row>
    <row r="152" spans="1:3" x14ac:dyDescent="0.25">
      <c r="A152" t="s">
        <v>2063</v>
      </c>
      <c r="C152" t="s">
        <v>4744</v>
      </c>
    </row>
    <row r="153" spans="1:3" x14ac:dyDescent="0.25">
      <c r="A153" t="s">
        <v>1405</v>
      </c>
      <c r="C153" t="s">
        <v>4687</v>
      </c>
    </row>
    <row r="154" spans="1:3" x14ac:dyDescent="0.25">
      <c r="A154" t="s">
        <v>1615</v>
      </c>
      <c r="C154" t="s">
        <v>4663</v>
      </c>
    </row>
    <row r="155" spans="1:3" x14ac:dyDescent="0.25">
      <c r="A155" t="s">
        <v>3487</v>
      </c>
      <c r="C155" t="s">
        <v>4799</v>
      </c>
    </row>
    <row r="156" spans="1:3" x14ac:dyDescent="0.25">
      <c r="A156" t="s">
        <v>3488</v>
      </c>
      <c r="C156" t="s">
        <v>4664</v>
      </c>
    </row>
    <row r="157" spans="1:3" x14ac:dyDescent="0.25">
      <c r="A157" t="s">
        <v>3493</v>
      </c>
      <c r="C157" t="s">
        <v>4832</v>
      </c>
    </row>
    <row r="158" spans="1:3" x14ac:dyDescent="0.25">
      <c r="A158" t="s">
        <v>3498</v>
      </c>
      <c r="C158" t="s">
        <v>4745</v>
      </c>
    </row>
    <row r="159" spans="1:3" x14ac:dyDescent="0.25">
      <c r="A159" t="s">
        <v>1445</v>
      </c>
      <c r="C159" t="s">
        <v>4746</v>
      </c>
    </row>
    <row r="160" spans="1:3" x14ac:dyDescent="0.25">
      <c r="A160" t="s">
        <v>1447</v>
      </c>
      <c r="C160" t="s">
        <v>4773</v>
      </c>
    </row>
    <row r="161" spans="1:3" x14ac:dyDescent="0.25">
      <c r="A161" t="s">
        <v>1449</v>
      </c>
      <c r="C161" t="s">
        <v>4747</v>
      </c>
    </row>
    <row r="162" spans="1:3" x14ac:dyDescent="0.25">
      <c r="A162" t="s">
        <v>1459</v>
      </c>
      <c r="C162" t="s">
        <v>4688</v>
      </c>
    </row>
    <row r="163" spans="1:3" x14ac:dyDescent="0.25">
      <c r="A163" t="s">
        <v>2710</v>
      </c>
      <c r="C163" t="s">
        <v>4665</v>
      </c>
    </row>
    <row r="164" spans="1:3" x14ac:dyDescent="0.25">
      <c r="A164" t="s">
        <v>2799</v>
      </c>
      <c r="C164" t="s">
        <v>4689</v>
      </c>
    </row>
    <row r="165" spans="1:3" x14ac:dyDescent="0.25">
      <c r="A165" t="s">
        <v>2808</v>
      </c>
      <c r="C165" t="s">
        <v>4748</v>
      </c>
    </row>
    <row r="166" spans="1:3" x14ac:dyDescent="0.25">
      <c r="A166" t="s">
        <v>267</v>
      </c>
      <c r="C166" t="s">
        <v>4689</v>
      </c>
    </row>
    <row r="167" spans="1:3" x14ac:dyDescent="0.25">
      <c r="A167" t="s">
        <v>2821</v>
      </c>
      <c r="C167" t="s">
        <v>4690</v>
      </c>
    </row>
    <row r="168" spans="1:3" x14ac:dyDescent="0.25">
      <c r="A168" t="s">
        <v>2823</v>
      </c>
      <c r="C168" t="s">
        <v>4749</v>
      </c>
    </row>
    <row r="169" spans="1:3" x14ac:dyDescent="0.25">
      <c r="A169" t="s">
        <v>2846</v>
      </c>
      <c r="C169" t="s">
        <v>4691</v>
      </c>
    </row>
    <row r="170" spans="1:3" x14ac:dyDescent="0.25">
      <c r="A170" t="s">
        <v>2847</v>
      </c>
      <c r="C170" t="s">
        <v>4800</v>
      </c>
    </row>
    <row r="171" spans="1:3" x14ac:dyDescent="0.25">
      <c r="A171" t="s">
        <v>2861</v>
      </c>
      <c r="C171" t="s">
        <v>4692</v>
      </c>
    </row>
    <row r="172" spans="1:3" x14ac:dyDescent="0.25">
      <c r="A172" t="s">
        <v>2864</v>
      </c>
      <c r="C172" t="s">
        <v>4833</v>
      </c>
    </row>
    <row r="173" spans="1:3" x14ac:dyDescent="0.25">
      <c r="A173" t="s">
        <v>2866</v>
      </c>
      <c r="C173" t="s">
        <v>4693</v>
      </c>
    </row>
    <row r="174" spans="1:3" x14ac:dyDescent="0.25">
      <c r="A174" t="s">
        <v>2874</v>
      </c>
      <c r="C174" t="s">
        <v>4792</v>
      </c>
    </row>
    <row r="175" spans="1:3" x14ac:dyDescent="0.25">
      <c r="A175" t="s">
        <v>2886</v>
      </c>
      <c r="C175" t="s">
        <v>4750</v>
      </c>
    </row>
    <row r="176" spans="1:3" x14ac:dyDescent="0.25">
      <c r="A176" t="s">
        <v>2891</v>
      </c>
      <c r="C176" t="s">
        <v>4694</v>
      </c>
    </row>
    <row r="177" spans="1:3" x14ac:dyDescent="0.25">
      <c r="A177" t="s">
        <v>2893</v>
      </c>
      <c r="C177" t="s">
        <v>4834</v>
      </c>
    </row>
    <row r="178" spans="1:3" x14ac:dyDescent="0.25">
      <c r="A178" t="s">
        <v>2896</v>
      </c>
      <c r="C178" t="s">
        <v>4751</v>
      </c>
    </row>
    <row r="179" spans="1:3" x14ac:dyDescent="0.25">
      <c r="A179" t="s">
        <v>2899</v>
      </c>
      <c r="C179" t="s">
        <v>4774</v>
      </c>
    </row>
    <row r="180" spans="1:3" x14ac:dyDescent="0.25">
      <c r="A180" t="s">
        <v>3758</v>
      </c>
      <c r="C180" t="s">
        <v>4666</v>
      </c>
    </row>
    <row r="181" spans="1:3" x14ac:dyDescent="0.25">
      <c r="A181" t="s">
        <v>3759</v>
      </c>
      <c r="C181" t="s">
        <v>4852</v>
      </c>
    </row>
    <row r="182" spans="1:3" x14ac:dyDescent="0.25">
      <c r="A182" t="s">
        <v>3767</v>
      </c>
      <c r="C182" t="s">
        <v>4752</v>
      </c>
    </row>
    <row r="183" spans="1:3" x14ac:dyDescent="0.25">
      <c r="A183" t="s">
        <v>3769</v>
      </c>
      <c r="C183" t="s">
        <v>4695</v>
      </c>
    </row>
    <row r="184" spans="1:3" x14ac:dyDescent="0.25">
      <c r="A184" t="s">
        <v>3771</v>
      </c>
      <c r="C184" t="s">
        <v>4753</v>
      </c>
    </row>
    <row r="185" spans="1:3" x14ac:dyDescent="0.25">
      <c r="A185" t="s">
        <v>3772</v>
      </c>
      <c r="C185" t="s">
        <v>4754</v>
      </c>
    </row>
    <row r="186" spans="1:3" x14ac:dyDescent="0.25">
      <c r="A186" t="s">
        <v>3773</v>
      </c>
      <c r="C186" t="s">
        <v>4775</v>
      </c>
    </row>
    <row r="187" spans="1:3" x14ac:dyDescent="0.25">
      <c r="A187" t="s">
        <v>3778</v>
      </c>
      <c r="C187" t="s">
        <v>4755</v>
      </c>
    </row>
    <row r="188" spans="1:3" x14ac:dyDescent="0.25">
      <c r="A188" t="s">
        <v>3779</v>
      </c>
      <c r="C188" t="s">
        <v>4811</v>
      </c>
    </row>
    <row r="189" spans="1:3" x14ac:dyDescent="0.25">
      <c r="A189" t="s">
        <v>3782</v>
      </c>
      <c r="C189" t="s">
        <v>4640</v>
      </c>
    </row>
    <row r="190" spans="1:3" x14ac:dyDescent="0.25">
      <c r="A190" t="s">
        <v>3785</v>
      </c>
      <c r="C190" t="s">
        <v>4835</v>
      </c>
    </row>
    <row r="191" spans="1:3" x14ac:dyDescent="0.25">
      <c r="A191" t="s">
        <v>3787</v>
      </c>
      <c r="C191" t="s">
        <v>4667</v>
      </c>
    </row>
    <row r="192" spans="1:3" x14ac:dyDescent="0.25">
      <c r="A192" t="s">
        <v>3790</v>
      </c>
      <c r="C192" t="s">
        <v>4756</v>
      </c>
    </row>
    <row r="193" spans="1:3" x14ac:dyDescent="0.25">
      <c r="A193" t="s">
        <v>3795</v>
      </c>
      <c r="C193" t="s">
        <v>4696</v>
      </c>
    </row>
    <row r="194" spans="1:3" x14ac:dyDescent="0.25">
      <c r="A194" t="s">
        <v>3796</v>
      </c>
      <c r="C194" t="s">
        <v>4836</v>
      </c>
    </row>
    <row r="195" spans="1:3" x14ac:dyDescent="0.25">
      <c r="A195" t="s">
        <v>3808</v>
      </c>
      <c r="C195" t="s">
        <v>4757</v>
      </c>
    </row>
    <row r="196" spans="1:3" x14ac:dyDescent="0.25">
      <c r="A196" t="s">
        <v>3815</v>
      </c>
      <c r="C196" t="s">
        <v>4697</v>
      </c>
    </row>
    <row r="197" spans="1:3" x14ac:dyDescent="0.25">
      <c r="A197" t="s">
        <v>3816</v>
      </c>
      <c r="C197" t="s">
        <v>4758</v>
      </c>
    </row>
    <row r="198" spans="1:3" x14ac:dyDescent="0.25">
      <c r="A198" t="s">
        <v>3818</v>
      </c>
      <c r="C198" t="s">
        <v>4698</v>
      </c>
    </row>
    <row r="199" spans="1:3" x14ac:dyDescent="0.25">
      <c r="A199" t="s">
        <v>3822</v>
      </c>
      <c r="C199" t="s">
        <v>4837</v>
      </c>
    </row>
    <row r="200" spans="1:3" x14ac:dyDescent="0.25">
      <c r="A200" t="s">
        <v>3835</v>
      </c>
      <c r="C200" t="s">
        <v>4759</v>
      </c>
    </row>
    <row r="201" spans="1:3" x14ac:dyDescent="0.25">
      <c r="A201" t="s">
        <v>3844</v>
      </c>
      <c r="C201" t="s">
        <v>4760</v>
      </c>
    </row>
    <row r="202" spans="1:3" x14ac:dyDescent="0.25">
      <c r="A202" t="s">
        <v>3850</v>
      </c>
      <c r="C202" t="s">
        <v>4765</v>
      </c>
    </row>
    <row r="203" spans="1:3" x14ac:dyDescent="0.25">
      <c r="A203" t="s">
        <v>3852</v>
      </c>
      <c r="C203" t="s">
        <v>4776</v>
      </c>
    </row>
    <row r="204" spans="1:3" x14ac:dyDescent="0.25">
      <c r="A204" t="s">
        <v>3857</v>
      </c>
      <c r="C204" t="s">
        <v>4783</v>
      </c>
    </row>
    <row r="205" spans="1:3" x14ac:dyDescent="0.25">
      <c r="A205" t="s">
        <v>2296</v>
      </c>
      <c r="C205" t="s">
        <v>4668</v>
      </c>
    </row>
    <row r="206" spans="1:3" x14ac:dyDescent="0.25">
      <c r="A206" t="s">
        <v>2340</v>
      </c>
      <c r="C206" t="s">
        <v>4853</v>
      </c>
    </row>
    <row r="207" spans="1:3" x14ac:dyDescent="0.25">
      <c r="A207" t="s">
        <v>2347</v>
      </c>
      <c r="C207" t="s">
        <v>4699</v>
      </c>
    </row>
    <row r="208" spans="1:3" x14ac:dyDescent="0.25">
      <c r="A208" t="s">
        <v>2359</v>
      </c>
      <c r="C208" t="s">
        <v>4700</v>
      </c>
    </row>
    <row r="209" spans="1:3" x14ac:dyDescent="0.25">
      <c r="A209" t="s">
        <v>2362</v>
      </c>
      <c r="C209" t="s">
        <v>4779</v>
      </c>
    </row>
    <row r="210" spans="1:3" x14ac:dyDescent="0.25">
      <c r="A210" t="s">
        <v>2364</v>
      </c>
      <c r="C210" t="s">
        <v>4779</v>
      </c>
    </row>
    <row r="211" spans="1:3" x14ac:dyDescent="0.25">
      <c r="A211" t="s">
        <v>2372</v>
      </c>
      <c r="C211" t="s">
        <v>4777</v>
      </c>
    </row>
    <row r="212" spans="1:3" x14ac:dyDescent="0.25">
      <c r="A212" t="s">
        <v>2412</v>
      </c>
      <c r="C212" t="s">
        <v>4701</v>
      </c>
    </row>
    <row r="213" spans="1:3" x14ac:dyDescent="0.25">
      <c r="A213" t="s">
        <v>2421</v>
      </c>
      <c r="C213" t="s">
        <v>4702</v>
      </c>
    </row>
    <row r="214" spans="1:3" x14ac:dyDescent="0.25">
      <c r="A214" t="s">
        <v>2365</v>
      </c>
      <c r="C214" t="s">
        <v>4838</v>
      </c>
    </row>
    <row r="215" spans="1:3" x14ac:dyDescent="0.25">
      <c r="A215" t="s">
        <v>2426</v>
      </c>
      <c r="C215" t="s">
        <v>4761</v>
      </c>
    </row>
    <row r="216" spans="1:3" x14ac:dyDescent="0.25">
      <c r="A216" t="s">
        <v>2443</v>
      </c>
      <c r="C216" t="s">
        <v>4703</v>
      </c>
    </row>
    <row r="217" spans="1:3" x14ac:dyDescent="0.25">
      <c r="A217" t="s">
        <v>2447</v>
      </c>
      <c r="C217" t="s">
        <v>4704</v>
      </c>
    </row>
    <row r="218" spans="1:3" x14ac:dyDescent="0.25">
      <c r="A218" t="s">
        <v>1837</v>
      </c>
      <c r="C218" t="s">
        <v>4789</v>
      </c>
    </row>
    <row r="219" spans="1:3" x14ac:dyDescent="0.25">
      <c r="A219" t="s">
        <v>1871</v>
      </c>
      <c r="C219" t="s">
        <v>4669</v>
      </c>
    </row>
    <row r="220" spans="1:3" x14ac:dyDescent="0.25">
      <c r="A220" t="s">
        <v>1903</v>
      </c>
      <c r="C220" t="s">
        <v>4670</v>
      </c>
    </row>
    <row r="221" spans="1:3" x14ac:dyDescent="0.25">
      <c r="A221" t="s">
        <v>1912</v>
      </c>
      <c r="C221" t="s">
        <v>4705</v>
      </c>
    </row>
    <row r="222" spans="1:3" x14ac:dyDescent="0.25">
      <c r="A222" t="s">
        <v>1976</v>
      </c>
      <c r="C222" t="s">
        <v>4671</v>
      </c>
    </row>
    <row r="223" spans="1:3" x14ac:dyDescent="0.25">
      <c r="A223" t="s">
        <v>1353</v>
      </c>
      <c r="C223" t="s">
        <v>4762</v>
      </c>
    </row>
    <row r="224" spans="1:3" x14ac:dyDescent="0.25">
      <c r="A224" t="s">
        <v>250</v>
      </c>
      <c r="C224" t="s">
        <v>4766</v>
      </c>
    </row>
    <row r="225" spans="1:3" x14ac:dyDescent="0.25">
      <c r="A225" t="s">
        <v>247</v>
      </c>
      <c r="C225" t="s">
        <v>4778</v>
      </c>
    </row>
    <row r="226" spans="1:3" x14ac:dyDescent="0.25">
      <c r="A226" t="s">
        <v>1243</v>
      </c>
      <c r="C226" t="s">
        <v>4763</v>
      </c>
    </row>
  </sheetData>
  <sortState xmlns:xlrd2="http://schemas.microsoft.com/office/spreadsheetml/2017/richdata2" ref="A2:C219">
    <sortCondition ref="A2:A21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Conjugador</vt:lpstr>
      <vt:lpstr>Verbos irregulares</vt:lpstr>
      <vt:lpstr>Padrões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Radames</dc:creator>
  <cp:lastModifiedBy>Radamés Manosso</cp:lastModifiedBy>
  <dcterms:created xsi:type="dcterms:W3CDTF">2017-03-19T19:40:58Z</dcterms:created>
  <dcterms:modified xsi:type="dcterms:W3CDTF">2019-10-18T00:10:55Z</dcterms:modified>
</cp:coreProperties>
</file>