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10068" yWindow="708" windowWidth="12696" windowHeight="8256" tabRatio="935" activeTab="4"/>
  </bookViews>
  <sheets>
    <sheet name="1. NAMA PESERTA" sheetId="28" r:id="rId1"/>
    <sheet name="2. Petunjuk" sheetId="29" r:id="rId2"/>
    <sheet name="3. SOAL" sheetId="30" r:id="rId3"/>
    <sheet name="HITUNG" sheetId="31" r:id="rId4"/>
    <sheet name="LINGKARAN" sheetId="32" r:id="rId5"/>
    <sheet name="PSIKOGRAM" sheetId="25" r:id="rId6"/>
    <sheet name="I.RANGE ANALYSIS" sheetId="6" r:id="rId7"/>
    <sheet name="II. ADJACENT &amp; OPPOSITE" sheetId="21" r:id="rId8"/>
    <sheet name="III. S EKSTRIM &amp; FAKTOR EKSTRIM" sheetId="22" r:id="rId9"/>
    <sheet name="IV. LINKAGE ANALYSIS" sheetId="23" r:id="rId10"/>
    <sheet name="Deskriptif" sheetId="26" r:id="rId11"/>
    <sheet name="INTERPRETASI SKOR (2)" sheetId="11" r:id="rId12"/>
    <sheet name="Sheet1" sheetId="27" r:id="rId13"/>
  </sheets>
  <externalReferences>
    <externalReference r:id="rId14"/>
  </externalReferences>
  <definedNames>
    <definedName name="_xlnm.Print_Area" localSheetId="6">'I.RANGE ANALYSIS'!$A$1:$M$44</definedName>
    <definedName name="_xlnm.Print_Area" localSheetId="7">'II. ADJACENT &amp; OPPOSITE'!$A$1:$S$152</definedName>
    <definedName name="_xlnm.Print_Area" localSheetId="8">'III. S EKSTRIM &amp; FAKTOR EKSTRIM'!$A$1:$P$102</definedName>
    <definedName name="_xlnm.Print_Area" localSheetId="9">'IV. LINKAGE ANALYSIS'!$A$1:$O$48</definedName>
    <definedName name="_xlnm.Print_Area" localSheetId="4">LINGKARAN!$A$1:$M$35</definedName>
    <definedName name="_xlnm.Print_Area" localSheetId="5">PSIKOGRAM!$A$1:$L$54</definedName>
  </definedNames>
  <calcPr calcId="144525"/>
</workbook>
</file>

<file path=xl/calcChain.xml><?xml version="1.0" encoding="utf-8"?>
<calcChain xmlns="http://schemas.openxmlformats.org/spreadsheetml/2006/main">
  <c r="C27" i="32" l="1"/>
  <c r="C29" i="32"/>
  <c r="D14" i="28" l="1"/>
  <c r="D15" i="28"/>
  <c r="D1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13" i="28"/>
  <c r="D5" i="28" l="1"/>
  <c r="E5" i="28"/>
  <c r="D6" i="28"/>
  <c r="E6" i="28"/>
  <c r="D7" i="28"/>
  <c r="E7" i="28"/>
  <c r="D8" i="28"/>
  <c r="E8" i="28"/>
  <c r="D9" i="28"/>
  <c r="E9" i="28"/>
  <c r="D10" i="28"/>
  <c r="E10" i="28"/>
  <c r="D11" i="28"/>
  <c r="E11" i="28"/>
  <c r="D12"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4" i="28"/>
  <c r="D4" i="28"/>
  <c r="D238" i="30" l="1"/>
  <c r="D271" i="30"/>
  <c r="D270" i="30"/>
  <c r="D268" i="30"/>
  <c r="D267" i="30"/>
  <c r="D265" i="30"/>
  <c r="D264" i="30"/>
  <c r="D262" i="30"/>
  <c r="D261" i="30"/>
  <c r="D259" i="30"/>
  <c r="D258" i="30"/>
  <c r="D256" i="30"/>
  <c r="D255" i="30"/>
  <c r="D253" i="30"/>
  <c r="D252" i="30"/>
  <c r="D250" i="30"/>
  <c r="D249" i="30"/>
  <c r="D247" i="30"/>
  <c r="D246" i="30"/>
  <c r="D244" i="30"/>
  <c r="D243" i="30"/>
  <c r="D241" i="30"/>
  <c r="D240" i="30"/>
  <c r="D237" i="30"/>
  <c r="D235" i="30"/>
  <c r="D234" i="30"/>
  <c r="D232" i="30"/>
  <c r="D231" i="30"/>
  <c r="D229" i="30"/>
  <c r="D228" i="30"/>
  <c r="D226" i="30"/>
  <c r="D225" i="30"/>
  <c r="D223" i="30"/>
  <c r="D222" i="30"/>
  <c r="D220" i="30"/>
  <c r="D219" i="30"/>
  <c r="D217" i="30"/>
  <c r="D216" i="30"/>
  <c r="D214" i="30"/>
  <c r="D213" i="30"/>
  <c r="D211" i="30"/>
  <c r="D210" i="30"/>
  <c r="D208" i="30"/>
  <c r="D207" i="30"/>
  <c r="D205" i="30"/>
  <c r="D204" i="30"/>
  <c r="D202" i="30"/>
  <c r="D201" i="30"/>
  <c r="D199" i="30"/>
  <c r="D198" i="30"/>
  <c r="D196" i="30"/>
  <c r="D195" i="30"/>
  <c r="D193" i="30"/>
  <c r="D192" i="30"/>
  <c r="D190" i="30"/>
  <c r="D189" i="30"/>
  <c r="D187" i="30"/>
  <c r="D186" i="30"/>
  <c r="D184" i="30"/>
  <c r="D183" i="30"/>
  <c r="D181" i="30"/>
  <c r="D180" i="30"/>
  <c r="D178" i="30"/>
  <c r="D177" i="30"/>
  <c r="D175" i="30"/>
  <c r="D174" i="30"/>
  <c r="D172" i="30"/>
  <c r="D171" i="30"/>
  <c r="D169" i="30"/>
  <c r="D168" i="30"/>
  <c r="D166" i="30"/>
  <c r="D165" i="30"/>
  <c r="D163" i="30"/>
  <c r="D162" i="30"/>
  <c r="D160" i="30"/>
  <c r="D159" i="30"/>
  <c r="D157" i="30"/>
  <c r="D156" i="30"/>
  <c r="D154" i="30"/>
  <c r="D153" i="30"/>
  <c r="D151" i="30"/>
  <c r="D150" i="30"/>
  <c r="D148" i="30"/>
  <c r="D147" i="30"/>
  <c r="D145" i="30"/>
  <c r="D144" i="30"/>
  <c r="D142" i="30"/>
  <c r="D141" i="30"/>
  <c r="D139" i="30"/>
  <c r="D138" i="30"/>
  <c r="D136" i="30"/>
  <c r="D135" i="30"/>
  <c r="D133" i="30"/>
  <c r="D132" i="30"/>
  <c r="D130" i="30"/>
  <c r="D129" i="30"/>
  <c r="D127" i="30"/>
  <c r="D126" i="30"/>
  <c r="D124" i="30"/>
  <c r="D123" i="30"/>
  <c r="D121" i="30"/>
  <c r="D120" i="30"/>
  <c r="D118" i="30"/>
  <c r="D117" i="30"/>
  <c r="D115" i="30"/>
  <c r="D114" i="30"/>
  <c r="D112" i="30"/>
  <c r="D111" i="30"/>
  <c r="D109" i="30"/>
  <c r="D108" i="30"/>
  <c r="D106" i="30"/>
  <c r="D105" i="30"/>
  <c r="D103" i="30"/>
  <c r="D102" i="30"/>
  <c r="D100" i="30"/>
  <c r="D99" i="30"/>
  <c r="D97" i="30"/>
  <c r="D96" i="30"/>
  <c r="D94" i="30"/>
  <c r="D93" i="30"/>
  <c r="D91" i="30"/>
  <c r="D90" i="30"/>
  <c r="D88" i="30"/>
  <c r="D87" i="30"/>
  <c r="D85" i="30"/>
  <c r="D84" i="30"/>
  <c r="D82" i="30"/>
  <c r="D81" i="30"/>
  <c r="D79" i="30"/>
  <c r="D78" i="30"/>
  <c r="D76" i="30"/>
  <c r="D75" i="30"/>
  <c r="D73" i="30"/>
  <c r="D72" i="30"/>
  <c r="D70" i="30"/>
  <c r="D69" i="30"/>
  <c r="D67" i="30"/>
  <c r="D66" i="30"/>
  <c r="D64" i="30"/>
  <c r="D63" i="30"/>
  <c r="D61" i="30"/>
  <c r="D60" i="30"/>
  <c r="D58" i="30"/>
  <c r="D57" i="30"/>
  <c r="D55" i="30"/>
  <c r="D54" i="30"/>
  <c r="D52" i="30"/>
  <c r="D51" i="30"/>
  <c r="D49" i="30"/>
  <c r="D48" i="30"/>
  <c r="D46" i="30"/>
  <c r="D45" i="30"/>
  <c r="D43" i="30"/>
  <c r="D42" i="30"/>
  <c r="D40" i="30"/>
  <c r="D39" i="30"/>
  <c r="D37" i="30"/>
  <c r="D36" i="30"/>
  <c r="D34" i="30"/>
  <c r="D33" i="30"/>
  <c r="D31" i="30"/>
  <c r="D30" i="30"/>
  <c r="D27" i="30"/>
  <c r="D28" i="30"/>
  <c r="D25" i="30"/>
  <c r="D24" i="30"/>
  <c r="D22" i="30"/>
  <c r="D21" i="30"/>
  <c r="D19" i="30"/>
  <c r="D18" i="30"/>
  <c r="D16" i="30"/>
  <c r="D15" i="30"/>
  <c r="D13" i="30"/>
  <c r="D12" i="30"/>
  <c r="D10" i="30"/>
  <c r="D9" i="30"/>
  <c r="D7" i="30"/>
  <c r="D6" i="30"/>
  <c r="D4" i="30"/>
  <c r="D3" i="30"/>
  <c r="D28" i="31" l="1"/>
  <c r="L10" i="6" l="1"/>
  <c r="L9" i="6"/>
  <c r="L8" i="6"/>
  <c r="L7" i="6"/>
  <c r="L6" i="6"/>
  <c r="L5" i="6"/>
  <c r="L4" i="6"/>
  <c r="L3" i="6"/>
  <c r="B10" i="25"/>
  <c r="B9" i="25"/>
  <c r="B8" i="25"/>
  <c r="B7" i="25"/>
  <c r="B6" i="25"/>
  <c r="B5" i="25"/>
  <c r="B4" i="25"/>
  <c r="B3" i="25"/>
  <c r="B9" i="32"/>
  <c r="B8" i="32"/>
  <c r="B7" i="32"/>
  <c r="B6" i="32"/>
  <c r="B5" i="32"/>
  <c r="B4" i="32"/>
  <c r="B3" i="32"/>
  <c r="B2" i="32"/>
  <c r="Q38" i="31"/>
  <c r="Q37" i="31"/>
  <c r="Q36" i="31"/>
  <c r="Q35" i="31"/>
  <c r="Q34" i="31"/>
  <c r="Q33" i="31"/>
  <c r="Q32" i="31"/>
  <c r="Q31" i="31"/>
  <c r="Q30" i="31"/>
  <c r="P38" i="31"/>
  <c r="P37" i="31"/>
  <c r="P36" i="31"/>
  <c r="P35" i="31"/>
  <c r="P34" i="31"/>
  <c r="P33" i="31"/>
  <c r="P32" i="31"/>
  <c r="P31" i="31"/>
  <c r="P30" i="31"/>
  <c r="O38" i="31"/>
  <c r="O37" i="31"/>
  <c r="O36" i="31"/>
  <c r="O35" i="31"/>
  <c r="O34" i="31"/>
  <c r="O33" i="31"/>
  <c r="O32" i="31"/>
  <c r="O31" i="31"/>
  <c r="O30" i="31"/>
  <c r="N38" i="31"/>
  <c r="N37" i="31"/>
  <c r="N36" i="31"/>
  <c r="N35" i="31"/>
  <c r="N34" i="31"/>
  <c r="N33" i="31"/>
  <c r="N32" i="31"/>
  <c r="N31" i="31"/>
  <c r="N30" i="31"/>
  <c r="M38" i="31"/>
  <c r="M37" i="31"/>
  <c r="M36" i="31"/>
  <c r="M35" i="31"/>
  <c r="M34" i="31"/>
  <c r="M33" i="31"/>
  <c r="M32" i="31"/>
  <c r="M31" i="31"/>
  <c r="M30" i="31"/>
  <c r="L38" i="31"/>
  <c r="L37" i="31"/>
  <c r="L36" i="31"/>
  <c r="L35" i="31"/>
  <c r="L34" i="31"/>
  <c r="L33" i="31"/>
  <c r="L32" i="31"/>
  <c r="L31" i="31"/>
  <c r="L30" i="31"/>
  <c r="K38" i="31"/>
  <c r="K37" i="31"/>
  <c r="K36" i="31"/>
  <c r="K35" i="31"/>
  <c r="K34" i="31"/>
  <c r="K33" i="31"/>
  <c r="K32" i="31"/>
  <c r="K31" i="31"/>
  <c r="K30" i="31"/>
  <c r="J38" i="31"/>
  <c r="J37" i="31"/>
  <c r="J36" i="31"/>
  <c r="J35" i="31"/>
  <c r="J34" i="31"/>
  <c r="J33" i="31"/>
  <c r="J32" i="31"/>
  <c r="J31" i="31"/>
  <c r="J30" i="31"/>
  <c r="I38" i="31"/>
  <c r="I37" i="31"/>
  <c r="I36" i="31"/>
  <c r="I35" i="31"/>
  <c r="I34" i="31"/>
  <c r="I33" i="31"/>
  <c r="I32" i="31"/>
  <c r="I31" i="31"/>
  <c r="I30" i="31"/>
  <c r="H38" i="31"/>
  <c r="H37" i="31"/>
  <c r="H36" i="31"/>
  <c r="H35" i="31"/>
  <c r="H34" i="31"/>
  <c r="H33" i="31"/>
  <c r="H32" i="31"/>
  <c r="H31" i="31"/>
  <c r="H30" i="31"/>
  <c r="Q25" i="31"/>
  <c r="Q24" i="31"/>
  <c r="Q23" i="31"/>
  <c r="Q22" i="31"/>
  <c r="Q21" i="31"/>
  <c r="Q20" i="31"/>
  <c r="Q19" i="31"/>
  <c r="Q18" i="31"/>
  <c r="Q17" i="31"/>
  <c r="P25" i="31"/>
  <c r="P24" i="31"/>
  <c r="P23" i="31"/>
  <c r="P22" i="31"/>
  <c r="P21" i="31"/>
  <c r="P20" i="31"/>
  <c r="P19" i="31"/>
  <c r="P18" i="31"/>
  <c r="P17" i="31"/>
  <c r="O25" i="31"/>
  <c r="O24" i="31"/>
  <c r="O23" i="31"/>
  <c r="O22" i="31"/>
  <c r="O21" i="31"/>
  <c r="O20" i="31"/>
  <c r="O19" i="31"/>
  <c r="O18" i="31"/>
  <c r="O17" i="31"/>
  <c r="N25" i="31"/>
  <c r="N24" i="31"/>
  <c r="N23" i="31"/>
  <c r="N22" i="31"/>
  <c r="N21" i="31"/>
  <c r="N20" i="31"/>
  <c r="N19" i="31"/>
  <c r="N18" i="31"/>
  <c r="N17" i="31"/>
  <c r="M25" i="31"/>
  <c r="M24" i="31"/>
  <c r="M23" i="31"/>
  <c r="M22" i="31"/>
  <c r="M21" i="31"/>
  <c r="M20" i="31"/>
  <c r="M19" i="31"/>
  <c r="M18" i="31"/>
  <c r="M17" i="31"/>
  <c r="L25" i="31"/>
  <c r="L24" i="31"/>
  <c r="L23" i="31"/>
  <c r="L22" i="31"/>
  <c r="L21" i="31"/>
  <c r="L20" i="31"/>
  <c r="L19" i="31"/>
  <c r="L18" i="31"/>
  <c r="L17" i="31"/>
  <c r="K25" i="31"/>
  <c r="K24" i="31"/>
  <c r="K23" i="31"/>
  <c r="K22" i="31"/>
  <c r="K21" i="31"/>
  <c r="K20" i="31"/>
  <c r="K19" i="31"/>
  <c r="K18" i="31"/>
  <c r="K17" i="31"/>
  <c r="J25" i="31"/>
  <c r="J24" i="31"/>
  <c r="J23" i="31"/>
  <c r="J22" i="31"/>
  <c r="J21" i="31"/>
  <c r="J20" i="31"/>
  <c r="J19" i="31"/>
  <c r="J18" i="31"/>
  <c r="J17" i="31"/>
  <c r="I25" i="31"/>
  <c r="I24" i="31"/>
  <c r="I23" i="31"/>
  <c r="I22" i="31"/>
  <c r="I21" i="31"/>
  <c r="I20" i="31"/>
  <c r="I19" i="31"/>
  <c r="I18" i="31"/>
  <c r="I17" i="31"/>
  <c r="H25" i="31"/>
  <c r="H24" i="31"/>
  <c r="H23" i="31"/>
  <c r="H22" i="31"/>
  <c r="H21" i="31"/>
  <c r="H20" i="31"/>
  <c r="H19" i="31"/>
  <c r="H18" i="31"/>
  <c r="H17" i="31"/>
  <c r="D271" i="31"/>
  <c r="D270" i="31"/>
  <c r="D268" i="31"/>
  <c r="D267" i="31"/>
  <c r="D265" i="31"/>
  <c r="D264" i="31"/>
  <c r="D262" i="31"/>
  <c r="D261" i="31"/>
  <c r="D259" i="31"/>
  <c r="D258" i="31"/>
  <c r="D256" i="31"/>
  <c r="D255" i="31"/>
  <c r="D253" i="31"/>
  <c r="D252" i="31"/>
  <c r="D250" i="31"/>
  <c r="D249" i="31"/>
  <c r="D247" i="31"/>
  <c r="D246" i="31"/>
  <c r="D244" i="31"/>
  <c r="D243" i="31"/>
  <c r="D241" i="31"/>
  <c r="D240" i="31"/>
  <c r="D238" i="31"/>
  <c r="D237" i="31"/>
  <c r="D235" i="31"/>
  <c r="D234" i="31"/>
  <c r="D232" i="31"/>
  <c r="D231" i="31"/>
  <c r="D229" i="31"/>
  <c r="D228" i="31"/>
  <c r="D226" i="31"/>
  <c r="D225" i="31"/>
  <c r="D223" i="31"/>
  <c r="D222" i="31"/>
  <c r="D220" i="31"/>
  <c r="D219" i="31"/>
  <c r="D217" i="31"/>
  <c r="D216" i="31"/>
  <c r="D214" i="31"/>
  <c r="D213" i="31"/>
  <c r="D211" i="31"/>
  <c r="D210" i="31"/>
  <c r="D208" i="31"/>
  <c r="D207" i="31"/>
  <c r="D205" i="31"/>
  <c r="D204" i="31"/>
  <c r="D202" i="31"/>
  <c r="D201" i="31"/>
  <c r="D199" i="31"/>
  <c r="D198" i="31"/>
  <c r="D196" i="31"/>
  <c r="D195" i="31"/>
  <c r="D193" i="31"/>
  <c r="D192" i="31"/>
  <c r="D190" i="31"/>
  <c r="D189" i="31"/>
  <c r="D187" i="31"/>
  <c r="D186" i="31"/>
  <c r="D184" i="31"/>
  <c r="D183" i="31"/>
  <c r="D181" i="31"/>
  <c r="D180" i="31"/>
  <c r="D178" i="31"/>
  <c r="D177" i="31"/>
  <c r="D175" i="31"/>
  <c r="D174" i="31"/>
  <c r="D172" i="31"/>
  <c r="D171" i="31"/>
  <c r="D169" i="31"/>
  <c r="D168" i="31"/>
  <c r="D166" i="31"/>
  <c r="D165" i="31"/>
  <c r="D163" i="31"/>
  <c r="D162" i="31"/>
  <c r="D160" i="31"/>
  <c r="D159" i="31"/>
  <c r="D157" i="31"/>
  <c r="D156" i="31"/>
  <c r="D154" i="31"/>
  <c r="D153" i="31"/>
  <c r="D151" i="31"/>
  <c r="D150" i="31"/>
  <c r="D148" i="31"/>
  <c r="D147" i="31"/>
  <c r="D145" i="31"/>
  <c r="D144" i="31"/>
  <c r="D142" i="31"/>
  <c r="D141" i="31"/>
  <c r="D139" i="31"/>
  <c r="D138" i="31"/>
  <c r="D136" i="31"/>
  <c r="D135" i="31"/>
  <c r="D133" i="31"/>
  <c r="D132" i="31"/>
  <c r="D130" i="31"/>
  <c r="D129" i="31"/>
  <c r="D127" i="31"/>
  <c r="D126" i="31"/>
  <c r="D124" i="31"/>
  <c r="D123" i="31"/>
  <c r="D121" i="31"/>
  <c r="D120" i="31"/>
  <c r="D118" i="31"/>
  <c r="D117" i="31"/>
  <c r="D115" i="31"/>
  <c r="D114" i="31"/>
  <c r="D112" i="31"/>
  <c r="D111" i="31"/>
  <c r="D109" i="31"/>
  <c r="D108" i="31"/>
  <c r="D106" i="31"/>
  <c r="D105" i="31"/>
  <c r="D103" i="31"/>
  <c r="D102" i="31"/>
  <c r="D100" i="31"/>
  <c r="D99" i="31"/>
  <c r="D97" i="31"/>
  <c r="D96" i="31"/>
  <c r="D94" i="31"/>
  <c r="D93" i="31"/>
  <c r="D91" i="31"/>
  <c r="D90" i="31"/>
  <c r="D88" i="31"/>
  <c r="D87" i="31"/>
  <c r="D85" i="31"/>
  <c r="D84" i="31"/>
  <c r="D82" i="31"/>
  <c r="D81" i="31"/>
  <c r="D79" i="31"/>
  <c r="D78" i="31"/>
  <c r="D76" i="31"/>
  <c r="D75" i="31"/>
  <c r="D73" i="31"/>
  <c r="D72" i="31"/>
  <c r="D70" i="31"/>
  <c r="D69" i="31"/>
  <c r="D67" i="31"/>
  <c r="D66" i="31"/>
  <c r="D64" i="31"/>
  <c r="D63" i="31"/>
  <c r="D61" i="31"/>
  <c r="D60" i="31"/>
  <c r="D58" i="31"/>
  <c r="D57" i="31"/>
  <c r="D55" i="31"/>
  <c r="D54" i="31"/>
  <c r="D52" i="31"/>
  <c r="D51" i="31"/>
  <c r="D49" i="31"/>
  <c r="D48" i="31"/>
  <c r="D46" i="31"/>
  <c r="D45" i="31"/>
  <c r="D43" i="31"/>
  <c r="D42" i="31"/>
  <c r="D40" i="31"/>
  <c r="D39" i="31"/>
  <c r="D37" i="31"/>
  <c r="D36" i="31"/>
  <c r="D34" i="31"/>
  <c r="D33" i="31"/>
  <c r="D31" i="31"/>
  <c r="D30" i="31"/>
  <c r="D27" i="31"/>
  <c r="D25" i="31"/>
  <c r="D24" i="31"/>
  <c r="D22" i="31"/>
  <c r="D21" i="31"/>
  <c r="D19" i="31"/>
  <c r="D18" i="31"/>
  <c r="D16" i="31"/>
  <c r="D15" i="31"/>
  <c r="D13" i="31"/>
  <c r="D12" i="31"/>
  <c r="D10" i="31"/>
  <c r="D9" i="31"/>
  <c r="D7" i="31"/>
  <c r="D6" i="31"/>
  <c r="D4" i="31"/>
  <c r="D3" i="31"/>
  <c r="L10" i="31" l="1"/>
  <c r="L11" i="31"/>
  <c r="L5" i="31"/>
  <c r="L12" i="31"/>
  <c r="L7" i="31"/>
  <c r="L9" i="31"/>
  <c r="L4" i="31"/>
  <c r="L6" i="31"/>
  <c r="L8" i="31"/>
  <c r="L3" i="31"/>
  <c r="H26" i="31"/>
  <c r="C13" i="32" l="1"/>
  <c r="C3" i="23"/>
  <c r="C3" i="22"/>
  <c r="C3" i="21"/>
  <c r="I10" i="31" l="1"/>
  <c r="I11" i="31"/>
  <c r="P39" i="31"/>
  <c r="N39" i="31"/>
  <c r="M39" i="31"/>
  <c r="L39" i="31"/>
  <c r="K39" i="31"/>
  <c r="J39" i="31"/>
  <c r="I39" i="31"/>
  <c r="H39" i="31"/>
  <c r="Q26" i="31"/>
  <c r="P26" i="31"/>
  <c r="O26" i="31"/>
  <c r="N26" i="31"/>
  <c r="M26" i="31"/>
  <c r="L26" i="31"/>
  <c r="K26" i="31"/>
  <c r="J26" i="31"/>
  <c r="I26" i="31"/>
  <c r="I9" i="31"/>
  <c r="I8" i="31"/>
  <c r="I7" i="31"/>
  <c r="I6" i="31"/>
  <c r="I5" i="31"/>
  <c r="I4" i="31"/>
  <c r="I12" i="31"/>
  <c r="I3" i="31"/>
  <c r="J27" i="31" l="1"/>
  <c r="K29" i="6" s="1"/>
  <c r="E3" i="21"/>
  <c r="C17" i="32"/>
  <c r="E3" i="23"/>
  <c r="E3" i="22"/>
  <c r="K27" i="31"/>
  <c r="K19" i="6" s="1"/>
  <c r="F3" i="21"/>
  <c r="F3" i="23"/>
  <c r="F3" i="22"/>
  <c r="C18" i="32"/>
  <c r="O27" i="31"/>
  <c r="K17" i="6" s="1"/>
  <c r="J3" i="21"/>
  <c r="J3" i="23"/>
  <c r="J3" i="22"/>
  <c r="C25" i="32"/>
  <c r="K40" i="31"/>
  <c r="K35" i="6" s="1"/>
  <c r="F6" i="23"/>
  <c r="F6" i="22"/>
  <c r="F6" i="21"/>
  <c r="C20" i="32"/>
  <c r="P40" i="31"/>
  <c r="K23" i="6" s="1"/>
  <c r="K6" i="21"/>
  <c r="C30" i="32"/>
  <c r="K6" i="23"/>
  <c r="K6" i="22"/>
  <c r="L27" i="31"/>
  <c r="K20" i="6" s="1"/>
  <c r="C19" i="32"/>
  <c r="G3" i="23"/>
  <c r="G3" i="22"/>
  <c r="G3" i="21"/>
  <c r="C6" i="21"/>
  <c r="C6" i="23"/>
  <c r="C6" i="22"/>
  <c r="C12" i="32"/>
  <c r="L40" i="31"/>
  <c r="K33" i="6" s="1"/>
  <c r="G6" i="21"/>
  <c r="C22" i="32"/>
  <c r="G6" i="23"/>
  <c r="G6" i="22"/>
  <c r="P27" i="31"/>
  <c r="K16" i="6" s="1"/>
  <c r="C26" i="32"/>
  <c r="K3" i="23"/>
  <c r="K3" i="22"/>
  <c r="K3" i="21"/>
  <c r="I27" i="31"/>
  <c r="K27" i="6" s="1"/>
  <c r="D3" i="23"/>
  <c r="D3" i="22"/>
  <c r="D3" i="21"/>
  <c r="C15" i="32"/>
  <c r="M27" i="31"/>
  <c r="K32" i="6" s="1"/>
  <c r="H3" i="23"/>
  <c r="H3" i="22"/>
  <c r="H3" i="21"/>
  <c r="C21" i="32"/>
  <c r="Q27" i="31"/>
  <c r="K38" i="6" s="1"/>
  <c r="L3" i="23"/>
  <c r="L3" i="22"/>
  <c r="L3" i="21"/>
  <c r="C28" i="32"/>
  <c r="I40" i="31"/>
  <c r="K13" i="6" s="1"/>
  <c r="D6" i="23"/>
  <c r="D6" i="22"/>
  <c r="D6" i="21"/>
  <c r="C14" i="32"/>
  <c r="M40" i="31"/>
  <c r="K34" i="6" s="1"/>
  <c r="H6" i="23"/>
  <c r="H6" i="22"/>
  <c r="H6" i="21"/>
  <c r="C23" i="32"/>
  <c r="N27" i="31"/>
  <c r="K18" i="6" s="1"/>
  <c r="I3" i="21"/>
  <c r="I3" i="23"/>
  <c r="I3" i="22"/>
  <c r="C24" i="32"/>
  <c r="J40" i="31"/>
  <c r="K28" i="6" s="1"/>
  <c r="E6" i="23"/>
  <c r="E6" i="22"/>
  <c r="E6" i="21"/>
  <c r="C16" i="32"/>
  <c r="N40" i="31"/>
  <c r="K40" i="6" s="1"/>
  <c r="I6" i="23"/>
  <c r="I6" i="22"/>
  <c r="I6" i="21"/>
  <c r="Q39" i="31"/>
  <c r="L13" i="31"/>
  <c r="O39" i="31"/>
  <c r="I13" i="31"/>
  <c r="H40" i="31"/>
  <c r="K14" i="6" s="1"/>
  <c r="R26" i="31"/>
  <c r="H27" i="31"/>
  <c r="K15" i="6" s="1"/>
  <c r="O40" i="31" l="1"/>
  <c r="K39" i="6" s="1"/>
  <c r="J6" i="23"/>
  <c r="J6" i="22"/>
  <c r="J6" i="21"/>
  <c r="Q40" i="31"/>
  <c r="K24" i="6" s="1"/>
  <c r="L6" i="23"/>
  <c r="L6" i="22"/>
  <c r="L6" i="21"/>
  <c r="C31" i="32"/>
  <c r="I14" i="31"/>
  <c r="R39" i="31"/>
  <c r="R40" i="31" s="1"/>
  <c r="D273" i="30" l="1"/>
  <c r="B10" i="6" l="1"/>
  <c r="B9" i="6"/>
  <c r="B8" i="6"/>
  <c r="B7" i="6"/>
  <c r="B6" i="6"/>
  <c r="B5" i="6"/>
  <c r="B4" i="6"/>
  <c r="B3" i="6"/>
  <c r="L5" i="25" l="1"/>
  <c r="L4" i="25"/>
  <c r="J51" i="25"/>
  <c r="L3" i="25" l="1"/>
  <c r="A51" i="25"/>
  <c r="J41" i="6" l="1"/>
  <c r="J36" i="6"/>
  <c r="J25" i="6"/>
  <c r="A41" i="6"/>
  <c r="A36" i="6"/>
  <c r="A25" i="6"/>
  <c r="D14" i="22" l="1"/>
  <c r="D75" i="22" l="1"/>
  <c r="D59" i="22"/>
  <c r="D147" i="21"/>
  <c r="D142" i="21"/>
  <c r="D146" i="21"/>
  <c r="D141" i="21"/>
  <c r="D145" i="21"/>
  <c r="D140" i="21"/>
  <c r="D144" i="21"/>
  <c r="D139" i="21"/>
  <c r="D94" i="22"/>
  <c r="D97" i="22"/>
  <c r="D96" i="22"/>
  <c r="D95" i="22"/>
  <c r="D94" i="21"/>
  <c r="D97" i="21"/>
  <c r="D96" i="21"/>
  <c r="D95" i="21"/>
  <c r="D29" i="21"/>
  <c r="D32" i="21"/>
  <c r="D31" i="21"/>
  <c r="D30" i="21"/>
  <c r="D19" i="21"/>
  <c r="D21" i="21"/>
  <c r="D20" i="21"/>
  <c r="D91" i="22"/>
  <c r="D90" i="22"/>
  <c r="D89" i="22"/>
  <c r="D87" i="22"/>
  <c r="D86" i="22"/>
  <c r="D85" i="22"/>
  <c r="D10" i="23"/>
  <c r="D70" i="22"/>
  <c r="D69" i="22"/>
  <c r="D71" i="22"/>
  <c r="D39" i="21"/>
  <c r="D42" i="21"/>
  <c r="D41" i="21"/>
  <c r="D40" i="21"/>
  <c r="D49" i="21"/>
  <c r="D52" i="21"/>
  <c r="D51" i="21"/>
  <c r="D50" i="21"/>
  <c r="D137" i="21"/>
  <c r="D125" i="21"/>
  <c r="D136" i="21"/>
  <c r="D124" i="21"/>
  <c r="D135" i="21"/>
  <c r="D127" i="21"/>
  <c r="D134" i="21"/>
  <c r="D126" i="21"/>
  <c r="D40" i="22"/>
  <c r="D39" i="22"/>
  <c r="D89" i="21"/>
  <c r="D84" i="21"/>
  <c r="D79" i="21"/>
  <c r="D74" i="21"/>
  <c r="D69" i="21"/>
  <c r="D92" i="21"/>
  <c r="D87" i="21"/>
  <c r="D82" i="21"/>
  <c r="D77" i="21"/>
  <c r="D72" i="21"/>
  <c r="D91" i="21"/>
  <c r="D86" i="21"/>
  <c r="D81" i="21"/>
  <c r="D76" i="21"/>
  <c r="D71" i="21"/>
  <c r="D90" i="21"/>
  <c r="D85" i="21"/>
  <c r="D80" i="21"/>
  <c r="D75" i="21"/>
  <c r="D70" i="21"/>
  <c r="D44" i="21"/>
  <c r="D34" i="21"/>
  <c r="D47" i="21"/>
  <c r="D37" i="21"/>
  <c r="D46" i="21"/>
  <c r="D36" i="21"/>
  <c r="D45" i="21"/>
  <c r="D35" i="21"/>
  <c r="D27" i="22"/>
  <c r="D26" i="22"/>
  <c r="D25" i="22"/>
  <c r="D24" i="22"/>
  <c r="D99" i="22"/>
  <c r="D102" i="22"/>
  <c r="D101" i="22"/>
  <c r="D100" i="22"/>
  <c r="D80" i="22"/>
  <c r="D79" i="22"/>
  <c r="D81" i="22"/>
  <c r="D59" i="21"/>
  <c r="D54" i="21"/>
  <c r="D62" i="21"/>
  <c r="D57" i="21"/>
  <c r="D61" i="21"/>
  <c r="D56" i="21"/>
  <c r="D60" i="21"/>
  <c r="D55" i="21"/>
  <c r="D64" i="21"/>
  <c r="D67" i="21"/>
  <c r="D66" i="21"/>
  <c r="D115" i="21"/>
  <c r="D65" i="21"/>
  <c r="D64" i="22"/>
  <c r="D66" i="22"/>
  <c r="D65" i="22"/>
  <c r="D14" i="21"/>
  <c r="D11" i="21"/>
  <c r="D24" i="21"/>
  <c r="D17" i="21"/>
  <c r="D12" i="21"/>
  <c r="D16" i="21"/>
  <c r="D15" i="21"/>
  <c r="D109" i="21"/>
  <c r="D104" i="21"/>
  <c r="D99" i="21"/>
  <c r="D112" i="21"/>
  <c r="D107" i="21"/>
  <c r="D102" i="21"/>
  <c r="D111" i="21"/>
  <c r="D106" i="21"/>
  <c r="D101" i="21"/>
  <c r="D110" i="21"/>
  <c r="D105" i="21"/>
  <c r="D100" i="21"/>
  <c r="D131" i="21"/>
  <c r="D119" i="21"/>
  <c r="D114" i="21"/>
  <c r="D129" i="21"/>
  <c r="D117" i="21"/>
  <c r="D122" i="21"/>
  <c r="D116" i="21"/>
  <c r="D120" i="21"/>
  <c r="D130" i="21"/>
  <c r="D152" i="21"/>
  <c r="D151" i="21"/>
  <c r="D150" i="21"/>
  <c r="D149" i="21"/>
  <c r="D45" i="23"/>
  <c r="E25" i="25"/>
  <c r="B54" i="22"/>
  <c r="B110" i="11"/>
  <c r="B111" i="11" s="1"/>
  <c r="L20" i="6" s="1"/>
  <c r="B48" i="23"/>
  <c r="B124" i="26"/>
  <c r="B125" i="26" s="1"/>
  <c r="L25" i="25" s="1"/>
  <c r="C25" i="25"/>
  <c r="D25" i="25"/>
  <c r="H25" i="25"/>
  <c r="G25" i="25"/>
  <c r="I25" i="25"/>
  <c r="C49" i="21"/>
  <c r="F25" i="25"/>
  <c r="D55" i="22"/>
  <c r="D56" i="22"/>
  <c r="D57" i="22"/>
  <c r="D54" i="22"/>
  <c r="C39" i="25"/>
  <c r="C39" i="22"/>
  <c r="B278" i="26"/>
  <c r="B279" i="26" s="1"/>
  <c r="L39" i="25" s="1"/>
  <c r="C19" i="22"/>
  <c r="H39" i="25"/>
  <c r="C79" i="22"/>
  <c r="B114" i="21"/>
  <c r="G39" i="25"/>
  <c r="C49" i="22"/>
  <c r="B33" i="23"/>
  <c r="C29" i="22"/>
  <c r="C94" i="22"/>
  <c r="C89" i="22"/>
  <c r="B129" i="21"/>
  <c r="C54" i="22"/>
  <c r="C59" i="22"/>
  <c r="C84" i="22"/>
  <c r="C34" i="22"/>
  <c r="C64" i="22"/>
  <c r="C14" i="22"/>
  <c r="C9" i="22"/>
  <c r="C74" i="22"/>
  <c r="C24" i="22"/>
  <c r="C69" i="22"/>
  <c r="F39" i="25"/>
  <c r="B31" i="23"/>
  <c r="E39" i="25"/>
  <c r="C99" i="22"/>
  <c r="I39" i="25"/>
  <c r="C44" i="22"/>
  <c r="D39" i="25"/>
  <c r="B119" i="21"/>
  <c r="B194" i="11"/>
  <c r="B195" i="11" s="1"/>
  <c r="L32" i="6" s="1"/>
  <c r="D22" i="22"/>
  <c r="D21" i="22"/>
  <c r="D20" i="22"/>
  <c r="D19" i="22"/>
  <c r="F19" i="25"/>
  <c r="B45" i="23"/>
  <c r="I16" i="25"/>
  <c r="D19" i="25"/>
  <c r="B12" i="11"/>
  <c r="B13" i="11" s="1"/>
  <c r="L13" i="6" s="1"/>
  <c r="F16" i="25"/>
  <c r="B12" i="26"/>
  <c r="B13" i="26" s="1"/>
  <c r="L16" i="25" s="1"/>
  <c r="C14" i="21"/>
  <c r="G16" i="25"/>
  <c r="C19" i="25"/>
  <c r="E16" i="25"/>
  <c r="B19" i="22"/>
  <c r="H19" i="25"/>
  <c r="C16" i="25"/>
  <c r="B15" i="23"/>
  <c r="E19" i="25"/>
  <c r="D16" i="25"/>
  <c r="C74" i="21"/>
  <c r="G19" i="25"/>
  <c r="I19" i="25"/>
  <c r="H16" i="25"/>
  <c r="B39" i="21"/>
  <c r="B54" i="26"/>
  <c r="B55" i="26" s="1"/>
  <c r="L19" i="25" s="1"/>
  <c r="F35" i="25"/>
  <c r="C35" i="25"/>
  <c r="B49" i="22"/>
  <c r="C26" i="25"/>
  <c r="B138" i="26"/>
  <c r="B139" i="26" s="1"/>
  <c r="L26" i="25" s="1"/>
  <c r="H35" i="25"/>
  <c r="B236" i="26"/>
  <c r="B237" i="26" s="1"/>
  <c r="L35" i="25" s="1"/>
  <c r="C104" i="21"/>
  <c r="F26" i="25"/>
  <c r="D26" i="25"/>
  <c r="E35" i="25"/>
  <c r="G26" i="25"/>
  <c r="I26" i="25"/>
  <c r="H26" i="25"/>
  <c r="B149" i="21"/>
  <c r="E26" i="25"/>
  <c r="G35" i="25"/>
  <c r="B47" i="23"/>
  <c r="D35" i="25"/>
  <c r="I35" i="25"/>
  <c r="B96" i="11"/>
  <c r="B97" i="11" s="1"/>
  <c r="L19" i="6" s="1"/>
  <c r="B49" i="21"/>
  <c r="F18" i="25"/>
  <c r="B24" i="21"/>
  <c r="B40" i="26"/>
  <c r="B41" i="26" s="1"/>
  <c r="L18" i="25" s="1"/>
  <c r="G18" i="25"/>
  <c r="G17" i="25"/>
  <c r="H18" i="25"/>
  <c r="C18" i="25"/>
  <c r="C9" i="21"/>
  <c r="I18" i="25"/>
  <c r="E18" i="25"/>
  <c r="B16" i="23"/>
  <c r="B40" i="11"/>
  <c r="B41" i="11" s="1"/>
  <c r="L15" i="6" s="1"/>
  <c r="B26" i="26"/>
  <c r="B27" i="26" s="1"/>
  <c r="L17" i="25" s="1"/>
  <c r="E17" i="25"/>
  <c r="B14" i="22"/>
  <c r="F17" i="25"/>
  <c r="C17" i="25"/>
  <c r="D18" i="25"/>
  <c r="H17" i="25"/>
  <c r="I17" i="25"/>
  <c r="B14" i="21"/>
  <c r="D17" i="25"/>
  <c r="D50" i="22"/>
  <c r="D52" i="22"/>
  <c r="D49" i="22"/>
  <c r="D51" i="22"/>
  <c r="D62" i="22"/>
  <c r="D61" i="22"/>
  <c r="D60" i="22"/>
  <c r="E34" i="25"/>
  <c r="I34" i="25"/>
  <c r="C34" i="25"/>
  <c r="F34" i="25"/>
  <c r="H34" i="25"/>
  <c r="G34" i="25"/>
  <c r="B104" i="21"/>
  <c r="B222" i="26"/>
  <c r="B223" i="26" s="1"/>
  <c r="L34" i="25" s="1"/>
  <c r="B69" i="22"/>
  <c r="B109" i="21"/>
  <c r="D34" i="25"/>
  <c r="B25" i="23"/>
  <c r="B180" i="11"/>
  <c r="B181" i="11" s="1"/>
  <c r="L29" i="6" s="1"/>
  <c r="B99" i="21"/>
  <c r="D17" i="22"/>
  <c r="D16" i="22"/>
  <c r="D15" i="22"/>
  <c r="D72" i="22"/>
  <c r="B180" i="26"/>
  <c r="B181" i="26" s="1"/>
  <c r="L31" i="25" s="1"/>
  <c r="B152" i="11"/>
  <c r="B153" i="11" s="1"/>
  <c r="L27" i="6" s="1"/>
  <c r="H31" i="25"/>
  <c r="I31" i="25"/>
  <c r="D31" i="25"/>
  <c r="B69" i="21"/>
  <c r="B208" i="26"/>
  <c r="B209" i="26" s="1"/>
  <c r="L33" i="25" s="1"/>
  <c r="E33" i="25"/>
  <c r="B59" i="22"/>
  <c r="C33" i="25"/>
  <c r="F31" i="25"/>
  <c r="E31" i="25"/>
  <c r="D33" i="25"/>
  <c r="H33" i="25"/>
  <c r="G31" i="25"/>
  <c r="B29" i="23"/>
  <c r="B74" i="21"/>
  <c r="I33" i="25"/>
  <c r="B9" i="23"/>
  <c r="F33" i="25"/>
  <c r="G33" i="25"/>
  <c r="B89" i="21"/>
  <c r="C31" i="25"/>
  <c r="C32" i="25"/>
  <c r="G32" i="25"/>
  <c r="F32" i="25"/>
  <c r="C9" i="23"/>
  <c r="C99" i="21"/>
  <c r="B64" i="22"/>
  <c r="B94" i="21"/>
  <c r="I32" i="25"/>
  <c r="B166" i="11"/>
  <c r="B167" i="11" s="1"/>
  <c r="L28" i="6" s="1"/>
  <c r="C69" i="21"/>
  <c r="B30" i="23"/>
  <c r="B194" i="26"/>
  <c r="B195" i="26" s="1"/>
  <c r="L32" i="25" s="1"/>
  <c r="H32" i="25"/>
  <c r="D32" i="25"/>
  <c r="E32" i="25"/>
  <c r="D67" i="22"/>
  <c r="D11" i="23"/>
  <c r="D9" i="23"/>
  <c r="H44" i="25"/>
  <c r="G44" i="25"/>
  <c r="B74" i="22"/>
  <c r="B236" i="11"/>
  <c r="B237" i="11" s="1"/>
  <c r="L35" i="6" s="1"/>
  <c r="B64" i="21"/>
  <c r="E44" i="25"/>
  <c r="C44" i="25"/>
  <c r="B348" i="26"/>
  <c r="B349" i="26" s="1"/>
  <c r="L44" i="25" s="1"/>
  <c r="C114" i="21"/>
  <c r="F44" i="25"/>
  <c r="I44" i="25"/>
  <c r="D44" i="25"/>
  <c r="D77" i="22"/>
  <c r="D74" i="22"/>
  <c r="D76" i="22"/>
  <c r="D41" i="25"/>
  <c r="H42" i="25"/>
  <c r="C129" i="21"/>
  <c r="B320" i="26"/>
  <c r="B321" i="26" s="1"/>
  <c r="L42" i="25" s="1"/>
  <c r="B222" i="11"/>
  <c r="B223" i="11" s="1"/>
  <c r="L34" i="6" s="1"/>
  <c r="H41" i="25"/>
  <c r="B306" i="26"/>
  <c r="B307" i="26" s="1"/>
  <c r="L41" i="25" s="1"/>
  <c r="C30" i="23"/>
  <c r="G42" i="25"/>
  <c r="C44" i="21"/>
  <c r="I42" i="25"/>
  <c r="B84" i="22"/>
  <c r="C41" i="25"/>
  <c r="C124" i="21"/>
  <c r="E41" i="25"/>
  <c r="D42" i="25"/>
  <c r="C33" i="23"/>
  <c r="G41" i="25"/>
  <c r="F42" i="25"/>
  <c r="C42" i="25"/>
  <c r="I41" i="25"/>
  <c r="F41" i="25"/>
  <c r="C24" i="21"/>
  <c r="E42" i="25"/>
  <c r="C48" i="25"/>
  <c r="E48" i="25"/>
  <c r="D48" i="25"/>
  <c r="F48" i="25"/>
  <c r="C40" i="23"/>
  <c r="B390" i="26"/>
  <c r="B391" i="26" s="1"/>
  <c r="L48" i="25" s="1"/>
  <c r="G48" i="25"/>
  <c r="C48" i="23"/>
  <c r="C144" i="21"/>
  <c r="C45" i="23"/>
  <c r="C36" i="23"/>
  <c r="B99" i="22"/>
  <c r="I48" i="25"/>
  <c r="B264" i="11"/>
  <c r="B265" i="11" s="1"/>
  <c r="L39" i="6" s="1"/>
  <c r="C54" i="21"/>
  <c r="H48" i="25"/>
  <c r="D121" i="21"/>
  <c r="D33" i="23"/>
  <c r="D34" i="23"/>
  <c r="D42" i="22"/>
  <c r="D41" i="22"/>
  <c r="D92" i="22"/>
  <c r="D30" i="23"/>
  <c r="D29" i="23"/>
  <c r="D84" i="22"/>
  <c r="B404" i="26"/>
  <c r="B405" i="26" s="1"/>
  <c r="L49" i="25" s="1"/>
  <c r="E49" i="25"/>
  <c r="B36" i="23"/>
  <c r="E50" i="25"/>
  <c r="B278" i="11"/>
  <c r="B279" i="11" s="1"/>
  <c r="L40" i="6" s="1"/>
  <c r="D49" i="25"/>
  <c r="F50" i="25"/>
  <c r="H49" i="25"/>
  <c r="C36" i="25"/>
  <c r="B250" i="26"/>
  <c r="B251" i="26" s="1"/>
  <c r="L36" i="25" s="1"/>
  <c r="I36" i="25"/>
  <c r="I50" i="25"/>
  <c r="C109" i="21"/>
  <c r="I49" i="25"/>
  <c r="G50" i="25"/>
  <c r="B418" i="26"/>
  <c r="B419" i="26" s="1"/>
  <c r="L50" i="25" s="1"/>
  <c r="C49" i="25"/>
  <c r="H36" i="25"/>
  <c r="H50" i="25"/>
  <c r="D36" i="25"/>
  <c r="G49" i="25"/>
  <c r="D50" i="25"/>
  <c r="E36" i="25"/>
  <c r="F49" i="25"/>
  <c r="F36" i="25"/>
  <c r="G36" i="25"/>
  <c r="B89" i="22"/>
  <c r="C139" i="21"/>
  <c r="C50" i="25"/>
  <c r="H43" i="25"/>
  <c r="D40" i="25"/>
  <c r="C29" i="23"/>
  <c r="C43" i="25"/>
  <c r="I40" i="25"/>
  <c r="B292" i="26"/>
  <c r="B293" i="26" s="1"/>
  <c r="L40" i="25" s="1"/>
  <c r="D43" i="25"/>
  <c r="G40" i="25"/>
  <c r="I43" i="25"/>
  <c r="C119" i="21"/>
  <c r="B79" i="22"/>
  <c r="E40" i="25"/>
  <c r="F40" i="25"/>
  <c r="C40" i="25"/>
  <c r="G43" i="25"/>
  <c r="E43" i="25"/>
  <c r="H40" i="25"/>
  <c r="B124" i="21"/>
  <c r="F43" i="25"/>
  <c r="B334" i="26"/>
  <c r="B335" i="26" s="1"/>
  <c r="L43" i="25" s="1"/>
  <c r="B208" i="11"/>
  <c r="B209" i="11" s="1"/>
  <c r="L33" i="6" s="1"/>
  <c r="B134" i="21"/>
  <c r="C64" i="21"/>
  <c r="H28" i="25"/>
  <c r="B124" i="11"/>
  <c r="B125" i="11" s="1"/>
  <c r="L23" i="6" s="1"/>
  <c r="I28" i="25"/>
  <c r="E28" i="25"/>
  <c r="B152" i="26"/>
  <c r="B153" i="26" s="1"/>
  <c r="L28" i="25" s="1"/>
  <c r="B59" i="21"/>
  <c r="G28" i="25"/>
  <c r="F28" i="25"/>
  <c r="B54" i="21"/>
  <c r="D28" i="25"/>
  <c r="B13" i="23"/>
  <c r="B39" i="22"/>
  <c r="C28" i="25"/>
  <c r="D82" i="22"/>
  <c r="D26" i="21"/>
  <c r="D132" i="21"/>
  <c r="D25" i="21"/>
  <c r="D27" i="21"/>
  <c r="G24" i="25"/>
  <c r="E24" i="25"/>
  <c r="B19" i="21"/>
  <c r="B26" i="11"/>
  <c r="B27" i="11" s="1"/>
  <c r="L14" i="6" s="1"/>
  <c r="B9" i="22"/>
  <c r="B9" i="21"/>
  <c r="C24" i="25"/>
  <c r="C134" i="21"/>
  <c r="H24" i="25"/>
  <c r="C15" i="23"/>
  <c r="F24" i="25"/>
  <c r="B110" i="26"/>
  <c r="B111" i="26" s="1"/>
  <c r="L24" i="25" s="1"/>
  <c r="I24" i="25"/>
  <c r="D24" i="25"/>
  <c r="D9" i="21"/>
  <c r="D10" i="21"/>
  <c r="D12" i="22"/>
  <c r="D9" i="22"/>
  <c r="D11" i="22"/>
  <c r="D10" i="22"/>
  <c r="D19" i="23"/>
  <c r="D16" i="23"/>
  <c r="D20" i="23"/>
  <c r="D15" i="23"/>
  <c r="D17" i="23"/>
  <c r="D18" i="23"/>
  <c r="F29" i="25"/>
  <c r="B166" i="26"/>
  <c r="B167" i="26" s="1"/>
  <c r="L29" i="25" s="1"/>
  <c r="H29" i="25"/>
  <c r="B138" i="11"/>
  <c r="B139" i="11" s="1"/>
  <c r="L24" i="6" s="1"/>
  <c r="I29" i="25"/>
  <c r="G29" i="25"/>
  <c r="C29" i="25"/>
  <c r="C59" i="21"/>
  <c r="D29" i="25"/>
  <c r="E29" i="25"/>
  <c r="B44" i="22"/>
  <c r="C19" i="21"/>
  <c r="C13" i="23"/>
  <c r="D22" i="21"/>
  <c r="D13" i="23"/>
  <c r="D47" i="23"/>
  <c r="D44" i="22"/>
  <c r="D47" i="22"/>
  <c r="D46" i="22"/>
  <c r="D45" i="22"/>
  <c r="H37" i="25"/>
  <c r="B82" i="11"/>
  <c r="B83" i="11" s="1"/>
  <c r="L18" i="6" s="1"/>
  <c r="B264" i="26"/>
  <c r="B265" i="26" s="1"/>
  <c r="L37" i="25" s="1"/>
  <c r="F21" i="25"/>
  <c r="C21" i="25"/>
  <c r="G37" i="25"/>
  <c r="C37" i="25"/>
  <c r="E37" i="25"/>
  <c r="C39" i="21"/>
  <c r="F37" i="25"/>
  <c r="B44" i="21"/>
  <c r="I21" i="25"/>
  <c r="E21" i="25"/>
  <c r="B68" i="26"/>
  <c r="B69" i="26" s="1"/>
  <c r="L21" i="25" s="1"/>
  <c r="G21" i="25"/>
  <c r="C22" i="23"/>
  <c r="B34" i="22"/>
  <c r="I37" i="25"/>
  <c r="B34" i="21"/>
  <c r="H21" i="25"/>
  <c r="D37" i="25"/>
  <c r="C25" i="23"/>
  <c r="D21" i="25"/>
  <c r="D26" i="23"/>
  <c r="D27" i="23"/>
  <c r="D25" i="23"/>
  <c r="E22" i="25"/>
  <c r="C94" i="21"/>
  <c r="B54" i="11"/>
  <c r="B55" i="11" s="1"/>
  <c r="L16" i="6" s="1"/>
  <c r="B29" i="21"/>
  <c r="D22" i="25"/>
  <c r="F22" i="25"/>
  <c r="H22" i="25"/>
  <c r="C22" i="25"/>
  <c r="G22" i="25"/>
  <c r="B82" i="26"/>
  <c r="B83" i="26" s="1"/>
  <c r="L22" i="25" s="1"/>
  <c r="I22" i="25"/>
  <c r="B24" i="22"/>
  <c r="B22" i="23"/>
  <c r="D29" i="22"/>
  <c r="D32" i="22"/>
  <c r="D31" i="22"/>
  <c r="D30" i="22"/>
  <c r="D43" i="23"/>
  <c r="D40" i="23"/>
  <c r="D37" i="23"/>
  <c r="D42" i="23"/>
  <c r="D38" i="23"/>
  <c r="D36" i="23"/>
  <c r="D41" i="23"/>
  <c r="B29" i="22"/>
  <c r="C34" i="21"/>
  <c r="C89" i="21"/>
  <c r="E23" i="25"/>
  <c r="B68" i="11"/>
  <c r="B69" i="11" s="1"/>
  <c r="L17" i="6" s="1"/>
  <c r="B96" i="26"/>
  <c r="B97" i="26" s="1"/>
  <c r="L23" i="25" s="1"/>
  <c r="G23" i="25"/>
  <c r="I23" i="25"/>
  <c r="C23" i="25"/>
  <c r="D23" i="25"/>
  <c r="C29" i="21"/>
  <c r="H23" i="25"/>
  <c r="B23" i="23"/>
  <c r="F23" i="25"/>
  <c r="C46" i="25"/>
  <c r="B40" i="23"/>
  <c r="I47" i="25"/>
  <c r="D47" i="25"/>
  <c r="B144" i="21"/>
  <c r="G47" i="25"/>
  <c r="I46" i="25"/>
  <c r="B250" i="11"/>
  <c r="B251" i="11" s="1"/>
  <c r="L38" i="6" s="1"/>
  <c r="B376" i="26"/>
  <c r="B377" i="26" s="1"/>
  <c r="L47" i="25" s="1"/>
  <c r="F46" i="25"/>
  <c r="C47" i="23"/>
  <c r="F47" i="25"/>
  <c r="E46" i="25"/>
  <c r="H47" i="25"/>
  <c r="B94" i="22"/>
  <c r="H46" i="25"/>
  <c r="G46" i="25"/>
  <c r="D46" i="25"/>
  <c r="B362" i="26"/>
  <c r="B363" i="26" s="1"/>
  <c r="L46" i="25" s="1"/>
  <c r="B37" i="23"/>
  <c r="C47" i="25"/>
  <c r="B139" i="21"/>
  <c r="E47" i="25"/>
  <c r="C149" i="21"/>
  <c r="D35" i="22"/>
  <c r="D34" i="22"/>
  <c r="D37" i="22"/>
  <c r="D36" i="22"/>
  <c r="D22" i="23"/>
</calcChain>
</file>

<file path=xl/sharedStrings.xml><?xml version="1.0" encoding="utf-8"?>
<sst xmlns="http://schemas.openxmlformats.org/spreadsheetml/2006/main" count="2434" uniqueCount="1016">
  <si>
    <t>Tahu akan tujuan yang ingin dicapainya dan dapat merumuskannya; realistis akan kemampuan diri; dan berusaha untuk mencapai target.</t>
  </si>
  <si>
    <t>A</t>
  </si>
  <si>
    <t>N</t>
  </si>
  <si>
    <t>G</t>
  </si>
  <si>
    <t>C</t>
  </si>
  <si>
    <t>D</t>
  </si>
  <si>
    <t>Komitmen tinggi, lebih suka menangani pekerjaan satu demi satu, akan tetapi jika memungkinkan akan mendelegasikan sebagian dari pekerjaannya kepada orang lain.</t>
  </si>
  <si>
    <t>Cukup memiliki komitmen untuk menuntaskan tugas, akan tetapi jika memungkinkan akan mendelegasikan sebagain dari pekerjaannya kepada orang lain.</t>
  </si>
  <si>
    <t>Bekerja keras sesuai tuntutan, menyalurkan usahanya untuk hal-hal yang bermanfaat atau menguntungkan.</t>
  </si>
  <si>
    <t>Bekerja keras tetapi jelas tujuan yang ingin dicapainya.</t>
  </si>
  <si>
    <t>Memperhatikan keteraturan dan sistematika kerja tapi cukup fleksibel.</t>
  </si>
  <si>
    <t>Fleksibel tapi masih cukup memperhatikan keteraturan atau sistematika kerja.</t>
  </si>
  <si>
    <t>Tertarik untuk menangani sendiri detil.</t>
  </si>
  <si>
    <t>Cukup peduli akan akurasi dan kelengkapan data.</t>
  </si>
  <si>
    <t>R</t>
  </si>
  <si>
    <t>Cukup aktif dalam segi mental, dapat menyesuaikan tempo kerjanya dengan tuntutan pekerjaan/lingkungan.</t>
  </si>
  <si>
    <t>T</t>
  </si>
  <si>
    <t>V</t>
  </si>
  <si>
    <t>Dapat bekerja di belakang meja dan senang jika sesekali harus terjun ke lapangan atau melaksanakan tugas-tugas yang bersifat mobil.</t>
  </si>
  <si>
    <t>W</t>
  </si>
  <si>
    <t>Membutuhkan uraian rinci mengenai tugas dan batasan tanggung jawab serta wewenang.</t>
  </si>
  <si>
    <t>Perlu pengarahan awal dan tolok ukur keberhasilan.</t>
  </si>
  <si>
    <t>F</t>
  </si>
  <si>
    <t>Loyal pada perusahaan</t>
  </si>
  <si>
    <t>Loyal pada pribadi atasan</t>
  </si>
  <si>
    <t>L</t>
  </si>
  <si>
    <t>Percaya diri dan ingin berperan sebagai pemimpin.</t>
  </si>
  <si>
    <t>Cukup percaya diri, tidak secara aktif mencari posisi kepemimpinan, akan tetapi juga tidak akan menghindarinya.</t>
  </si>
  <si>
    <t>Kurang percaya diri dan tidak ingin memimpin atau mengawasi orang lain.</t>
  </si>
  <si>
    <t>Tidak percaya diri dan tidak ingin memimpin atau mengawsi orang lain.</t>
  </si>
  <si>
    <t>P</t>
  </si>
  <si>
    <t>Dominan dan bertanggung jawab, akan melakukan fungsi pengrahan, pengendalian dan pengawasan.</t>
  </si>
  <si>
    <t xml:space="preserve">Bertanggung jawab, akan melakukan fungsi pengarahan, pengendalian dan pengawasan tapi tidak mendominasi. </t>
  </si>
  <si>
    <t>Cenderung enggan melakukan fungsi pengarahan, pengendalian, dan pengawasan; kurang aktif memanfaatkan kapasitas bawahan secara optimal; cenderung bekerja sendiri dslam mencapai tujuan kelompok.</t>
  </si>
  <si>
    <t>Enggan mengontrol orang lain dan tidak mau mempertanggung jawabkan hasil kerja bawahannya; lebih memberikan kebebasan kepada bawahan untuk memilih cara sendiri dalam penyelesaian tugas dan meminta bawahan untuk mempertanggung jawabkan hasilnya masing-masing.</t>
  </si>
  <si>
    <t>I</t>
  </si>
  <si>
    <t>Cukup percaya diri dalam mengambil keputusan, mau mengambil resiko, dapat memutuskan dengan cepat, mengikuti alur logika.</t>
  </si>
  <si>
    <t>Berhati-hati dalam pengambilan keputusan.</t>
  </si>
  <si>
    <t>Enggan mengambil keputusan.</t>
  </si>
  <si>
    <t>S</t>
  </si>
  <si>
    <t>Kurang pracaya diri dan kurang aktif dalam menjalin hubungan social.</t>
  </si>
  <si>
    <t>B</t>
  </si>
  <si>
    <t>Selektif dalam bergabung dengan kelompok, hanya mau berhubungan dengan kelompok di lingkungan kerja apabila bernilai dan sesuai minat, tidak terlalu mudah dipangaruhi.</t>
  </si>
  <si>
    <t>O</t>
  </si>
  <si>
    <t>Tidak mencari atau menghindari hubungan antar pribadi di lingkungan kerja, masih mampu menjaga jarak.</t>
  </si>
  <si>
    <t>X</t>
  </si>
  <si>
    <t>Mengharapkan pengakuan lingkungan dan tidak mau diabaikan, tapi tidak mencari-cari perhatian.</t>
  </si>
  <si>
    <t>Sederhana, cenderung diam, cenderung pemalu, tidak suka menonjokan diri.</t>
  </si>
  <si>
    <t>E</t>
  </si>
  <si>
    <t>Mampu mengungkap atau menyimpan perasaan, dapat mengendalikan emosi.</t>
  </si>
  <si>
    <t>Terbuka, mudah mengungkap pendapat atau perasaannya mengenai suatu hal kepada orang lain.</t>
  </si>
  <si>
    <t>K</t>
  </si>
  <si>
    <t>Akan menghadapi konflik, mengungkapkan serta memaksakan pandangan dengan cara positif.</t>
  </si>
  <si>
    <t>Tidak mencari atau menghindari konflik, mau mendengarkan pandangan orang lain, tapi dapat menjadi keras kepala saat mempertahankan pandangannya.</t>
  </si>
  <si>
    <t>Lebih suka menghindari konflik, akan mencari rasionalisasi untuk dapat menerima situasi dan melihat permasalahan dari sudut pandang orang lain.</t>
  </si>
  <si>
    <t>Z</t>
  </si>
  <si>
    <t>Antusias terhadap perubahan dan akan mencari hal-hal baru, tapi masih selektif (menilai manfaatnya).</t>
  </si>
  <si>
    <t>Mudah beradaptasi, cukup menyukai perubahan.</t>
  </si>
  <si>
    <t>Enggan berubah, tidak siap untuk beradaptasi, hanya mau menerima perubahan jika alasannya jelas dan meyakinkan.</t>
  </si>
  <si>
    <t>(+) Memiliki komitmen yang sangat tinggi terhadap tugas; sangat ingin menyelesaikan tugas; tekun dan tuntas dalam menangani pekerjaan; menangani tugas satu demi satu sampai tuntas.                                                                                                                                        (-) Perhatian terpaku pada satu tugas, sulit menangani beberapa pekerjaan sekaligus; tidak mudah memberikan toleransi pada interupsi; tidak melihat masalah sampingan.</t>
  </si>
  <si>
    <t>(+) Ingin tampil sebagai pekerja keras dan sangat suka jika orang lain memandangnya sebagai pekerja keras.                                                                                      (-) Cenderung menciptakan pekerjaan yang tidak perlu agar tetap terlihat sibuk; kadangkala tanpa tujuan yang jelas.</t>
  </si>
  <si>
    <t>(+) Santai, kerja adalah sesuatu yang menyenangkan bukan beban yang membutuhkan usaha besar, mungkin termotivasi untuk mencari cara atau system yang dapat mempermudah dirinya dalam menyelesaikan pekerjaan.                                                                                        (-) Akan berusaha menghindari kerja keras, sehingga dapat memberikan kesan malas.</t>
  </si>
  <si>
    <t>(+) Sistematis, bermetoda, berstruktur, rapid an teratur, dapat menata tugas dengan baik.                                                                                                                   (-) Cenderung kaku, tidak fleksibel.</t>
  </si>
  <si>
    <t xml:space="preserve">(+) Lebih mementingkan fleksibilitas daripada struktur-pendekatan terhadap kerja lebih ditentukan oleh situasi daripada oleh perencanaan sebelumnya; mudah beradaptasi dan tidak kaku.                                                                                                                                                                                          (-) Tidak memperdulikan keteraturan, kerapian; ceroboh. </t>
  </si>
  <si>
    <t>(+) Sangat menyukai detil; sangat peduli akan akurasi dan kelengkapan data.                                                                                                                                                           (-) Cenderung terlalu terlibat dengan detil, sehingga melupakan tujuan utama.</t>
  </si>
  <si>
    <t>(+) Melihat pekerjaan secara luas/makro; bisa membedakan hal yang penting dari yang kurang/tidak penting; akan mendelegasikan detil kepada orang lain; generalis.                                                                                                                                                                                                                                          (-) Menghindari detil, konsekuensinya mungkin akan bertindak tanpa data yang cukup atau akurat; dapat bertindak ceroboh pada hal-hal yang membutuhkan kecermatan/ketelitian; dapat mengabaikan proses yang sangat vital dalam evaluasi data.</t>
  </si>
  <si>
    <t>Suka memikirkan suatu problem secara mendalam, merujuk pada teori dan konsep.</t>
  </si>
  <si>
    <t>Pertimbangan mencakup aspek teoritis (konsep atau pemikiran baru) dan aspek praktis (pengalaman) secara berimbang.</t>
  </si>
  <si>
    <t>(+) Tipe pemikir, sangat berminat pada gagasan, konsep, teori, mencari alternatif-alternatif baru, menyukai perencanaan.                                              (-) Mungkin sulit dimengerti oleh orang lain; terlalu teoritis tidak praktis; terlalu menerawang; berbelit-belit.</t>
  </si>
  <si>
    <t>(+) Tipe pemikir, sangat berminat pada gagasan, konsep, teori, mencari alternatif-alternatif baru, menyukai perencanaan.                                                         (-) Mungkin sulit dimengerti oleh orang lain; terlalu teoritis tidak praktis; terlalu menerawang; berbelit-belit.</t>
  </si>
  <si>
    <t>(+) Tipe pelaksana, bukan perencana, praktis, pragmatis, mengandalkan pengalaman masa lau dan intuisi.                                                               (-) Bekerja tanpa perencanaan, mengandalkan perasaan.</t>
  </si>
  <si>
    <t>(+) Cekatan, selalu siaga, bekerja cepat, merasa digesa-gesa untuk segera menyelesaikan tugas.                                                                    (-) Tegang, cemas, impulsive, munkin ceroboh, banyak gerakan yang tidak perlu.</t>
  </si>
  <si>
    <t>(+) Menyukai aktivitas fisik termasuk olahraga, enerjik, memiliki stamina untuk menangani tugas-tugas berat; tidak mudah lelah.                                                                                                                                                                                                                                                                                               (-) Tidak betah duduk lama/kurang dapat berkonsentrasi di belakang meja.</t>
  </si>
  <si>
    <t>(+) Cocok untuk pekerjaan di belakang meja.                                                                                                                                                                                                                                                           (-) Lamban, tidak tanggap, mudah lelah, daya tahan fisik lemah.</t>
  </si>
  <si>
    <t>(+) Patuh pada kebijakan, peraturan dan struktur organisasi.                                                                                                                                                                                                                  (-) Ingin segala sesuatunya diuraikan secara rinci; kurang memiliki inisiatif; tidak fleksibel, terlau tergantung pada organisasi; berharap ’disuapi’ instruksi.</t>
  </si>
  <si>
    <t>(+) Hanya butuh gambaran tentang kerangka tugas secara garis besar, berpatoka pada tujuan; dapat bekerja di dalam suasana yang tidak/kurang berstruktur; berinisiatif; mandiri.                                                                                                                                                               (-) Tidak patuh, cenderung mengabaikan/tidak memahami pentingnya peraturan atau prosedur, suka menciptakan peraturan sendiri yang mungkin bertentangan dengan peraturan yang telah ada.</t>
  </si>
  <si>
    <t>(+) Loyal; berusaha dekat dengan pribadi atasan, ingin menyenangkan atasan, sadar akan harapan atasan atas dirinya.                                 (-) Terlalu memperhatikan cara menyenangkan atasan, tidak berani berpendirian lain, tidak mandiri</t>
  </si>
  <si>
    <t>(+) Otonom, dapat bekerja sendiri tanpa campur tangan orang lain, motivasi timbul karena tuga situ sendiri bukan karena pujian dari otoritas.                                                                                                                                                                                                                                                                      (-) Mempertanyakan otoritas, cenderung tidak puas terhadap atasan, loyalitas lebih didasari kepentingan pribadi.</t>
  </si>
  <si>
    <t>(+) Sangat percaya diri untuk berperan sebagai pemimpin dan sangat mendambakan posisi kepemimpinan.                                                             (-) Lebih mementingkan citra dan status kepemimpinannya daripada efektivitas kelompk; mungkin akan tampil angkuh atau terlalu percaya diri.</t>
  </si>
  <si>
    <t>(+) Puas dengan peran sebagai bawahan, memberikan kesempatan pada orang lain untuk mempinpin, tidak mendominasi orang lain.                                                                                                                                                                                                                                                                            (-) Tidak percaya diri, sama sekali tidak berminta untuk berperan sebagai pemimpin, pasif dalam situasi kelompok.</t>
  </si>
  <si>
    <t>(+) Sangat dominant, suka mempengaruhi dan mengawsi orang lain dna bertanggung jawab atas tindakan dan hasil kerja bawahan.                                                                                                                                                                                                                                                                                          (-) Posesif, tidak ingin berada di bawah control orang lain, cemas bila tidak berada dalam posisi sebagai pemimpin; mungkin sulit bekerja sama dengan rekan yang sejajar kedudukannya.</t>
  </si>
  <si>
    <t>(+) Permisif, akan memberikan kesempatan pada orang lain untuk memimpin.                                                                                                                                                                                                         (-) Tidak mau mengontrol orang lain dan tidak mau mempertanggung jawabkan hasil kerja bawahannya.</t>
  </si>
  <si>
    <t>(+) Sangat yakin dalam pengambilan keputusan, cepat tanggap terhadap situasi, berani mengambil resiko, mau memanfaatkan kesempatan.                                                                                                                                                                                                                                                      (-) Impulsif, dapat membuat keputusan yang tidak praktis atau tidak ekonomis; cenderung lebih mementingkan kecepatan daripada akurasi; tidak sabar,cenderung meloncat pada keputusan.</t>
  </si>
  <si>
    <t>(+) Sangat berhati-hati; memikirkan langkah-langkahnya secara bersungguh-sungguh.                                                                                                         (-) Lamban dalam mengambil keputusan, terlalu lama marenung, cenderung menghindar mengambil suatu keputusan.</t>
  </si>
  <si>
    <t xml:space="preserve">(+) Percaya diri dan sangat senang bergaul, menyukai interaksi social, bias menciptakan suasana yang menyenangkan, mempunyai inisiatif dan mampu menjalin hubungan dan komunikasi, memperhatikan orang lain.                                                                                      (-) Mungkin membuang-buang waktu untuk aktivitas social, kurang peduli akan penyelesaian tugas. </t>
  </si>
  <si>
    <t>(+) Dapat bekerja sendiri, tidak memerlukan kehadiran orang lain.                                                                                                                                                                                                              (-) Menarik diri, kaku dalam bergaul, ricuh/canggung dalam suasana sosial, lebih memperhatikan hal-hal lain daripada manusia.</t>
  </si>
  <si>
    <t>(+) Suka bergabung dengan kelompok, sadar akan sikap dan kebutuhan kelompok, suka bekerja bersama orang lain, ingin menjadi bagian dari kelompok, ingin disukai dan diakui oleh lingkungan.                                                                                                                                    (-) Sangat tergantung pada kelompok, dapat menajdi lebih memperhatikan kebutuhan kelompok daripada kebutuhan pekerjaan.</t>
  </si>
  <si>
    <t>(+) Mandiri dalam segi emosi, tidak mudah dipangaruhi oleh tekanan kelompok.                                                                                                                                          (-) Penyendiri, kurang peka akan sikap dan kebutuhan kelompok, mungkin sulit menyesuaikan diri.</t>
  </si>
  <si>
    <t>(+) Peka akan kebutuhan orang lain, snagat memikirkan hal-hal yang dianggap penting oleh orang lain, suka menjalin hubungan persahabatan yang hangat dan tulus.                                                                                                                                                                                                         (-) Sangat perasa, mudah tersinggung; cenderung bias/subyektif dalam berhubungan dengan orang lain; dapat terlibat terlalu dalam/intim dengan individu tertentu di lingkungan kerja; sangat tergantung pada individu tertentu.</t>
  </si>
  <si>
    <t>(+) Menjaga jarak dalam hubungan dengan individu, lebih memperhatikan hal-hal yang bersifat dinas, tidak mudah dipengaruhi oleh individu tertentu, obyektif dan analitis.                                                                                                                                                                                    (-) Tampil dingin, tidak acuh, tidak ramah, suka berahasia, mungkin tidak sadar akan perasaan orang lain, dan mungkin dapat mengalami masalah kecocokan dengan orang lain.</t>
  </si>
  <si>
    <t>(+) Sederhana, rendah hati, tulus, tidak suka sombong, tidak salah menampilkan diri.                                                                                                                              (-) Terlalu sederhana, cenderung merendahkan kapasitas diri, tidak mencerminkan kepercayaan diri, cenderung menarik diri, pemalu.</t>
  </si>
  <si>
    <t>(+) Mampu menyimpan pendapat atau perasaannya bagi dirinya sendiri, tenang, dapat mengendalikan emosi, menjaga jarak.                               (-)  Mungkin tampil pasif dan tak acuh; mungkin sulit mengungkapkan emosi, perasaan, pandangan.</t>
  </si>
  <si>
    <t>(+) Sangat terbuka, terus terang, mudah terbaca (dari air muka, tindakan, perkataan, sikap).                                                                                                          (-) Tidak mudah mengendalikan emosi, cepat bereaksi, kurang mengindahkan/tidak mempunyai nilai yang mengharuskannya menahan emosi.</t>
  </si>
  <si>
    <t>(+) Terbuka, jujur, terus terang, asertif.                                                                                                                                                                                                                (-) Agresif, reaktif, mudah tersinggung, mudah meledak, curiga, berprasangka, suka berkelahi/berkonfrontasi, berpikir negative.</t>
  </si>
  <si>
    <t>(+) Sangat menyukai perubahan, gagasan baru, variasi; aktif mencari perubahan, antusias dengan hal-hal baru, fleksibel dalam berpikir; mudah beradaptasi dengan situasi berbeda-beda.                                                                                                                                                                          (-) Gelisah, frustasi, mudah bosan; sangat membutuhkan variasi, tidak mneyukai tugas/situasi yang berisfat rutin/monoton.</t>
  </si>
  <si>
    <t>(+) Mudah beradaptasi dengan rutin tanpa merasa bosan; tidak membutuhkan variasi; menyukai lingkungan yang stabil dan tidak berubah.                                                                                                                                                                                                                                                                         (-) Konservatif, menolak perubahan, sulit menerima hal-hal baru, tidak dapat beradaptasi dengan situasi yang berbeda-beda.</t>
  </si>
  <si>
    <t>Pekerja keras yang sangat tekun, konsisten, tuntas.</t>
  </si>
  <si>
    <t>Santai dan senang menangani beberapa tugas sekaligus tapi tidak tuntas.</t>
  </si>
  <si>
    <t>Santai tapi konsisten, dapat diandalkan untuk menuntaskan tugas.</t>
  </si>
  <si>
    <t>Pekerja keras yang obyektif.</t>
  </si>
  <si>
    <t>Menghindari kerja, bermain dengan hubungan pribadi.</t>
  </si>
  <si>
    <t>Dapat diandalkan untuk menuntaskan tugas yang didelegasikan.</t>
  </si>
  <si>
    <t>Membutuhkan pengawasan secara konstan; jika pengawasan longgar, mungkin tidak melanjutkan kerja; paling baik jika diberikan tugas satu demi satu.</t>
  </si>
  <si>
    <t>Sangat menghormati atasan tapi dengan memendam rasa permusuhan.</t>
  </si>
  <si>
    <t>Rendah hati, sederhana, menghormati dan suka memuji-muji atasan.</t>
  </si>
  <si>
    <t>Menolak otoritas.</t>
  </si>
  <si>
    <t>Lamban dan mudah lelah.</t>
  </si>
  <si>
    <t>Menggunakan energi mental secara efisien.</t>
  </si>
  <si>
    <t>Menggunakan energi fisik secara efisien.</t>
  </si>
  <si>
    <t>Pemimpin yang sangat percaya diri dan bangga terhadap dirinya.</t>
  </si>
  <si>
    <t>Merenung, sulit membuat keputusan dengan cepat.</t>
  </si>
  <si>
    <t>Tertutup, merasa lebih asyik bekerja daripada bergaul.</t>
  </si>
  <si>
    <t>Berinteraksi secara kuat dan efektif dengan kelompok.</t>
  </si>
  <si>
    <t>Penyendiri</t>
  </si>
  <si>
    <t>Suka bergaul dengan semua orang, tapi obyektif.</t>
  </si>
  <si>
    <t>Menjalin hubungan yang lugas dengan kelompok.</t>
  </si>
  <si>
    <t>Tertutup dan dingin.</t>
  </si>
  <si>
    <t>Memiliki komitmen yang rendah, baik pada kelompok maupun pekerjaan.</t>
  </si>
  <si>
    <t>Lebih berorientasi pada pekerjaan daripada kelompok; akan berpegang pada pendiriannya, sekalipun bertentangan dengan gagasan kelompok.</t>
  </si>
  <si>
    <t>Tidak sabaran tapi disembunyikan.</t>
  </si>
  <si>
    <t>Tenang, konsisten, dapat dipercaya.</t>
  </si>
  <si>
    <t>Mudah tersinggung.</t>
  </si>
  <si>
    <t>SIKAP KERJA</t>
  </si>
  <si>
    <t>PERAN SEBAGAI BAWAHAN</t>
  </si>
  <si>
    <t>PERAN SEBAGAI ATASAN</t>
  </si>
  <si>
    <t>HUBUNGAN SOSIAL</t>
  </si>
  <si>
    <t>TEMPERAMEN</t>
  </si>
  <si>
    <t>I. RANGE ANALYSIS</t>
  </si>
  <si>
    <t>X0</t>
  </si>
  <si>
    <t>D0</t>
  </si>
  <si>
    <t>P0</t>
  </si>
  <si>
    <t>E0</t>
  </si>
  <si>
    <t>(+) Sangat berambisi untuk berpretasi; sangat ingin menjadi terbaik; menyukai tantangan; cenderung mengejar kesempurnaan; menetapkan target yang tinggi bagi dirinya dan orang lain; self starter; merumuskan tujuan kerjanya dengan baik. (-)  Tidak realistis akan kemampuan diri; sulit dipuaskan; mudah kecewa; harapannya yang tinggi dapat mengganggu orang lain.</t>
  </si>
  <si>
    <t>(+) Tidak kompetitif; mapan; puas.  (-) Tidak terdorong untuk menghasilkan prestasi; tidak berusaha untuk mencapai sukses; membutuhkan dorongan dari luar dirinya; tidak berinisiatif; tidak memaafkan kemampuan diri secara optimal; dapat merupakan refleksi keraguan akan tujuan, misalnya sebagai hasil suatu promosi atau perubahan struktur jabatan.</t>
  </si>
  <si>
    <t>(+) Sangat berambisi untuk berpretasi; sangat ingin menjadi terbaik; menyukai tantangan; cenderung mengejar kesempurnaan; menetapkan target yang tinggi bagi dirinya dan orang lain; self starter; merumuskan tujuan kerjanya dengan baik. (-) Tidak realistis akan kemampuan diri; sulit dipuaskan; mudah kecewa; harapannya yang tinggi dapat mengganggu orang lain.</t>
  </si>
  <si>
    <t>A9</t>
  </si>
  <si>
    <t>A8</t>
  </si>
  <si>
    <t>A7</t>
  </si>
  <si>
    <t>A6</t>
  </si>
  <si>
    <t>A5</t>
  </si>
  <si>
    <t>A4</t>
  </si>
  <si>
    <t>A3</t>
  </si>
  <si>
    <t>A2</t>
  </si>
  <si>
    <t>A1</t>
  </si>
  <si>
    <t>A0</t>
  </si>
  <si>
    <t>ISI</t>
  </si>
  <si>
    <t>N3</t>
  </si>
  <si>
    <t>N9</t>
  </si>
  <si>
    <t>N8</t>
  </si>
  <si>
    <t>N7</t>
  </si>
  <si>
    <t>N6</t>
  </si>
  <si>
    <t>N5</t>
  </si>
  <si>
    <t>N4</t>
  </si>
  <si>
    <t>N2</t>
  </si>
  <si>
    <t>N1</t>
  </si>
  <si>
    <t>N0</t>
  </si>
  <si>
    <t>G0</t>
  </si>
  <si>
    <t>G1</t>
  </si>
  <si>
    <t>G2</t>
  </si>
  <si>
    <t>G3</t>
  </si>
  <si>
    <t>G4</t>
  </si>
  <si>
    <t>G5</t>
  </si>
  <si>
    <t>G6</t>
  </si>
  <si>
    <t>G7</t>
  </si>
  <si>
    <t>G8</t>
  </si>
  <si>
    <t>G9</t>
  </si>
  <si>
    <t>C0</t>
  </si>
  <si>
    <t>C1</t>
  </si>
  <si>
    <t>C2</t>
  </si>
  <si>
    <t>C3</t>
  </si>
  <si>
    <t>C4</t>
  </si>
  <si>
    <t>C5</t>
  </si>
  <si>
    <t>C6</t>
  </si>
  <si>
    <t>C7</t>
  </si>
  <si>
    <t>C8</t>
  </si>
  <si>
    <t>C9</t>
  </si>
  <si>
    <t>D1</t>
  </si>
  <si>
    <t>D2</t>
  </si>
  <si>
    <t>D3</t>
  </si>
  <si>
    <t>D4</t>
  </si>
  <si>
    <t>D5</t>
  </si>
  <si>
    <t>D6</t>
  </si>
  <si>
    <t>D7</t>
  </si>
  <si>
    <t>D8</t>
  </si>
  <si>
    <t>D9</t>
  </si>
  <si>
    <t>R0</t>
  </si>
  <si>
    <t>R1</t>
  </si>
  <si>
    <t>R2</t>
  </si>
  <si>
    <t>R3</t>
  </si>
  <si>
    <t>R4</t>
  </si>
  <si>
    <t>R5</t>
  </si>
  <si>
    <t>R6</t>
  </si>
  <si>
    <t>R7</t>
  </si>
  <si>
    <t>R8</t>
  </si>
  <si>
    <t>R9</t>
  </si>
  <si>
    <t>(+) Santai.                                                                                                                                                                                                                                                                                             (-) Kurang peduli akan waktu; kurang memiliki rasa urgensi; membuang-buang waktu; bukan pekerja yang tepat waktu.</t>
  </si>
  <si>
    <t>(+) Santai.                                                                                                                                                                                                                                                                                                         (-) Kurang peduli akan waktu; kurang memiliki rasa urgensi; membuang-buang waktu; bukan pekerja yang tepat waktu.</t>
  </si>
  <si>
    <t>(+) Santai.                                                                                                                                                                                                                                                                                                                   (-) Kurang peduli akan waktu; kurang memiliki rasa urgensi; membuang-buang waktu; bukan pekerja yang tepat waktu.</t>
  </si>
  <si>
    <t>(+) Santai.                                                                                                                                                                                                                                                                                                                  (-) Kurang peduli akan waktu; kurang memiliki rasa urgensi; membuang-buang waktu; bukan pekerja yang tepat waktu.</t>
  </si>
  <si>
    <t>T0</t>
  </si>
  <si>
    <t>T1</t>
  </si>
  <si>
    <t>T2</t>
  </si>
  <si>
    <t>T3</t>
  </si>
  <si>
    <t>T4</t>
  </si>
  <si>
    <t>T5</t>
  </si>
  <si>
    <t>T6</t>
  </si>
  <si>
    <t>T7</t>
  </si>
  <si>
    <t>T8</t>
  </si>
  <si>
    <t>T9</t>
  </si>
  <si>
    <t>V0</t>
  </si>
  <si>
    <t>V1</t>
  </si>
  <si>
    <t>V2</t>
  </si>
  <si>
    <t>V3</t>
  </si>
  <si>
    <t>V4</t>
  </si>
  <si>
    <t>V5</t>
  </si>
  <si>
    <t>V6</t>
  </si>
  <si>
    <t>V7</t>
  </si>
  <si>
    <t>V8</t>
  </si>
  <si>
    <t>V9</t>
  </si>
  <si>
    <t>W0</t>
  </si>
  <si>
    <t>W1</t>
  </si>
  <si>
    <t>W2</t>
  </si>
  <si>
    <t>W3</t>
  </si>
  <si>
    <t>W4</t>
  </si>
  <si>
    <t>W5</t>
  </si>
  <si>
    <t>W6</t>
  </si>
  <si>
    <t>W7</t>
  </si>
  <si>
    <t>W8</t>
  </si>
  <si>
    <t>W9</t>
  </si>
  <si>
    <t>F0</t>
  </si>
  <si>
    <t>F1</t>
  </si>
  <si>
    <t>F2</t>
  </si>
  <si>
    <t>F3</t>
  </si>
  <si>
    <t>F4</t>
  </si>
  <si>
    <t>F5</t>
  </si>
  <si>
    <t>F6</t>
  </si>
  <si>
    <t>F7</t>
  </si>
  <si>
    <t>F8</t>
  </si>
  <si>
    <t>F9</t>
  </si>
  <si>
    <t>L0</t>
  </si>
  <si>
    <t>L1</t>
  </si>
  <si>
    <t>L2</t>
  </si>
  <si>
    <t>L3</t>
  </si>
  <si>
    <t>L4</t>
  </si>
  <si>
    <t>L5</t>
  </si>
  <si>
    <t>L6</t>
  </si>
  <si>
    <t>L7</t>
  </si>
  <si>
    <t>L8</t>
  </si>
  <si>
    <t>L9</t>
  </si>
  <si>
    <t>P1</t>
  </si>
  <si>
    <t>P2</t>
  </si>
  <si>
    <t>P3</t>
  </si>
  <si>
    <t>P4</t>
  </si>
  <si>
    <t>P5</t>
  </si>
  <si>
    <t>P6</t>
  </si>
  <si>
    <t>P7</t>
  </si>
  <si>
    <t>P8</t>
  </si>
  <si>
    <t>P9</t>
  </si>
  <si>
    <t>I0</t>
  </si>
  <si>
    <t>I1</t>
  </si>
  <si>
    <t>I2</t>
  </si>
  <si>
    <t>I3</t>
  </si>
  <si>
    <t>I4</t>
  </si>
  <si>
    <t>I5</t>
  </si>
  <si>
    <t>I6</t>
  </si>
  <si>
    <t>I7</t>
  </si>
  <si>
    <t>I8</t>
  </si>
  <si>
    <t>I9</t>
  </si>
  <si>
    <t>S0</t>
  </si>
  <si>
    <t>S1</t>
  </si>
  <si>
    <t>S2</t>
  </si>
  <si>
    <t>S3</t>
  </si>
  <si>
    <t>S4</t>
  </si>
  <si>
    <t>S5</t>
  </si>
  <si>
    <t>S6</t>
  </si>
  <si>
    <t>S7</t>
  </si>
  <si>
    <t>S8</t>
  </si>
  <si>
    <t>S9</t>
  </si>
  <si>
    <t>B0</t>
  </si>
  <si>
    <t>B1</t>
  </si>
  <si>
    <t>B2</t>
  </si>
  <si>
    <t>B3</t>
  </si>
  <si>
    <t>B4</t>
  </si>
  <si>
    <t>B5</t>
  </si>
  <si>
    <t>B6</t>
  </si>
  <si>
    <t>B7</t>
  </si>
  <si>
    <t>B8</t>
  </si>
  <si>
    <t>B9</t>
  </si>
  <si>
    <t>O0</t>
  </si>
  <si>
    <t>O1</t>
  </si>
  <si>
    <t>O2</t>
  </si>
  <si>
    <t>O3</t>
  </si>
  <si>
    <t>O4</t>
  </si>
  <si>
    <t>O5</t>
  </si>
  <si>
    <t>O6</t>
  </si>
  <si>
    <t>O7</t>
  </si>
  <si>
    <t>O8</t>
  </si>
  <si>
    <t>O9</t>
  </si>
  <si>
    <t>(+) Memiliki rasa bangga akan diri dan gayanya sendiri; senang menjadi pusat perhatian, mengharapkan penghargaan dari lingkungan.                                                                                                                                                                                                                                                                                                         (-) Mencari-cari perhatian dan suka menonjokan diri.</t>
  </si>
  <si>
    <t>(+) Memiliki rasa bangga akan diri dan gayanya sendiri; senang menjadi pusat perhatian, mengharapkan penghargaan dari lingkungan.                                                                                                                                                                                                                                                                                                           (-) Mencari-cari perhatian dan suka menonjokan diri.</t>
  </si>
  <si>
    <t>(+) Memiliki rasa bangga akan diri dan gayanya sendiri; senang menjadi pusat perhatian, mengharapkan penghargaan dari lingkungan.                                                                                                                                                                                                                                                                                                          (-) Mencari-cari perhatian dan suka menonjokan diri.</t>
  </si>
  <si>
    <t>X1</t>
  </si>
  <si>
    <t>X2</t>
  </si>
  <si>
    <t>X3</t>
  </si>
  <si>
    <t>X4</t>
  </si>
  <si>
    <t>X5</t>
  </si>
  <si>
    <t>X6</t>
  </si>
  <si>
    <t>X7</t>
  </si>
  <si>
    <t>X8</t>
  </si>
  <si>
    <t>X9</t>
  </si>
  <si>
    <t>E1</t>
  </si>
  <si>
    <t>E2</t>
  </si>
  <si>
    <t>E3</t>
  </si>
  <si>
    <t>E4</t>
  </si>
  <si>
    <t>E5</t>
  </si>
  <si>
    <t>E6</t>
  </si>
  <si>
    <t>E7</t>
  </si>
  <si>
    <t>E8</t>
  </si>
  <si>
    <t>E9</t>
  </si>
  <si>
    <t>(+) Tidak terlalu merasa perlu untuk menuntaskan sendiri tugas-tugasnya, senang menangani berbagai pekerjaan sekaligus, mudah mendelegasikan tugas.                                                                                                                                                                                                                                                                                                      (-) Komitmen rendah, cenderung meninggalkan tugas sebelum tuntas, konsentrasi mudah buyar; mungkin suka berpindah-pindah kerja (job hopper).</t>
  </si>
  <si>
    <t>(+) Tidak terlalu merasa perlu untuk menuntaskan sendiri tugas-tugasnya, senang menangani berbagai pekerjaan sekaligus, mudah mendelegasikan tugas.                                                                                                                                                                                                                                                                       (-) Komitmen rendah, cenderung meninggalkan tugas sebelum tuntas, konsentrasi mudah buyar; mungkin suka berpindah-pindah kerja (job hopper).</t>
  </si>
  <si>
    <t>(+) Tidak terlalu merasa perlu untuk menuntaskan sendiri tugas-tugasnya, senang menangani berbagai pekerjaan sekaligus, mudah mendelegasikan tugas.                                                                                                                                                                                                                                                                                  (-) Komitmen rendah, cenderung meninggalkan tugas sebelum tuntas, konsentrasi mudah buyar; mungkin suka berpindah-pindah kerja (job hopper).</t>
  </si>
  <si>
    <t>(+) Sabar, tidak menyukai konflik.                                                                                                                                                                                                                                                                                              (-) Mengelak/menghindari konfli, pasif, menekan/menyembunyikan perasaan sesungguhnya, menghindari konfrontasi, lari dari konflik, tidak mau mengakui adanya konflik.</t>
  </si>
  <si>
    <t>(+) Sabar, tidak menyukai konflik.                                                                                                                                                                                                                                                                                                         (-) Mengelak/menghindari konfli, pasif, menekan/menyembunyikan perasaan sesungguhnya, menghindari konfrontasi, lari dari konflik, tidak mau mengakui adanya konflik.</t>
  </si>
  <si>
    <t>K0</t>
  </si>
  <si>
    <t>K1</t>
  </si>
  <si>
    <t>K2</t>
  </si>
  <si>
    <t>K3</t>
  </si>
  <si>
    <t>K4</t>
  </si>
  <si>
    <t>K5</t>
  </si>
  <si>
    <t>K6</t>
  </si>
  <si>
    <t>K7</t>
  </si>
  <si>
    <t>K8</t>
  </si>
  <si>
    <t>K9</t>
  </si>
  <si>
    <t>Z0</t>
  </si>
  <si>
    <t>Z1</t>
  </si>
  <si>
    <t>Z2</t>
  </si>
  <si>
    <t>Z3</t>
  </si>
  <si>
    <t>Z4</t>
  </si>
  <si>
    <t>Z5</t>
  </si>
  <si>
    <t>Z6</t>
  </si>
  <si>
    <t>Z7</t>
  </si>
  <si>
    <t>Z8</t>
  </si>
  <si>
    <t>Z9</t>
  </si>
  <si>
    <t>INTERPRETASI</t>
  </si>
  <si>
    <t>IV. LINKAGE ANALYSIS</t>
  </si>
  <si>
    <t>A: need to achieve</t>
  </si>
  <si>
    <t>D:interest in working with details</t>
  </si>
  <si>
    <t>R:theoritical type</t>
  </si>
  <si>
    <t>T:pace</t>
  </si>
  <si>
    <t>V:vigorous</t>
  </si>
  <si>
    <t>F:need to support authority</t>
  </si>
  <si>
    <t>W:need for rules and supervision</t>
  </si>
  <si>
    <t>P:need to control others</t>
  </si>
  <si>
    <t>I:ease in decision making</t>
  </si>
  <si>
    <t>S:social extension</t>
  </si>
  <si>
    <t>B:need to belon to groups</t>
  </si>
  <si>
    <t>O:need for closerness and affection</t>
  </si>
  <si>
    <t>X: need to be notoced</t>
  </si>
  <si>
    <t>E:emotional resistant</t>
  </si>
  <si>
    <t>K:need toforceful</t>
  </si>
  <si>
    <t>Z:need for change</t>
  </si>
  <si>
    <t>N: need to finish a task</t>
  </si>
  <si>
    <t>G:role of hard intense worker</t>
  </si>
  <si>
    <t>C:organized type</t>
  </si>
  <si>
    <t xml:space="preserve">FAKTOR PSIKOLOGIS </t>
  </si>
  <si>
    <t>IV. TEMPERAMEN</t>
  </si>
  <si>
    <t>Evaluasi dilakukan atas diri yang bersangkutan sehubungan dengan posisi terakhir yang disebutkan  di atas, dan oleh karenanya tidak dapat diterapkan untuk posisi serta kondisi lain tanpa konsultasi.</t>
  </si>
  <si>
    <t>Posisi terakhir :</t>
  </si>
  <si>
    <t>Jenis kelamin :</t>
  </si>
  <si>
    <t>Umur :</t>
  </si>
  <si>
    <t>Pendidikan terakhir :</t>
  </si>
  <si>
    <t>Faktor ini menunjukkan seberapa jauh dorongan dari dalam diri seseorang untuk menangani sendiri suatu tugas sampai benar-benar selesai. Faktor ini mencerminkan ketekunan, pada titik ‘single mindedness’ pada ekstrim tinggi dan kurangnya tanggung jawab untuk menyelesaikan tugas bahkan mengabaikannya pada ekstrim yang lain.</t>
  </si>
  <si>
    <t>Faktor ini menunjukkan seberapa jauh seseorang mengidentifikasikan dirinya dengan kerja keras. Faktor ini menunjukkan penerimaan seseorang terhadap bekerja secara intensif dengan upaya yang sesuai, dalam pandangan seseorang yang melihat kerja sebagai sesuatu yang menarik, bahkan menyenangkan atau dalam pandangan seseorang yang lebih suka menghindari beban kerja bila hal tersebut dimungkinkan.</t>
  </si>
  <si>
    <t>Faktor ini menunjukkan seberapa besar daya dorong pribadi dari dalam diri seseorang, seberapa jauh keinginannya untuk mencapai sukses dan seberapa besar ambisinya. Faktor ini mencerminkan derajat keyakinan dan komitmen dalam dirinya untuk mendapatkan hasil dan untuk mencapai tujuan kerja (goal) yang ditentukan bagi dirinya sendiri.</t>
  </si>
  <si>
    <t>Faktor ini menunjukkan kesukaan seseorang terhadap pemikiran-pemikiran analitis dan konseptual, kemampuannya untuk menangani pandangan/pemikiran yang abstrak. Faktor ini menunjukkan cara yang lebih disukainya dalam bekerja (secara mental) dan bukan petunjuk terhadap kecepatannya bereaksi (secara mental) atau terhadap inteligensinya.</t>
  </si>
  <si>
    <t>Faktor ini menyatakan kesiapan seseorang untuk menggunakan waktunya dalam pertimbangan/ pemikiran detil dari setiap aspek dalam suatu tugas atau pekerjaan. Faktor ini menunjukkan kesukaan seseorang terhadap hal-hal detil.</t>
  </si>
  <si>
    <t>Faktor ini menunjukkan tingkat seberapa jauh seseorang menempatkan keteraturan, sistem dan prosedur pada dirinya sendiri dan pada lingkungan kerjanya. Faktor ini menunjukkan derajat atau tingkat pentingnya berada dalam situasi kerja yang terstruktur, terorganisasi dan rapi serta mempunyai metoda, sebagai pembeda terhadap pendekatan apa adanya dari orang-orang yang cenderung ‘seadanya saja’.</t>
  </si>
  <si>
    <t>Faktor ini menunjukkan kecepatan dimana seseorang suka (secara mental) bekerja. Faktor ini menunjukkan kecepatan atau kesigapan mentalnya untuk bekerja, bukan dalam arti kepandaian atau inteligensinya, tetapi dalam arti kesigapannya untuk langsung bekerja (on the go, switched-on) dan kepekaannya terhadap ‘urgensi’.</t>
  </si>
  <si>
    <t>Faktor ini menunjukkan derajat seberapa jauh seseorang dapat dihubungkan dengan penampilan, aktivitas dan gerakan fisik. Faktor ini menunjukkan enerji fisik yang dimiliki seseorang dan kemauannya untuk menunjukan hal tersebut dalam kegiatannya.</t>
  </si>
  <si>
    <t>Faktor ini menunjukkan seberapa jauh kekuatan dorongan dalam diri seseorang untuk dihubungkan dengan otoritas atau kekuatan pimpinan, kesesuaian dengan petunjuk atau saran dan ‘kemapanan’ dalam struktur hirarki, sebagai pembeda terhadap mereka yang mandiri dan percaya diri.</t>
  </si>
  <si>
    <t>L: leadership role</t>
  </si>
  <si>
    <t>Faktor ini menunjukkan seberapa jauh seseorang memerlukan dukungan, arahan atau tuntutan dan lingkungan kerja yang teratur/berstruktur, sebagai lawan dari situasi dimana seseorang dapat menampilkan sikapnya yang otonom, berinisiatif dan dapat mengarahkan dirinya sendiri. Ekstrimnya adalah orang yang terlalu tergantung pada organisasi pada satu sisi dan orang yang bersifat ‘self starter’ pada sisi yang lain.</t>
  </si>
  <si>
    <t xml:space="preserve">Faktor ini menunjukkan seberapa jauh keyakinan diri seseorang untuk memproyeksikan dirinya dalam posisi pemimpin. Seberapa jauh kenyamanan yang dirasakannya dalam sikap kepemimpinan dan seberapa jauh ia (dan berharap bahwa orang lain juga) menerima dirinya dalam peran tersebut.
</t>
  </si>
  <si>
    <t>Faktor ini menunjukkan seberapa besar keinginan seseorang untuk memegang kendali/kontrol, untuk menggerakkan kekuatan dan dominasi terhadap orang lain. Faktor ini menunjukkan derahat kemauan seseorang untuk melaksanakan tanggung jawab yang timbul dari peran kepemimpinan, untuk ‘bekerja melalui orang lain dalam menyelesaikan tugas’.</t>
  </si>
  <si>
    <t xml:space="preserve">Faktor ini menunjukkan seberapa besar kemampuan seseorang dalam kaitan dengan tugas untuk mengambil keputusan, menerima tanggung jawab dari keputusan yang diambilnya dan menerima konsekuensi dari keputusannya tersebut. Faktor ini juga menunjukkan derajat rasa tidak senang atau tertekan bila menghadapi sitausi dimana harus mengambil keputusan.
</t>
  </si>
  <si>
    <t>Faktor ini menunjukkan kemampuan seseorang dalam melakukan hubungan/interaksi dengan orang lain secara hangat atau menyenangkan.
Faktor ini mencerminkan derajat keyakinan diri seseorang dalam berhubungan dengan orang lain, memahami arti jalinan sosial dan benar-benar menyukai hubungan dengan orang lain.</t>
  </si>
  <si>
    <t>Faktor ini menunjukkan seberapa jauh kebutuhan seseorang untuk berada dalam kaitan dengan kelompok, untuk dapat diterima dan menjadi bagian dari kelompok.</t>
  </si>
  <si>
    <t>Faktor ini menunjukkan seberapa jauh keinginan seseorang untuk dikenali, untuk mencari perhatian yang dilakukannya secara nyata dan terbuka.
Faktor ini mencerminkan dorongan untuk ‘tampil’, menjadi sorotan dan dikenal.</t>
  </si>
  <si>
    <t>Faktor ini menunjukkan kebutuhan seseorang akan keakraban, kehangatan dan hubungan perseorangan yang sesuai/cocok.
Faktor ini juga menunjukkan derajat seberapa jauh arti penerimaan dan persetujuan (orang lain) bagi dirinya. Dilain pihak, faktor ini juga menunjukkan derajat seberapa besar seseorang merasa kurang senang atau merasa terluka sebagai akibat dari penolakan, isolasi atau ketidaksetujuan dari orang lain.</t>
  </si>
  <si>
    <t>Faktor ini menunjukkan seberapa jauh keinginan seseorang terhadap adanya variasi, stimulasi dan inovasi dalam pekerjaannya. 
Kondisi ekstrimnya adalah keinginan seseorang untuk berada pada lingkungan kerja yang rutin, aman dan dapat diperkirakan perubahannya dan dilain pihak kebutuhan terhadap adanya perubahan yang terus menerus tanpa henti di lingkungan kerjanya.</t>
  </si>
  <si>
    <t>Faktor ini menunjukkan seberapa jauh kemampuan seseorang untuk menahan atau melakukan kontrol terhadap keluarnya atau terekspresikannya perasaannya atau emosinya.
Faktor ini menunjukkan tingkat sikap seseorang disiplin, terhadap kemampuan seseorang untuk tidak menunjukkan/ memperlihatkan emosinya atau sebaliknya terhadap mereka yang bersikap sangat terbuka dalam menampilkan/ memperlihatkan perasaan/ emosinya.</t>
  </si>
  <si>
    <t>Faktor ini menunjukkan seberapa jauh seseorang memiliki kekuatan emosi dan sikap asertif, yaitu dorongan emosi yang kuat, bahkan yang agresif dari dalam dirinya.
Dilain pihak, faktor ini juga menunjukkan tingkat ketidaksukaan seseorang terhadap sikap/ perasaan yang keras (marah, tidak senang hati) dan keinginannya untuk berada dalam keadaan yang harmonis dan tidak asertif.</t>
  </si>
  <si>
    <t>Cukup</t>
  </si>
  <si>
    <t>Baik</t>
  </si>
  <si>
    <t xml:space="preserve">Pekerja keras, tapi komitmen rendah; melompat dari satu tugas ke tugas lain sebelum tuntas. </t>
  </si>
  <si>
    <t>Pekerja yang bersemangat tinggi dan punya ambisi.</t>
  </si>
  <si>
    <t>Mendelegasikan sebagian besar tugas dan membiarkan orang lain menyelesaikannya (orang lain merasa tidak aman).</t>
  </si>
  <si>
    <t xml:space="preserve">Terbuka, hangat, tulus, peka, sangat menyukai interaksi sosial, dapat menjalin komunikasi yang kuat. </t>
  </si>
  <si>
    <t>Suka berteman dan dapat bergaul dengan banyak orang di dalam kelompok.</t>
  </si>
  <si>
    <t>Hangat dan menyenangkan.</t>
  </si>
  <si>
    <t xml:space="preserve">9. Keaktifan </t>
  </si>
  <si>
    <t>Bekerja untuk mendapatkan penghargaan orang tertentu.</t>
  </si>
  <si>
    <t>Sangat suka jika orang lain memandangnya sebagai pekerja keras.</t>
  </si>
  <si>
    <t>Berusaha menghindari kerja keras.</t>
  </si>
  <si>
    <t>Memberikan kesan malas bekerja.</t>
  </si>
  <si>
    <t>Bekerja keras sesuai tuntutan.</t>
  </si>
  <si>
    <t>Menyalurkan usahanya untuk hal-hal yang bermanfaat atau menguntungkan.</t>
  </si>
  <si>
    <t>Bekerja sesuai tujuan yang ingin dicapainya.</t>
  </si>
  <si>
    <t>Bekerja keras sesuai denan tujuan yang ingin dicapai.</t>
  </si>
  <si>
    <t>Tidak memanfaatkan kapasitas secara optimal.</t>
  </si>
  <si>
    <t>Tidak kompetitif.</t>
  </si>
  <si>
    <t>Pekerja yang tidak tahu tujuan yang akan dicapainya.</t>
  </si>
  <si>
    <t>Kurang berusaha untuk mencapai hasil yang lebih baik, membutuhkan dorongan dari luar dirinya.</t>
  </si>
  <si>
    <t xml:space="preserve">Menetapkan target  tinggi bagi dirinya dan orang lain; cenderung mengejar kesempurnaan. </t>
  </si>
  <si>
    <t>Ragu-ragu. Kurang memanfaatkan kemampuan diri secara optimal untuk bekompetisi.</t>
  </si>
  <si>
    <t>Berambisi tapi santai. Mengakibatkan tidak semua yang diharapkan tercapai.</t>
  </si>
  <si>
    <t xml:space="preserve">Realistis tapi kurang punya daya dorong untuk meraihnya. Masih kurang mau berjuang dan berkompitisi. </t>
  </si>
  <si>
    <t xml:space="preserve">Realistis akan kemampuan diri. Berjuang dan berkompetisi untuk mencapai target yang telah ditetapkan. </t>
  </si>
  <si>
    <t xml:space="preserve">Bersemangat tinggi dan berkompetisi agar dapat melebihi dari target  kerja yang telah ditetapkan. </t>
  </si>
  <si>
    <t>Melakukan kegiatan yang kurang kompetitif. Usahanya hanya untuk bertahan di lingkungan.</t>
  </si>
  <si>
    <t>Cenderung meninggalkan tugas sebelum tuntas, konsentrasi mudah buyar; mungkin suka berpindah-pindah kerja (job hopper).</t>
  </si>
  <si>
    <t>Cukup memiliki kemauan untuk menuntaskan tugas, akan tetapi jika memungkinkan akan mendelegasikan sebagain dari pekerjaannya kepada orang lain.</t>
  </si>
  <si>
    <t>Lebih suka menangani pekerjaan satu demi satu, akan tetapi jika memungkinkan akan mendelegasikan sebagian dari pekerjaannya kepada orang lain.</t>
  </si>
  <si>
    <t>Memiliki tanggung jawab yang sangat tinggi terhadap tugasnya; sangat ingin menyelesaikan tugas; tekun dan tuntas dalam menangani pekerjaan; menangani tugas satu demi satu sampai tuntas.</t>
  </si>
  <si>
    <t>Ingin segera bertindak. Tidak mempunyai waktu untuk berpikir yang lebih jauh.</t>
  </si>
  <si>
    <t xml:space="preserve"> Bekerja mengandalkan perasaannya saja.</t>
  </si>
  <si>
    <t xml:space="preserve"> Bekerja tanpa perencanaan.</t>
  </si>
  <si>
    <t>Kurang mampu membuat perencanaan.</t>
  </si>
  <si>
    <t xml:space="preserve">Rencana dibuat dengan mempertimbangkan  aspek praktis dan kemungkinan yang akan terjadi. </t>
  </si>
  <si>
    <t>Memikirkan rencana secara mendalam, merujuk masa kini, masa lalu dan masa depan.</t>
  </si>
  <si>
    <t xml:space="preserve">Sangat berminat pada perencanaan. Mencari alternatif-alternatif baru untuk rencana ke depan. </t>
  </si>
  <si>
    <t>Dapat kehilangan arah ketika berpikir jangka panjang.</t>
  </si>
  <si>
    <t>Membuat rencana dengan ambisius; menjadi tidak realistis sehingga sulit dicapai.</t>
  </si>
  <si>
    <t>Kurang memiliki rasa urgensi</t>
  </si>
  <si>
    <t>Kurang tanggap</t>
  </si>
  <si>
    <t>Daya tahan fisik lemah.</t>
  </si>
  <si>
    <t>Cukup aktif dalam segi mental, dapat menyesuaikan tempo kerjanya dengan tuntutan pekerjaan.</t>
  </si>
  <si>
    <t xml:space="preserve">Selalu siaga dan bekerja cepat untuk segera menyelesaikan tugas. </t>
  </si>
  <si>
    <t>Cekatan dan merasa di gesa-gesa untuk segera menyelesaikan tugas.</t>
  </si>
  <si>
    <t>Aktif dalam segi mental, dapat menyesuaikan tempo kerjanya dengan tuntutan pekerjaan.</t>
  </si>
  <si>
    <t>Tanggap tapi kurang peduli akan waktu.</t>
  </si>
  <si>
    <t>Cocok untuk pekerjaan di belakang meja.</t>
  </si>
  <si>
    <t>Giat dan aktif.  Enerjik, memiliki stamina untuk menangani tugas-tugas berat; tidak mudah lelah.</t>
  </si>
  <si>
    <t>11. Loyalitas terhadap atasan/otoritas</t>
  </si>
  <si>
    <t>Mempertanyakan otoritas, cenderung tidak puas terhadap atasan, loyalitas lebih didasari kepentingan pribadi.</t>
  </si>
  <si>
    <t>Loyal pada pribadi atasan.</t>
  </si>
  <si>
    <t>Loyal pada otoritas/ perusahaan. Memperlakukan otoritas sebagai mitra yang setara.</t>
  </si>
  <si>
    <t>Loyal; berusaha dekat dengan atasan, sadar akan harapan atasan atas dirinya.</t>
  </si>
  <si>
    <t>10. Menghadapi urgensi</t>
  </si>
  <si>
    <t xml:space="preserve"> Cenderung mengabaikan pentingnya peraturan atau prosedur. Kemungkinan menciptakan peraturan sendiri yang bisa bertentangan dengan peraturan yang telah ada.</t>
  </si>
  <si>
    <t>Menginginkan kepercayaan bukan pengawasan.</t>
  </si>
  <si>
    <t>Bekerja paling baik jika pekerjaan didelegasikan sepenuhnya.</t>
  </si>
  <si>
    <t>Membutuhkan pengarahan. Tanggapan akan lebih baik dengan instruksi tertulis daripada lisan.</t>
  </si>
  <si>
    <t>Patuh pada kebijakan, peraturan dan struktur organisasi.</t>
  </si>
  <si>
    <t>Membutuhkan uraian rinci mengenai tugas,  tanggung jawab dan wewenang.</t>
  </si>
  <si>
    <t>Cenderung menarik diri,  merendahkan kapasitas pribadi. Terkesan pemalu.</t>
  </si>
  <si>
    <t>Tidak perduli akan pengakuan lingkungan.</t>
  </si>
  <si>
    <t xml:space="preserve">Mengharapkan pengakuan lingkungan dan tidak mau diabaikan, tapi tidak aktif dilakukannya. </t>
  </si>
  <si>
    <t>Kurang suka menonjokan diri.</t>
  </si>
  <si>
    <t>Pengakuan dirinya dari lingkungan karena melakukan hal-hal yang diharapkan dari dirinya.</t>
  </si>
  <si>
    <t>Mengharapkan perhatian dan pengakuan dari lingkungan dan secara aktif dilakukannya.</t>
  </si>
  <si>
    <t xml:space="preserve">Bangga akan diri sendiri karena kemampuan yan dimiliki; senang menjadi pusat perhatian, mengharapkan pengakuan dari lingkungan.                                                                                                                                                                                                                                                                               </t>
  </si>
  <si>
    <t xml:space="preserve">Ingin mengontrol orang lain, walaupun kadang masih ragu-ragu. </t>
  </si>
  <si>
    <t>Percaya diri melakukan fungsi pengawasan terhadap bawahan.</t>
  </si>
  <si>
    <t>Percaya diri melakukan fungsi pengawasan. Dapat dilakukan pada situasi dan kondisi yang tepat.</t>
  </si>
  <si>
    <t xml:space="preserve">Enggan mengontrol orang lain. </t>
  </si>
  <si>
    <t>Tidak ingin  mengawasi orang lain.</t>
  </si>
  <si>
    <t>Bersikap pasif/ tidak peduli.</t>
  </si>
  <si>
    <t>Tidak berminat untuk berperan sebagai pemimpin.</t>
  </si>
  <si>
    <t>Tidak ingin memimpin.</t>
  </si>
  <si>
    <t>Kurang percaya diri dan tidak ingin memimpin orang lain.</t>
  </si>
  <si>
    <t xml:space="preserve">Cukup percaya diri sebagai pemimpin. Namun tidak secara aktif mencari posisi kepemimpinan dan juga tidak menghindar bila diminta memimpin. </t>
  </si>
  <si>
    <t xml:space="preserve">Cenderung enggan melakukan fungsi pengawasan walaupun sebanrnya punya kemampuan. </t>
  </si>
  <si>
    <t>Sangat percaya diri untuk berperan sebagai pemimpin dan sangat mendambakan posisi kepemimpinan.</t>
  </si>
  <si>
    <t xml:space="preserve">Tidak mau mempertanggung jawabkan hasil kerja bawahan.   </t>
  </si>
  <si>
    <t>Memberikan kebebasan kepada bawahan untuk memilih cara sendiri dalam menyelesaikan tugas dan meminta bawahan untuk mempertanggung jawabkan sendiri.</t>
  </si>
  <si>
    <t xml:space="preserve">Bertanggung jawab atas tugas tapi enggan bertanggung jawab atas hasil kerja bawahan.  </t>
  </si>
  <si>
    <t>Bertanggung jawab atas hasil kerja bawahan dan memperhatikan sistem kerja.</t>
  </si>
  <si>
    <t>Senang mempengaruhi bawahan dan bertanggung jawab atas hasil kerja bawahan.</t>
  </si>
  <si>
    <t xml:space="preserve">Kurang mendelegasikan pekerjaan kepada  bawahan. Lebih tertarik mengerjakannya sendiri. </t>
  </si>
  <si>
    <t>Pemimpin yang dominan, bertanggung jawab dan menjalankan fungsi manajemen.</t>
  </si>
  <si>
    <t>Takut menempuh resiko sehingga tegang dalam mengambil keputusan.</t>
  </si>
  <si>
    <t xml:space="preserve">Cenderung menghindari resiko. </t>
  </si>
  <si>
    <t>Berhati-hati dalam memperhitungkan resiko ketika membuat keputusan.</t>
  </si>
  <si>
    <t>Enggan mengambil keputusan yang beresiko.</t>
  </si>
  <si>
    <t xml:space="preserve">Berani mengambil resiko secara realistis, dengan dasar memanfaatkan peluang.                                                                                                                                                                                                                                                     </t>
  </si>
  <si>
    <t>Berani menempuh resiko, tapi tidak siap mempertanggung jawabkan akibatnya (menggampang-kan masalah)</t>
  </si>
  <si>
    <t>Berani mengambil resiko dengan pertimbangan logika secara wajar dan bertanggung jawab atas akibatnya.</t>
  </si>
  <si>
    <t>Angin-anginan, kadang-kadang membuat keputusan dengan sangat cepat atau secara impulsif (bertindak tanpa berpikir panjang).</t>
  </si>
  <si>
    <t>Membuang-buang waktu jika diharuskan membuat keputusan.</t>
  </si>
  <si>
    <t>Dapat menyesuaikan tempo kerja dengan tuntutan pekerjaan yang memerlukan keputusan.</t>
  </si>
  <si>
    <t xml:space="preserve">Merasa digesa-gesa untuk segera mengambil keputusan. </t>
  </si>
  <si>
    <t>Cepat dalam berpikir untuk menetapkan keputusan.</t>
  </si>
  <si>
    <t>Lamban dan tidak berminat mengambil keputusan.</t>
  </si>
  <si>
    <t>20. Keterbukaan bergaul</t>
  </si>
  <si>
    <t>Menarik diri, kaku dalam bergaul, canggung dalam suasana sosial, lebih memperhatikan hal-hal lain daripada manusia.</t>
  </si>
  <si>
    <t>Tipe orang yang ramah dan tulus, menyenangkan.</t>
  </si>
  <si>
    <t>Berinisiatif dan mampu menjalin hubungan dan komunikasi, memperhatikan orang lain.</t>
  </si>
  <si>
    <t>Kurang percaya diri dan kurang aktif dalam menjalin hubungan sosial.</t>
  </si>
  <si>
    <t>Percaya diri di pergaulan. Sangat senang bergaul, menyukai interaksi social, bisa menciptakan suasana yang menyenangkan.</t>
  </si>
  <si>
    <t xml:space="preserve">Terbuka, sangat suka bergaul dan bisa mempengaruhi dan memotivasi orang lain. </t>
  </si>
  <si>
    <t xml:space="preserve">Kurang peka akan sikap dan kebutuhan kelompok. </t>
  </si>
  <si>
    <t xml:space="preserve">Menjalin hubungan individu, bukan kelompok. Bila berada dalam kelompok akan mengikat diri dengan individu tertentu. </t>
  </si>
  <si>
    <t>22. Interaksi di kelompok</t>
  </si>
  <si>
    <t>Tidak tergantung pada kelompok dan orang lain.</t>
  </si>
  <si>
    <t>Anggota kelompok yang antusias tapi pendiam. Mudah dipengaruhi oleh kelompok.</t>
  </si>
  <si>
    <t>23. Kepekaan sosial</t>
  </si>
  <si>
    <t xml:space="preserve">Tampil dingin, tidak acuh, mungkin tidak sadar akan perasaan orang lain. </t>
  </si>
  <si>
    <t>Mungkin tidak sadar akan perasaan orang lain, sehingga dapat mengalami masalah kecocokan dengan orang lain.</t>
  </si>
  <si>
    <t>Menjaga jarak.</t>
  </si>
  <si>
    <t xml:space="preserve">Tidak mencari atau menghindari hubungan antar pribadi. </t>
  </si>
  <si>
    <t xml:space="preserve">Menjalin hubungan persahabatan dengan tulus. </t>
  </si>
  <si>
    <t xml:space="preserve">Peka akan kebutuhan orang lain, sangat memikirkan hal-hal yang dianggap penting oleh orang lain. </t>
  </si>
  <si>
    <t xml:space="preserve">Tertutup tapi hangat dan peka; dapat dimanipulasi oleh orang lain. </t>
  </si>
  <si>
    <t>Ramah tapi mungkin tidak tulus. Manipulator (memanipulasi orang lain).</t>
  </si>
  <si>
    <t>24. Orientasi pergaulan</t>
  </si>
  <si>
    <t>Sulit menyesuaikan diri.</t>
  </si>
  <si>
    <t>Selektif dalam bergabung dengan kelompok, hanya mau berhubungan dengan kelompok apabila sesuai minat.</t>
  </si>
  <si>
    <t xml:space="preserve">Suka bergabung dengan kelompok, sadar akan sikap dan kebutuhan kelompok. </t>
  </si>
  <si>
    <t>Ingin menjadi bagian dari kelompok, ingin disukai dan diakui oleh lingkungannya.</t>
  </si>
  <si>
    <t>Anggota kelompok yang sabar.</t>
  </si>
  <si>
    <t>Tidak mudah mengendalikan emosi, tidak mempunyai nilai yang mengharuskannya menahan emosi.</t>
  </si>
  <si>
    <t>Tidak sabaran, mudah bosan terhadap perasaannya sendiri atau lingkungannya.</t>
  </si>
  <si>
    <t>Menjauhkan diri, tak acuh, tidak perduli dengan situasi konflik.</t>
  </si>
  <si>
    <t>Lari dari konflik, tidak mau mengakui adanya konflik. Menghindari konfrontasi.</t>
  </si>
  <si>
    <t>Lebih suka menghindari konflik. Mencari rasionalisasi untuk dapat menerima situasi dan melihat permasalahan dari sudut pandang orang lain.</t>
  </si>
  <si>
    <t>Menghadapi konflik, mengungkapkan serta memaksakan pandangan dengan cara positif.</t>
  </si>
  <si>
    <t>Terbuka, terus terang dengan masalah yang menyebabkan konflik. Bersikap asertif, dengan mempertimbangkan hak yang perlu diperhatikan dari berbagai kepentingan.</t>
  </si>
  <si>
    <t>Mudah mengungkap pendapat atau perasaannya mengenai suatu hal kepada orang lain.</t>
  </si>
  <si>
    <t xml:space="preserve">Dapat mengendalikan emosi. </t>
  </si>
  <si>
    <t xml:space="preserve">Tenang, dapat mengendalikan emosi. </t>
  </si>
  <si>
    <t>Masalah menumpuk di dalam kemudian menumpahkan (berkata tanpa berpikir).</t>
  </si>
  <si>
    <t>Menolak perubahan.</t>
  </si>
  <si>
    <t>Tidak dapat beradaptasi dengan situasi yang berbeda-beda.</t>
  </si>
  <si>
    <t>Sulit menerima hal-hal baru.</t>
  </si>
  <si>
    <t>Enggan berubah, hanya mau menerima perubahan jika alasannya jelas dan meyakinkan.</t>
  </si>
  <si>
    <t>Tidak siap untuk beradaptasi, hanya mau menerima perubahan jika alasannya jelas dan meyakinkan.</t>
  </si>
  <si>
    <t>Cukup menyukai perubahan.</t>
  </si>
  <si>
    <t>Mudah beradaptasi.</t>
  </si>
  <si>
    <t>Antusias terhadap perubahan.</t>
  </si>
  <si>
    <t>Beradaptasi dengan hal-hal baru, tapi masih selektif dengan menilai manfaatnya.</t>
  </si>
  <si>
    <t xml:space="preserve">Sangat menyukai perubahan dan aktif mencari perubahan, antusias dengan hal-hal baru. </t>
  </si>
  <si>
    <t>Nyaman dengan kondisi yang stabil dan tidak berubah.</t>
  </si>
  <si>
    <t>Fleksibel terhadap perubahan. Menyesuaikan dengan kebutuhan.</t>
  </si>
  <si>
    <t>Mudah beradaptasi dengan situasi yang baru.</t>
  </si>
  <si>
    <t>Antusias beradaptasi dengan situasi baru yang sangat berbeda dari sebelumnya</t>
  </si>
  <si>
    <t>l. SIKAP KERJA</t>
  </si>
  <si>
    <t>SKALA</t>
  </si>
  <si>
    <t>II. KEPEMIMPINAN</t>
  </si>
  <si>
    <t>III. HUBUNGAN SOSIAL</t>
  </si>
  <si>
    <t>Mengabaikan proses evaluasi data.</t>
  </si>
  <si>
    <t>6. Sistem kerja</t>
  </si>
  <si>
    <t>7. Pengelolaan data</t>
  </si>
  <si>
    <t>Melihat pekerjaan secara makro</t>
  </si>
  <si>
    <t xml:space="preserve">Sangat peduli akan kelengkapan, akurasi dan proses evaluasi data.  </t>
  </si>
  <si>
    <t xml:space="preserve">Memberi perhatian pada proses evaluasi data  yang ada.  </t>
  </si>
  <si>
    <t xml:space="preserve">Peduli akan akurasi dan kelengkapan data. </t>
  </si>
  <si>
    <t>Memberikan perhatian pada proses evaluasi data.</t>
  </si>
  <si>
    <t xml:space="preserve">Ceroboh. </t>
  </si>
  <si>
    <t>Tidak mempedulikan sistem kerja.</t>
  </si>
  <si>
    <t>Mempunyai sistem kerja  tapi dapat menjadi bingung dengan sistem yang ada.</t>
  </si>
  <si>
    <t>Masih cukup memperhatikan sistem kerja.</t>
  </si>
  <si>
    <t>Memperhatikan sistem kerja dan keteraturan yang terjadi karena adanya sistem kerja tersebut.</t>
  </si>
  <si>
    <t>Bekerja menggunakan sistem  supaya pekerjaan menjadi efektif dan efisien.</t>
  </si>
  <si>
    <t xml:space="preserve">Bekerja menggunakan sistem dan melakukan evaluasi terhadap sistem tersebut. </t>
  </si>
  <si>
    <t>4. Berkompetisi</t>
  </si>
  <si>
    <t xml:space="preserve">Berpikir praktis. </t>
  </si>
  <si>
    <t xml:space="preserve">Hanya berminat pemikiran konseptual yang besar dan penting. Kurang memikirkan sisi praktis. </t>
  </si>
  <si>
    <t>Pertimbangan berpikir kritis mencakup aspek konsep dan aspek praktis secara berimbang.</t>
  </si>
  <si>
    <t>Tipe pemikir, kritis dan analitis. Sangat berminat pada konsep, teori untuk memperkuat pengalaman kerjanya.</t>
  </si>
  <si>
    <t>Mengkritisi masalah praktis secara mendalam dan merujuk pada latar belakang masalahnya.</t>
  </si>
  <si>
    <t>12. Kemandirian</t>
  </si>
  <si>
    <t>Sulit menerima ide-ide baru.</t>
  </si>
  <si>
    <t>Mau menerima ide-ide baru jika alasannya jelas dan meyakinkan.</t>
  </si>
  <si>
    <t xml:space="preserve">Kurang punya gagasan. </t>
  </si>
  <si>
    <t>Mau menerima ide-ide baru jika diberi penjelasan secara lengkap.</t>
  </si>
  <si>
    <t>Cukup peduli terhadap ide-ide baru. Tapi perlu dilengkapi dengan penjelasan lengkap.</t>
  </si>
  <si>
    <t>Antusias dengan gagasan baru. Selektif memilih gagasan dengan menilai manfaatnya.</t>
  </si>
  <si>
    <t>Berminat dan bersemangat pada gagasan –gagasan besar yang punya dampak luas.</t>
  </si>
  <si>
    <t>1. Motivasi berprestasi</t>
  </si>
  <si>
    <t>2. Komitmen kerja</t>
  </si>
  <si>
    <t>3. Orientasi bekerja</t>
  </si>
  <si>
    <t>13. Percaya diri sebagai pemimpin</t>
  </si>
  <si>
    <t>14. Tanggungjawab sebagai pemimpin</t>
  </si>
  <si>
    <t xml:space="preserve">15. Fungsi kontrol  </t>
  </si>
  <si>
    <t>16. Pengambilan resiko</t>
  </si>
  <si>
    <t>17. Kecepatan membuat keputusan</t>
  </si>
  <si>
    <t xml:space="preserve">18. Ide/gagasan </t>
  </si>
  <si>
    <t>19. Berpikir kritis</t>
  </si>
  <si>
    <t>25. Pengakuan diri di lingkungan</t>
  </si>
  <si>
    <t>26. Pengelolaan emosi</t>
  </si>
  <si>
    <t>Emosional, cepat bereaksi.</t>
  </si>
  <si>
    <t>Urung-uringan tanpa sebab yang jelas.</t>
  </si>
  <si>
    <t>Terbuka. Mudah mengekspresikan emosi.</t>
  </si>
  <si>
    <t>Mampu mengungkap atau menyimpan perasaan pada saat yang tepat.</t>
  </si>
  <si>
    <t>Hati-hati dengan emosinya. Mampu menyimpan  pendapat mengenai orang lain dan perasaannya bagi dirinya sendiri.</t>
  </si>
  <si>
    <t>27. Pengendalian emosi</t>
  </si>
  <si>
    <t xml:space="preserve">28. Pengelolaan Konflik </t>
  </si>
  <si>
    <t>29. Menerima perubahan</t>
  </si>
  <si>
    <t>30. Beradaptasi</t>
  </si>
  <si>
    <t xml:space="preserve">1.a. Pengelolaan Diri </t>
  </si>
  <si>
    <t>21. Kerjasama</t>
  </si>
  <si>
    <t>1. Motivasi Berprestasi</t>
  </si>
  <si>
    <t>2. Komitmen Kerja</t>
  </si>
  <si>
    <t>3. Orientasi Bekerja</t>
  </si>
  <si>
    <t>6. Sistem Kerja</t>
  </si>
  <si>
    <t>7. Pengelolaan Data</t>
  </si>
  <si>
    <t>9. Keaktifan</t>
  </si>
  <si>
    <t>11. Loyalitas terhadap otoritas</t>
  </si>
  <si>
    <t>13. Percaya Diri sebagai Pemimpin</t>
  </si>
  <si>
    <t>14. Tanggungjawab sebagai Pemimpin</t>
  </si>
  <si>
    <t>15. Pengontrolan</t>
  </si>
  <si>
    <t>16. Pengambilan Resiko</t>
  </si>
  <si>
    <t>17. Kecepatan Membuat Keputusan</t>
  </si>
  <si>
    <t>18. Ide/Gagasan</t>
  </si>
  <si>
    <t>19. Berpikir Kritis</t>
  </si>
  <si>
    <t>20. Keterbukaan Bergaul</t>
  </si>
  <si>
    <t>22. Interaksi di Kelompok</t>
  </si>
  <si>
    <t>23. Kepekaan Sosial</t>
  </si>
  <si>
    <t>24. Orientasi Pergaulan</t>
  </si>
  <si>
    <t>25. Pengakuan Diri</t>
  </si>
  <si>
    <t>26.Pengelolaan Emosi</t>
  </si>
  <si>
    <t>27. Pengendalian Emosi</t>
  </si>
  <si>
    <t>28. Pengelolaan Konflik</t>
  </si>
  <si>
    <t>29. Menerima Perubahan</t>
  </si>
  <si>
    <t xml:space="preserve">30. Beradaptasi </t>
  </si>
  <si>
    <t>Perlu Perhatian</t>
  </si>
  <si>
    <t>Agak Cukup</t>
  </si>
  <si>
    <t>Optimal</t>
  </si>
  <si>
    <t>1.b. Pengelolaan Tugas</t>
  </si>
  <si>
    <t xml:space="preserve">1.c. Sebagai bawahan </t>
  </si>
  <si>
    <t>Tahu akan tujuan yang ingin dicapai dan dapat merumuskannya.</t>
  </si>
  <si>
    <t>Tidak terlalu mudah dipengaruhi.</t>
  </si>
  <si>
    <t>agresif</t>
  </si>
  <si>
    <t>5. Perencanaan Kerja</t>
  </si>
  <si>
    <t>8. Penyelesaian Tugas</t>
  </si>
  <si>
    <t>8. Penyelesaian tugas</t>
  </si>
  <si>
    <t xml:space="preserve">5. Perencanaan </t>
  </si>
  <si>
    <t>Sedikit Perhatian</t>
  </si>
  <si>
    <t>Sedikit Baik</t>
  </si>
  <si>
    <t>PAPI KOSTICK LENGKAP - KONTROL DATA</t>
  </si>
  <si>
    <t xml:space="preserve"> PAPI KOSTICK LENGKAP - INTERPRETASI</t>
  </si>
  <si>
    <t>Nomor :</t>
  </si>
  <si>
    <t>Tujuan tes :</t>
  </si>
  <si>
    <t>Tanggal tes :</t>
  </si>
  <si>
    <t>Nama :</t>
  </si>
  <si>
    <t>SKOR</t>
  </si>
  <si>
    <t>1. N &amp; G</t>
  </si>
  <si>
    <t>2. G &amp; A</t>
  </si>
  <si>
    <t>3. N &amp; W</t>
  </si>
  <si>
    <t>4. G &amp; O</t>
  </si>
  <si>
    <t>5. C &amp; D</t>
  </si>
  <si>
    <t>6. R &amp; D</t>
  </si>
  <si>
    <t>7. A &amp; R</t>
  </si>
  <si>
    <t>8. R &amp; O</t>
  </si>
  <si>
    <t>9. T &amp; V</t>
  </si>
  <si>
    <t>10. F &amp; K</t>
  </si>
  <si>
    <t>11. F &amp; W</t>
  </si>
  <si>
    <t>12. X &amp; F</t>
  </si>
  <si>
    <t>13. L &amp; P</t>
  </si>
  <si>
    <t>14. L &amp; A</t>
  </si>
  <si>
    <t>15. L,P &amp; S,B</t>
  </si>
  <si>
    <t>16. L,P &amp; F</t>
  </si>
  <si>
    <t>17. L &amp; D</t>
  </si>
  <si>
    <t>18. P &amp; C</t>
  </si>
  <si>
    <t>19. I &amp; P</t>
  </si>
  <si>
    <t>20. I &amp; T</t>
  </si>
  <si>
    <t>21. I &amp; Z</t>
  </si>
  <si>
    <t>22. S &amp; X</t>
  </si>
  <si>
    <t>23. S &amp; B</t>
  </si>
  <si>
    <t>24. B &amp; O</t>
  </si>
  <si>
    <t>25. S &amp; O</t>
  </si>
  <si>
    <t>26. B &amp; N</t>
  </si>
  <si>
    <t>27. E &amp; Z</t>
  </si>
  <si>
    <t>28. E &amp; K</t>
  </si>
  <si>
    <t>29. T &amp; E</t>
  </si>
  <si>
    <t>II.ADJACENT &amp; OPPOSITE</t>
  </si>
  <si>
    <t>TAHUN</t>
  </si>
  <si>
    <t>1. N &amp; S</t>
  </si>
  <si>
    <t>2. G &amp; S</t>
  </si>
  <si>
    <t>3. A &amp; S</t>
  </si>
  <si>
    <t>4. C &amp; S</t>
  </si>
  <si>
    <t>5. D &amp; S</t>
  </si>
  <si>
    <t>6. R &amp; S</t>
  </si>
  <si>
    <t>7. F &amp; S</t>
  </si>
  <si>
    <t>8. W &amp; S</t>
  </si>
  <si>
    <t>9. T &amp; S</t>
  </si>
  <si>
    <t>10. V &amp; S</t>
  </si>
  <si>
    <t>11. L &amp; S</t>
  </si>
  <si>
    <t>12. P &amp; S</t>
  </si>
  <si>
    <t>13. I &amp; S</t>
  </si>
  <si>
    <t>14. X &amp; S</t>
  </si>
  <si>
    <t>15. B &amp; S</t>
  </si>
  <si>
    <t>16. O &amp; S</t>
  </si>
  <si>
    <t>17. Z &amp; S</t>
  </si>
  <si>
    <t>18. E &amp; S</t>
  </si>
  <si>
    <t>19. K &amp; S</t>
  </si>
  <si>
    <t>III. S EKSTRIM &amp; FAKTOR EKSTRIM</t>
  </si>
  <si>
    <t>3. A-G-N</t>
  </si>
  <si>
    <t>1. L-P</t>
  </si>
  <si>
    <t>2. F-W</t>
  </si>
  <si>
    <t>4. C-D-R</t>
  </si>
  <si>
    <t>5. I-R</t>
  </si>
  <si>
    <t>6. L-P-S-B-O</t>
  </si>
  <si>
    <t>7. S-O</t>
  </si>
  <si>
    <t>8. Z-E-K</t>
  </si>
  <si>
    <t>9. A-K</t>
  </si>
  <si>
    <t>10. T-V-E-K</t>
  </si>
  <si>
    <t>9. E-K</t>
  </si>
  <si>
    <t>16. Pengambilan RIsiko</t>
  </si>
  <si>
    <t>POMA Indonesia/psikogram/2</t>
  </si>
  <si>
    <t>POMA Indonesia/psikogram/4</t>
  </si>
  <si>
    <t>PSIKOGRAM2017rev/POMA Indonesia/Dr.Ir. RITA MARKUS I.M.Psi.T</t>
  </si>
  <si>
    <t>PAPI KOSTICK - PSIKOGRAM</t>
  </si>
  <si>
    <t>PROGRAM2017rev</t>
  </si>
  <si>
    <r>
      <t xml:space="preserve">Menyukai tantangan; </t>
    </r>
    <r>
      <rPr>
        <i/>
        <sz val="11"/>
        <color theme="1"/>
        <rFont val="Calibri"/>
        <family val="2"/>
        <charset val="1"/>
        <scheme val="minor"/>
      </rPr>
      <t>self starter</t>
    </r>
    <r>
      <rPr>
        <sz val="11"/>
        <color theme="1"/>
        <rFont val="Calibri"/>
        <family val="2"/>
        <charset val="1"/>
        <scheme val="minor"/>
      </rPr>
      <t xml:space="preserve">; berkompetisi terhadap dirinya dan linkungannya. </t>
    </r>
  </si>
  <si>
    <r>
      <t xml:space="preserve">Cenderung meninggalkan tugas sebelum tuntas, konsentrasi mudah buyar; mungkin suka berpindah-pindah kerja </t>
    </r>
    <r>
      <rPr>
        <i/>
        <sz val="11"/>
        <color theme="1"/>
        <rFont val="Calibri"/>
        <family val="2"/>
        <charset val="1"/>
        <scheme val="minor"/>
      </rPr>
      <t>(job hopper)</t>
    </r>
    <r>
      <rPr>
        <sz val="11"/>
        <color theme="1"/>
        <rFont val="Calibri"/>
        <family val="2"/>
        <charset val="1"/>
        <scheme val="minor"/>
      </rPr>
      <t>.</t>
    </r>
  </si>
  <si>
    <t xml:space="preserve"> PAPI KOSTICK  - DESKRIPTIF</t>
  </si>
  <si>
    <t>DESKRIPTIF</t>
  </si>
  <si>
    <t>POMA Indonesia/PROGRAM2017rev</t>
  </si>
  <si>
    <t>range analysis/4</t>
  </si>
  <si>
    <t>range analysis/3</t>
  </si>
  <si>
    <t>range analysis/2</t>
  </si>
  <si>
    <t>Tanggal :</t>
  </si>
  <si>
    <t>PETUNJUK</t>
  </si>
  <si>
    <t xml:space="preserve">Dalam buku ini terdapat 90 pasang pernyataan. Anda harus memilih salah satu dari setiap pasang pernyataan, yang menurut Anda paling mencerminkan diri Anda atau paling menunjukkan bagaimana perasaan Anda. </t>
  </si>
  <si>
    <t>Kadang-kadang akan Anda dapatkan sepasang pernyataan yang keduanya tidak menggambarkan diri Anda-dalam hal seperti ini Anda tetap harus memilih salah satu yang lebih mendekati.</t>
  </si>
  <si>
    <t xml:space="preserve">Cara menjawab adalah dengan melingkari tanda panah yang terdapat di sebelah kanan pernyataan yang Anda pilih. </t>
  </si>
  <si>
    <t>Sebagai contoh, bila Anda merasa pernyataan “Saya seorang yang enerjik” lebih mencerminkan diri Anda daripada pernyataan “Saya tidak mudah tersinggung” maka berikanlah angka 1 pada kolom jawaban di lembar jawaban.</t>
  </si>
  <si>
    <t>PERNYATAAN</t>
  </si>
  <si>
    <t>Pilih a atau b. Tuliskan angka 1 sesuai pilihan.</t>
  </si>
  <si>
    <t>a.</t>
  </si>
  <si>
    <t xml:space="preserve">Saya seorang yang enerjik </t>
  </si>
  <si>
    <t>b.</t>
  </si>
  <si>
    <t>Saya tidak mudah tersinggung</t>
  </si>
  <si>
    <t>Sebaliknya, bila pernyataan ”Saya tidak suka mudah tersinggung” lebih mencerminkan diri Anda daripada pernyataan ”Saya seorang yang enerjik" maka berikan angka 1 di pada kolom jawaban di lembar jawaban.</t>
  </si>
  <si>
    <t>Harap berhati-hati dalam melingkari, guna memastikan bahwa Anda menjawab pada kolom yang benar.</t>
  </si>
  <si>
    <t>Bekerjalah secepat mungkin, tetapi periksa dengan cermat bahwa Anda sudah memilih satu pernyataan dari setiap pasang pernyataan dalam buku ini.</t>
  </si>
  <si>
    <t>SEMUA SOAL HARUS DIJAWAB</t>
  </si>
  <si>
    <t>WAKTU MENGERJAKAN: 15 MENIT</t>
  </si>
  <si>
    <t xml:space="preserve">SILAKAN MENGERJAKAN </t>
  </si>
  <si>
    <t>BUKA SHEET:  3.SOAL</t>
  </si>
  <si>
    <t>SILAKAN DIISI PADA KOTAK BERGARIS MERAH</t>
  </si>
  <si>
    <t>a</t>
  </si>
  <si>
    <t>Saya seorang pekerja giat</t>
  </si>
  <si>
    <t>b</t>
  </si>
  <si>
    <t>Saya tidak suka uring-uringan</t>
  </si>
  <si>
    <t>Saya suka menghasilkan pekerjaan yang lebih baik daripada orang lain</t>
  </si>
  <si>
    <t>Saya akan tetap menangani suatu pekerjaan sampai selesai</t>
  </si>
  <si>
    <t>Saya suka menunjukkan pada orang lain cara melakukan sesuatu</t>
  </si>
  <si>
    <t>Saya ingin berusaha sebaik mungkin</t>
  </si>
  <si>
    <t>Saya suka melucu</t>
  </si>
  <si>
    <t>Saya senang memberi tahu orang lain hal-hal yang harus dikerjakan</t>
  </si>
  <si>
    <t>Saya suka bergabung dalam kelompok</t>
  </si>
  <si>
    <t>Saya senang diperhatikan oleh kelompok</t>
  </si>
  <si>
    <t>Saya suka menjalin hubungan pribadi yang akrab</t>
  </si>
  <si>
    <t>Saya suka berteman dengan kelompok</t>
  </si>
  <si>
    <t>Saya dapat cepat berubah jika merasa perlu</t>
  </si>
  <si>
    <t>Saya berusaha menjalin hubungan pribadi yang akrab</t>
  </si>
  <si>
    <t>Saya suka ’menyerang kembali’ jika benar-benar disakiti</t>
  </si>
  <si>
    <t>Saya suka melakukan hal-hal yang baru dan berbeda</t>
  </si>
  <si>
    <t>Saya ingin agar atasan menyukai saya</t>
  </si>
  <si>
    <t>Saya suka menegur orang lain jika mereka melakukan kesalahan</t>
  </si>
  <si>
    <t>Saya suka mengikuti petunjuk yang diberikan kepada saya</t>
  </si>
  <si>
    <t>Saya suka menyenangkan orang-orang yang menjadi atasan saya</t>
  </si>
  <si>
    <t>Saya berusaha keras sekali</t>
  </si>
  <si>
    <t>Saya seorang yang teratur. Saya meletakkan segala sesuatu pada tempatnya.</t>
  </si>
  <si>
    <t>Saya dapat memuat orang lain melakukan apa yang saya inginkan</t>
  </si>
  <si>
    <t>Saya tidak mudah marah</t>
  </si>
  <si>
    <t>Saya suka memberitahu kelompok hal-hal yang harus mereka kerjakan</t>
  </si>
  <si>
    <t>Saya selalu bertahan pada satu pekerjaan sampai selesai</t>
  </si>
  <si>
    <t>Saya ingin menjadi orang yang penuh gairah dan menarik</t>
  </si>
  <si>
    <t>Saya ingin menjadi orang yang sangat berhasil</t>
  </si>
  <si>
    <t>Saya ingin menjadi bagian dalam kelompok</t>
  </si>
  <si>
    <t>Saya suka membantu orang lain mengambil keputusan</t>
  </si>
  <si>
    <t>Saya cemas bila seseorang tidak menyukai saya</t>
  </si>
  <si>
    <t>Saya ingin agar orang lain memperhatikan saya</t>
  </si>
  <si>
    <t>Saya suka mencoba hal-hal baru</t>
  </si>
  <si>
    <t>Saya lebih suka bekerja bersama orang lain daripada sendiri</t>
  </si>
  <si>
    <t>Kadang-kadang saya menyalahkan orang lain jika ada yang tidak beres</t>
  </si>
  <si>
    <t>Saya merasa terganggu jika seseorang tidak menyukai saya</t>
  </si>
  <si>
    <t>Saya suka menyenangkan orang yang menjadi atasan saya</t>
  </si>
  <si>
    <t>Saya senang mencoba pekerjaan yang baru dan berbeda</t>
  </si>
  <si>
    <t>Saya meyukai petunjuk terperinci untuk melaksanakan tugas</t>
  </si>
  <si>
    <t>Saya suka memberitahu orang lain apabila mereka menjengkelkan</t>
  </si>
  <si>
    <t>Saya selalu berusaha keras</t>
  </si>
  <si>
    <t>Saya selalu melaksanakan setiap langkah dengan sangat hati-hati</t>
  </si>
  <si>
    <t>Saya seorang pemimpin yang baik</t>
  </si>
  <si>
    <t>Saya menata pekerjaan dengan baik</t>
  </si>
  <si>
    <t>Saya lambat dalam membuat keputusan</t>
  </si>
  <si>
    <t>Saya mudah marah</t>
  </si>
  <si>
    <t xml:space="preserve">Bila berada dalam satu kelompok, saya suka berdiam diri </t>
  </si>
  <si>
    <t>Saya suka mengerjakan beberapa tugas pada saat yang bersamaan</t>
  </si>
  <si>
    <t>Saya senang bila diundang</t>
  </si>
  <si>
    <t>Saya ingin melakukan sesuatu lebih baik daripada orang lain</t>
  </si>
  <si>
    <t>Saya suka memberi nasehat pada orang lain</t>
  </si>
  <si>
    <t>Saya suka menceritakan bagaimana saya berhasil dalam melakukan sesuatu</t>
  </si>
  <si>
    <t>Apabila pendapat saya benar, saya suka mempertahankannya</t>
  </si>
  <si>
    <t>Saya ingin menjadi bagian dari suatu kelompok</t>
  </si>
  <si>
    <t>Saya tidak mau berbeda dari orang lain</t>
  </si>
  <si>
    <t>Saya berusaha akrab dengan orang lain</t>
  </si>
  <si>
    <t>Saya senang diberitahu bagaimana melakukan suatu pekerjaan</t>
  </si>
  <si>
    <t>Saya mudah bosan</t>
  </si>
  <si>
    <t>Saya bekerja keras</t>
  </si>
  <si>
    <t>Saya berpikir dan membuat rencana</t>
  </si>
  <si>
    <t>Saya memimpin kelompok</t>
  </si>
  <si>
    <t>Detail (hal-hal kecil) menarik bagi saya</t>
  </si>
  <si>
    <t>Saya membuat keputusan dengan mudah dan cepat</t>
  </si>
  <si>
    <t>Saya menyimpan barang-barang secara rapi dan teratur</t>
  </si>
  <si>
    <t>Saya melakukan segala sesuatu dengan cepat</t>
  </si>
  <si>
    <t>Saya jarang marah atau sedih</t>
  </si>
  <si>
    <t>Saya ingin menjadi bagian dalam kelomok</t>
  </si>
  <si>
    <t>Saya ingin melakukan hanya satu pekerjaan pada satu waktu</t>
  </si>
  <si>
    <t>Saya berusaha berteman secara akrab</t>
  </si>
  <si>
    <t>Saya berusaha sangat keras untuk menjadi yang terbaik</t>
  </si>
  <si>
    <t>Saya suka gaya terbaru dalam hal pakaian dan mobil</t>
  </si>
  <si>
    <t>Saya suka bertanggung jawab atas orang lain</t>
  </si>
  <si>
    <t>Saya senang berdebat</t>
  </si>
  <si>
    <t>Saya suka mendapat perhatian</t>
  </si>
  <si>
    <t>Saya tertarik untuk menjadi bagian dari kelompok</t>
  </si>
  <si>
    <t>Saya suka mengikuti peraturan dengan hati-hati</t>
  </si>
  <si>
    <t>Saya suka orang lain mengenal saya dengan baik</t>
  </si>
  <si>
    <t>Saya sangat ramah</t>
  </si>
  <si>
    <t>Orang lain berpendapat bahwa saya pemimpin yang baik</t>
  </si>
  <si>
    <t>Saya berpikir hati-hati dan lama</t>
  </si>
  <si>
    <t>Saya sering memanfaatkan kesempatan</t>
  </si>
  <si>
    <t>Saya suka cerewet mengenai hal-hal yang kecil</t>
  </si>
  <si>
    <t>Orang lain berpendapat bahwa saya bekerja cepat</t>
  </si>
  <si>
    <t>Orang lain berpendapat bahwa saya menyimpan segala sesuatu secara rapi dan teratur</t>
  </si>
  <si>
    <t>Saya menyukai permainan dan olahraga</t>
  </si>
  <si>
    <t>Saya sangat menyenangkan</t>
  </si>
  <si>
    <t>Saya senang bila orang lain bersikap akrab dan ramah</t>
  </si>
  <si>
    <t>Saya selalu berusaha menyelesaikan sesuatu yang telah saya mulai</t>
  </si>
  <si>
    <t>Saya suka bereksperimen dan mencoba hal-hal baru</t>
  </si>
  <si>
    <t>Saya suka melaksanakan pekerjaan sulit dengan baik</t>
  </si>
  <si>
    <t>Saya suka diperlakukan secara adil</t>
  </si>
  <si>
    <t>Saya suka memberitahu orang lain, cara mengerjakan sesuatu</t>
  </si>
  <si>
    <t>Saya suka melakukan hal-hal yang diharapkan dari saya</t>
  </si>
  <si>
    <t>Saya suka petunjuk-petunjuk terperinci untuk melaksanakan suatu tugas</t>
  </si>
  <si>
    <t>Saya senang berada bersama orang lain</t>
  </si>
  <si>
    <t>Saya selau berusaha melaksanakan pekerjaan secara sempurna</t>
  </si>
  <si>
    <t>Orang mengatakan bahwa saya hampir tidak pernah lelah</t>
  </si>
  <si>
    <t>Saya tipe seorang pemimpin</t>
  </si>
  <si>
    <t>Saya mudah berteman</t>
  </si>
  <si>
    <t>Saya memanfaatkan kesempatan</t>
  </si>
  <si>
    <t>Saya banyak sekali berpikir</t>
  </si>
  <si>
    <t>Saya bekerja dengan tempo yang cepat dan mantap</t>
  </si>
  <si>
    <t>Saya senang menangani pekerjaan detail</t>
  </si>
  <si>
    <t>Saya memiliki banyak tenaga untuk permainan olahraga</t>
  </si>
  <si>
    <t>Saya menyimpan segala sesuatu secara rapi dan teratur</t>
  </si>
  <si>
    <t>Saya bergaul baik dengan semua orang</t>
  </si>
  <si>
    <t>Saya berwatak tenang</t>
  </si>
  <si>
    <t>Saya ingin bertemu orang-orang baru dan melakukan hal-hal baru</t>
  </si>
  <si>
    <t>Saya selalu ingin menyelesaikan pekerjaan yang telah saya mulai</t>
  </si>
  <si>
    <t>Saya biasanya suka mempertahankan keyakinan saya</t>
  </si>
  <si>
    <t>Saya biasanya suka bekerja keras</t>
  </si>
  <si>
    <t>Saya menyukai saran dari orang-orang yang saya kagumi</t>
  </si>
  <si>
    <t>Saya membiarkan orang lain mempengaruhi diri saya secara kuat</t>
  </si>
  <si>
    <t>Saya suka mendapat banyak perhatian</t>
  </si>
  <si>
    <t>Saya biasanya bekerja keras sekali</t>
  </si>
  <si>
    <t>Saya biasanya bekerja cepat</t>
  </si>
  <si>
    <t>Apabila saya berbicara, kelompok menyimak</t>
  </si>
  <si>
    <t>Saya terampil menggunakan peralatan</t>
  </si>
  <si>
    <t>Saya lambat dalam berteman</t>
  </si>
  <si>
    <t>Saya lambat dalam mengambil keputusan</t>
  </si>
  <si>
    <t>Saya biasanya makan dengan cepat</t>
  </si>
  <si>
    <t>Saya senang membaca</t>
  </si>
  <si>
    <t>Saya menyukai pekerjaan yang membuat saya banyak bergerak</t>
  </si>
  <si>
    <t>Saya menyukai pekerjaan yang harus dilakukan secara hati-hati</t>
  </si>
  <si>
    <t>Saya berteman dengan sebanyak mungkin orang</t>
  </si>
  <si>
    <t>Saya dapat menemukan sesuatu yang telah saya sisihkan</t>
  </si>
  <si>
    <t>Saya merencanakan jauh ke depan</t>
  </si>
  <si>
    <t>Saya selalu menyenangkan</t>
  </si>
  <si>
    <t>Saya sangat bangga akan nama baik saya</t>
  </si>
  <si>
    <t>Saya tetap menangani suatu permasalahan sampai terpecahkan</t>
  </si>
  <si>
    <t>Saya suka menyenangkan orang-orang yang saya kagumi</t>
  </si>
  <si>
    <t>Saya ingin berhasil</t>
  </si>
  <si>
    <t>Saya suka orang lain membuat keputusan untuk kelompok</t>
  </si>
  <si>
    <t>Saya suka membuat keputusan untuk kelompok</t>
  </si>
  <si>
    <t>Saya selalu berusaha sangat keras</t>
  </si>
  <si>
    <t>Saya membuat keputusan secara mudah dan cepat</t>
  </si>
  <si>
    <t>Kelompok biasanya melaksanakan keinginan saya</t>
  </si>
  <si>
    <t>Saya biasa tergesa-gesa</t>
  </si>
  <si>
    <t>Saya sering merasa lelah</t>
  </si>
  <si>
    <t>Saya bekerja cepat</t>
  </si>
  <si>
    <t>Saya biasanya bersemangat atau bergairah</t>
  </si>
  <si>
    <t>Saya menggunakan banyak waktu untuk berpikir</t>
  </si>
  <si>
    <t>Saya sangat ramah terhadap orang lain</t>
  </si>
  <si>
    <t>Saya menyukai pekerjaan yang menuntut ketelitian</t>
  </si>
  <si>
    <t>Saya banyak berpikir dan merencana</t>
  </si>
  <si>
    <t>Saya menyimpan segala sesuatu pada tempatnya</t>
  </si>
  <si>
    <t>Saya menyukai pekerjaan yang menuntut hal-hal yang mendetail</t>
  </si>
  <si>
    <t>Saya tidak cepat marah</t>
  </si>
  <si>
    <t>Saya suka mengikuti orang-orang yang saya kagumi</t>
  </si>
  <si>
    <t>Saya selalu menyelesaikan pekerjaan yang telah saya mulai</t>
  </si>
  <si>
    <t>Saya menyukai petunjuk-petunjuk yang jelas</t>
  </si>
  <si>
    <t>Saya suka bekerja keras</t>
  </si>
  <si>
    <t>Saya mengejar hal-hal yang menjadi keinginan saya</t>
  </si>
  <si>
    <t>Saya membuat orang lain bekerja keras</t>
  </si>
  <si>
    <t>Saya periang dan santai</t>
  </si>
  <si>
    <t>Saya membuat keputusan dengan cepat</t>
  </si>
  <si>
    <t>Saya berbicara cepat</t>
  </si>
  <si>
    <t>Saya biasanya bekerja secara tergesa-gesa</t>
  </si>
  <si>
    <t>Saya berolahraga secara teratur</t>
  </si>
  <si>
    <t>Saya tidak suka bertemu orang lain</t>
  </si>
  <si>
    <t>Saya cepat lelah</t>
  </si>
  <si>
    <t>Saya berteman dengan banyak sekali orang</t>
  </si>
  <si>
    <t>Saya suka bekerja dnegan teori</t>
  </si>
  <si>
    <t>Saya suka melaksanakan pekerjaan detail</t>
  </si>
  <si>
    <t>Saya melaksanakan pekerjaan detail</t>
  </si>
  <si>
    <t>Saya suka mengatur pekerjaan saya</t>
  </si>
  <si>
    <t>Saya meletakkan segala sesuatu pada tempatnya</t>
  </si>
  <si>
    <t>Saya senang diberitahu hal-hal yang harus saya kerjakan</t>
  </si>
  <si>
    <t xml:space="preserve">Saya harus menyelesaikan apa yang telah saya mulai </t>
  </si>
  <si>
    <t>TOTAL</t>
  </si>
  <si>
    <t>Total harus 90</t>
  </si>
  <si>
    <t>Jika kurang atau lebih dari 90, mohon dicek kembali.</t>
  </si>
  <si>
    <t>Mungkin ada yang belum diisi atau diisi a dan b.</t>
  </si>
  <si>
    <t>Pilih a atau b &amp; tuliskan angka 1</t>
  </si>
  <si>
    <t>JUMLAH</t>
  </si>
  <si>
    <t>Total harus 45</t>
  </si>
  <si>
    <t xml:space="preserve">JUMLAH </t>
  </si>
  <si>
    <t>Skor</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</si>
  <si>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</si>
  <si>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</si>
  <si>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</si>
  <si>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</si>
  <si>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</si>
  <si>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</si>
  <si>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</si>
  <si>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</si>
  <si>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</si>
  <si>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</si>
  <si>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</si>
  <si>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</si>
  <si>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</si>
  <si>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</si>
  <si>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</si>
  <si>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</si>
  <si>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</si>
  <si>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</si>
  <si>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</si>
  <si>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</si>
  <si>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</si>
  <si>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</si>
  <si>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</si>
  <si>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</si>
  <si>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</si>
  <si>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</si>
  <si>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</si>
  <si>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</si>
  <si>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</si>
  <si>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</si>
  <si>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</si>
  <si>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</si>
  <si>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</si>
  <si>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</si>
  <si>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</si>
  <si>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</si>
  <si>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</si>
  <si>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</si>
  <si>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</si>
  <si>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</si>
  <si>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</si>
  <si>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</si>
  <si>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</si>
  <si>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</si>
  <si>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</si>
  <si>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</si>
  <si>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</si>
  <si>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</si>
  <si>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</si>
  <si>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</si>
  <si>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</si>
  <si>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</si>
  <si>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</si>
  <si>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</si>
  <si>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</si>
  <si>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</si>
  <si>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</si>
  <si>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</si>
  <si>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</si>
  <si>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</si>
  <si>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</si>
  <si>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</si>
  <si>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</si>
  <si>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</si>
  <si>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</si>
  <si>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</si>
  <si>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</si>
  <si>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</si>
  <si>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</si>
  <si>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</si>
  <si>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</si>
  <si>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</si>
  <si>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</si>
  <si>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</si>
  <si>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</si>
  <si>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</si>
  <si>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</si>
  <si>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</si>
  <si>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</si>
  <si>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</si>
  <si>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</si>
  <si>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</si>
  <si>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</si>
  <si>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</si>
  <si>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</si>
  <si>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</si>
  <si>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</si>
  <si>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</si>
  <si>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</si>
  <si>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</si>
  <si>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CHOICE</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</si>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</sst>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theme="1"/>
      <name val="Calibri"/>
      <family val="2"/>
      <charset val="1"/>
      <scheme val="minor"/>
    </font>
    <font>
      <b/>
      <sz val="12"/>
      <color theme="1"/>
      <name val="Calibri"/>
      <family val="2"/>
      <scheme val="minor"/>
    </font>
    <font>
      <sz val="12"/>
      <color theme="1"/>
      <name val="Calibri"/>
      <family val="2"/>
      <charset val="1"/>
      <scheme val="minor"/>
    </font>
    <font>
      <sz val="12"/>
      <name val="Calibri"/>
      <family val="2"/>
      <charset val="1"/>
      <scheme val="minor"/>
    </font>
    <font>
      <sz val="12"/>
      <color theme="1"/>
      <name val="Calibri"/>
      <family val="2"/>
      <scheme val="minor"/>
    </font>
    <font>
      <b/>
      <i/>
      <sz val="12"/>
      <color theme="1"/>
      <name val="Calibri"/>
      <family val="2"/>
      <scheme val="minor"/>
    </font>
    <font>
      <i/>
      <sz val="12"/>
      <color theme="1"/>
      <name val="Calibri"/>
      <family val="2"/>
      <scheme val="minor"/>
    </font>
    <font>
      <b/>
      <sz val="14"/>
      <color theme="1"/>
      <name val="Calibri"/>
      <family val="2"/>
      <scheme val="minor"/>
    </font>
    <font>
      <b/>
      <sz val="16"/>
      <color theme="1"/>
      <name val="Calibri"/>
      <family val="2"/>
      <scheme val="minor"/>
    </font>
    <font>
      <sz val="8"/>
      <color theme="1"/>
      <name val="Calibri"/>
      <family val="2"/>
      <scheme val="minor"/>
    </font>
    <font>
      <b/>
      <sz val="11"/>
      <color theme="1"/>
      <name val="Calibri"/>
      <family val="2"/>
      <scheme val="minor"/>
    </font>
    <font>
      <sz val="11"/>
      <name val="Calibri"/>
      <family val="2"/>
      <charset val="1"/>
      <scheme val="minor"/>
    </font>
    <font>
      <b/>
      <sz val="11"/>
      <name val="Calibri"/>
      <family val="2"/>
      <scheme val="minor"/>
    </font>
    <font>
      <b/>
      <sz val="11"/>
      <name val="Calibri"/>
      <family val="2"/>
      <charset val="1"/>
      <scheme val="minor"/>
    </font>
    <font>
      <b/>
      <sz val="9"/>
      <color theme="1"/>
      <name val="Calibri"/>
      <family val="2"/>
      <scheme val="minor"/>
    </font>
    <font>
      <sz val="14"/>
      <color theme="1"/>
      <name val="Calibri"/>
      <family val="2"/>
      <scheme val="minor"/>
    </font>
    <font>
      <u/>
      <sz val="11"/>
      <color theme="10"/>
      <name val="Calibri"/>
      <family val="2"/>
      <charset val="1"/>
      <scheme val="minor"/>
    </font>
    <font>
      <sz val="10"/>
      <color theme="1"/>
      <name val="Calibri"/>
      <family val="2"/>
      <scheme val="minor"/>
    </font>
    <font>
      <i/>
      <sz val="10"/>
      <color theme="1"/>
      <name val="Calibri"/>
      <family val="2"/>
      <scheme val="minor"/>
    </font>
    <font>
      <sz val="10"/>
      <name val="Calibri"/>
      <family val="2"/>
      <charset val="1"/>
      <scheme val="minor"/>
    </font>
    <font>
      <i/>
      <sz val="10"/>
      <color rgb="FFFF0000"/>
      <name val="Calibri"/>
      <family val="2"/>
      <scheme val="minor"/>
    </font>
    <font>
      <b/>
      <sz val="16"/>
      <color rgb="FFFF0000"/>
      <name val="Calibri"/>
      <family val="2"/>
      <scheme val="minor"/>
    </font>
    <font>
      <b/>
      <sz val="11"/>
      <color rgb="FFFF0000"/>
      <name val="Calibri"/>
      <family val="2"/>
      <scheme val="minor"/>
    </font>
    <font>
      <b/>
      <sz val="20"/>
      <name val="Calibri"/>
      <family val="2"/>
      <scheme val="minor"/>
    </font>
    <font>
      <i/>
      <sz val="11"/>
      <color theme="1"/>
      <name val="Calibri"/>
      <family val="2"/>
      <charset val="1"/>
      <scheme val="minor"/>
    </font>
    <font>
      <sz val="11"/>
      <color rgb="FFFF0000"/>
      <name val="Calibri"/>
      <family val="2"/>
      <charset val="1"/>
      <scheme val="minor"/>
    </font>
    <font>
      <i/>
      <sz val="11"/>
      <color rgb="FFFF0000"/>
      <name val="Calibri"/>
      <family val="2"/>
      <scheme val="minor"/>
    </font>
    <font>
      <b/>
      <sz val="11"/>
      <color theme="1"/>
      <name val="Franklin Gothic Book"/>
      <family val="2"/>
    </font>
    <font>
      <sz val="11"/>
      <color theme="1"/>
      <name val="Franklin Gothic Book"/>
      <family val="2"/>
    </font>
    <font>
      <b/>
      <sz val="8"/>
      <color theme="1"/>
      <name val="Calibri"/>
      <family val="2"/>
      <scheme val="minor"/>
    </font>
    <font>
      <sz val="11"/>
      <color rgb="FF484848"/>
      <name val="Arial"/>
      <family val="2"/>
    </font>
    <font>
      <b/>
      <i/>
      <sz val="11"/>
      <color rgb="FFFF0000"/>
      <name val="Calibri"/>
      <family val="2"/>
      <scheme val="minor"/>
    </font>
    <font>
      <i/>
      <sz val="11"/>
      <color rgb="FF0070C0"/>
      <name val="Calibri"/>
      <family val="2"/>
      <scheme val="minor"/>
    </font>
    <font>
      <sz val="14"/>
      <color theme="1"/>
      <name val="Calibri"/>
      <family val="2"/>
      <charset val="1"/>
      <scheme val="minor"/>
    </font>
    <font>
      <b/>
      <sz val="14"/>
      <color rgb="FFFF0000"/>
      <name val="Calibri"/>
      <family val="2"/>
      <scheme val="minor"/>
    </font>
    <font>
      <sz val="11"/>
      <color theme="0"/>
      <name val="Franklin Gothic Book"/>
      <family val="2"/>
    </font>
    <font>
      <sz val="11"/>
      <color theme="0"/>
      <name val="Calibri"/>
      <family val="2"/>
      <charset val="1"/>
      <scheme val="minor"/>
    </font>
  </fonts>
  <fills count="3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FFFF99"/>
        <bgColor indexed="64"/>
      </patternFill>
    </fill>
    <fill>
      <patternFill patternType="solid">
        <fgColor rgb="FFFFC000"/>
        <bgColor indexed="64"/>
      </patternFill>
    </fill>
    <fill>
      <patternFill patternType="solid">
        <fgColor rgb="FFFFFFCC"/>
        <bgColor indexed="64"/>
      </patternFill>
    </fill>
    <fill>
      <patternFill patternType="solid">
        <fgColor rgb="FFFFCC00"/>
        <bgColor indexed="64"/>
      </patternFill>
    </fill>
    <fill>
      <patternFill patternType="solid">
        <fgColor theme="5" tint="0.39997558519241921"/>
        <bgColor indexed="64"/>
      </patternFill>
    </fill>
    <fill>
      <patternFill patternType="solid">
        <fgColor theme="0"/>
        <bgColor indexed="64"/>
      </patternFill>
    </fill>
    <fill>
      <patternFill patternType="solid">
        <fgColor rgb="FF69D8FF"/>
        <bgColor indexed="64"/>
      </patternFill>
    </fill>
    <fill>
      <patternFill patternType="solid">
        <fgColor theme="9" tint="0.79998168889431442"/>
        <bgColor indexed="64"/>
      </patternFill>
    </fill>
    <fill>
      <patternFill patternType="solid">
        <fgColor rgb="FF66FF33"/>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rgb="FF0070C0"/>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rgb="FF66CCFF"/>
        <bgColor indexed="64"/>
      </patternFill>
    </fill>
    <fill>
      <patternFill patternType="solid">
        <fgColor rgb="FFFF00FF"/>
        <bgColor indexed="64"/>
      </patternFill>
    </fill>
    <fill>
      <patternFill patternType="solid">
        <fgColor rgb="FFFF9933"/>
        <bgColor indexed="64"/>
      </patternFill>
    </fill>
    <fill>
      <patternFill patternType="solid">
        <fgColor rgb="FF00FFFF"/>
        <bgColor indexed="64"/>
      </patternFill>
    </fill>
    <fill>
      <patternFill patternType="solid">
        <fgColor theme="3" tint="0.79998168889431442"/>
        <bgColor indexed="64"/>
      </patternFill>
    </fill>
    <fill>
      <patternFill patternType="solid">
        <fgColor theme="6" tint="0.79998168889431442"/>
        <bgColor indexed="64"/>
      </patternFill>
    </fill>
  </fills>
  <borders count="10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top style="medium">
        <color indexed="64"/>
      </top>
      <bottom style="medium">
        <color indexed="64"/>
      </bottom>
      <diagonal/>
    </border>
    <border>
      <left style="medium">
        <color rgb="FFFF0000"/>
      </left>
      <right/>
      <top style="medium">
        <color rgb="FFFF0000"/>
      </top>
      <bottom/>
      <diagonal/>
    </border>
    <border>
      <left/>
      <right/>
      <top style="medium">
        <color rgb="FFFF0000"/>
      </top>
      <bottom/>
      <diagonal/>
    </border>
    <border>
      <left style="medium">
        <color rgb="FFFF0000"/>
      </left>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top style="medium">
        <color rgb="FFFF0000"/>
      </top>
      <bottom style="medium">
        <color rgb="FFFF0000"/>
      </bottom>
      <diagonal/>
    </border>
    <border>
      <left style="medium">
        <color rgb="FFFF0000"/>
      </left>
      <right/>
      <top style="medium">
        <color rgb="FFFF0000"/>
      </top>
      <bottom style="thin">
        <color indexed="64"/>
      </bottom>
      <diagonal/>
    </border>
    <border>
      <left/>
      <right/>
      <top style="medium">
        <color rgb="FFFF0000"/>
      </top>
      <bottom style="thin">
        <color indexed="64"/>
      </bottom>
      <diagonal/>
    </border>
    <border>
      <left/>
      <right style="medium">
        <color rgb="FFFF0000"/>
      </right>
      <top style="medium">
        <color rgb="FFFF0000"/>
      </top>
      <bottom style="thin">
        <color indexed="64"/>
      </bottom>
      <diagonal/>
    </border>
    <border>
      <left style="medium">
        <color rgb="FFFF0000"/>
      </left>
      <right/>
      <top style="thin">
        <color indexed="64"/>
      </top>
      <bottom style="thin">
        <color indexed="64"/>
      </bottom>
      <diagonal/>
    </border>
    <border>
      <left/>
      <right style="medium">
        <color rgb="FFFF0000"/>
      </right>
      <top style="thin">
        <color indexed="64"/>
      </top>
      <bottom style="thin">
        <color indexed="64"/>
      </bottom>
      <diagonal/>
    </border>
    <border>
      <left style="medium">
        <color rgb="FFFF0000"/>
      </left>
      <right/>
      <top style="thin">
        <color indexed="64"/>
      </top>
      <bottom style="medium">
        <color rgb="FFFF0000"/>
      </bottom>
      <diagonal/>
    </border>
    <border>
      <left style="medium">
        <color rgb="FF00B050"/>
      </left>
      <right/>
      <top style="medium">
        <color rgb="FF00B050"/>
      </top>
      <bottom style="medium">
        <color rgb="FF00B050"/>
      </bottom>
      <diagonal/>
    </border>
    <border>
      <left/>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00B050"/>
      </left>
      <right/>
      <top style="medium">
        <color rgb="FF00B050"/>
      </top>
      <bottom/>
      <diagonal/>
    </border>
    <border>
      <left/>
      <right/>
      <top style="medium">
        <color rgb="FF00B050"/>
      </top>
      <bottom/>
      <diagonal/>
    </border>
    <border>
      <left/>
      <right style="medium">
        <color rgb="FF00B050"/>
      </right>
      <top style="medium">
        <color rgb="FF00B050"/>
      </top>
      <bottom/>
      <diagonal/>
    </border>
    <border>
      <left style="medium">
        <color rgb="FF00B050"/>
      </left>
      <right/>
      <top/>
      <bottom/>
      <diagonal/>
    </border>
    <border>
      <left/>
      <right style="medium">
        <color rgb="FF00B050"/>
      </right>
      <top/>
      <bottom/>
      <diagonal/>
    </border>
    <border>
      <left style="medium">
        <color rgb="FF00B050"/>
      </left>
      <right/>
      <top/>
      <bottom style="medium">
        <color rgb="FF00B050"/>
      </bottom>
      <diagonal/>
    </border>
    <border>
      <left/>
      <right/>
      <top/>
      <bottom style="medium">
        <color rgb="FF00B050"/>
      </bottom>
      <diagonal/>
    </border>
    <border>
      <left/>
      <right style="medium">
        <color rgb="FF00B050"/>
      </right>
      <top/>
      <bottom style="medium">
        <color rgb="FF00B050"/>
      </bottom>
      <diagonal/>
    </border>
    <border>
      <left style="medium">
        <color rgb="FF00B050"/>
      </left>
      <right/>
      <top style="medium">
        <color rgb="FF00B050"/>
      </top>
      <bottom style="thin">
        <color indexed="64"/>
      </bottom>
      <diagonal/>
    </border>
    <border>
      <left/>
      <right/>
      <top style="medium">
        <color rgb="FF00B050"/>
      </top>
      <bottom style="thin">
        <color indexed="64"/>
      </bottom>
      <diagonal/>
    </border>
    <border>
      <left/>
      <right style="medium">
        <color rgb="FF00B050"/>
      </right>
      <top style="medium">
        <color rgb="FF00B050"/>
      </top>
      <bottom style="thin">
        <color indexed="64"/>
      </bottom>
      <diagonal/>
    </border>
    <border>
      <left style="medium">
        <color rgb="FF00B050"/>
      </left>
      <right/>
      <top style="thin">
        <color indexed="64"/>
      </top>
      <bottom style="thin">
        <color indexed="64"/>
      </bottom>
      <diagonal/>
    </border>
    <border>
      <left/>
      <right style="medium">
        <color rgb="FF00B050"/>
      </right>
      <top style="thin">
        <color indexed="64"/>
      </top>
      <bottom style="thin">
        <color indexed="64"/>
      </bottom>
      <diagonal/>
    </border>
    <border>
      <left/>
      <right/>
      <top style="thin">
        <color indexed="64"/>
      </top>
      <bottom style="medium">
        <color rgb="FF00B050"/>
      </bottom>
      <diagonal/>
    </border>
    <border>
      <left/>
      <right style="medium">
        <color rgb="FF00B050"/>
      </right>
      <top style="thin">
        <color indexed="64"/>
      </top>
      <bottom style="medium">
        <color rgb="FF00B050"/>
      </bottom>
      <diagonal/>
    </border>
    <border>
      <left style="medium">
        <color rgb="FF00B0F0"/>
      </left>
      <right/>
      <top style="medium">
        <color rgb="FF00B0F0"/>
      </top>
      <bottom style="medium">
        <color rgb="FF00B0F0"/>
      </bottom>
      <diagonal/>
    </border>
    <border>
      <left/>
      <right/>
      <top style="medium">
        <color rgb="FF00B0F0"/>
      </top>
      <bottom style="medium">
        <color rgb="FF00B0F0"/>
      </bottom>
      <diagonal/>
    </border>
    <border>
      <left/>
      <right style="medium">
        <color rgb="FF00B0F0"/>
      </right>
      <top style="medium">
        <color rgb="FF00B0F0"/>
      </top>
      <bottom style="medium">
        <color rgb="FF00B0F0"/>
      </bottom>
      <diagonal/>
    </border>
    <border>
      <left style="medium">
        <color rgb="FF00B0F0"/>
      </left>
      <right/>
      <top style="medium">
        <color rgb="FF00B0F0"/>
      </top>
      <bottom/>
      <diagonal/>
    </border>
    <border>
      <left/>
      <right/>
      <top style="medium">
        <color rgb="FF00B0F0"/>
      </top>
      <bottom/>
      <diagonal/>
    </border>
    <border>
      <left/>
      <right style="medium">
        <color rgb="FF00B0F0"/>
      </right>
      <top style="medium">
        <color rgb="FF00B0F0"/>
      </top>
      <bottom/>
      <diagonal/>
    </border>
    <border>
      <left style="medium">
        <color rgb="FF00B0F0"/>
      </left>
      <right/>
      <top/>
      <bottom/>
      <diagonal/>
    </border>
    <border>
      <left/>
      <right style="medium">
        <color rgb="FF00B0F0"/>
      </right>
      <top/>
      <bottom/>
      <diagonal/>
    </border>
    <border>
      <left style="medium">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
      <left style="medium">
        <color rgb="FF00B0F0"/>
      </left>
      <right/>
      <top style="medium">
        <color rgb="FF00B0F0"/>
      </top>
      <bottom style="thin">
        <color indexed="64"/>
      </bottom>
      <diagonal/>
    </border>
    <border>
      <left/>
      <right/>
      <top style="medium">
        <color rgb="FF00B0F0"/>
      </top>
      <bottom style="thin">
        <color indexed="64"/>
      </bottom>
      <diagonal/>
    </border>
    <border>
      <left/>
      <right style="medium">
        <color rgb="FF00B0F0"/>
      </right>
      <top style="medium">
        <color rgb="FF00B0F0"/>
      </top>
      <bottom style="thin">
        <color indexed="64"/>
      </bottom>
      <diagonal/>
    </border>
    <border>
      <left style="medium">
        <color rgb="FF00B0F0"/>
      </left>
      <right/>
      <top style="thin">
        <color indexed="64"/>
      </top>
      <bottom style="thin">
        <color indexed="64"/>
      </bottom>
      <diagonal/>
    </border>
    <border>
      <left/>
      <right style="medium">
        <color rgb="FF00B0F0"/>
      </right>
      <top style="thin">
        <color indexed="64"/>
      </top>
      <bottom style="thin">
        <color indexed="64"/>
      </bottom>
      <diagonal/>
    </border>
    <border>
      <left/>
      <right/>
      <top style="thin">
        <color indexed="64"/>
      </top>
      <bottom style="medium">
        <color rgb="FFFF0000"/>
      </bottom>
      <diagonal/>
    </border>
    <border>
      <left/>
      <right style="medium">
        <color rgb="FFFF0000"/>
      </right>
      <top style="thin">
        <color indexed="64"/>
      </top>
      <bottom style="medium">
        <color rgb="FFFF0000"/>
      </bottom>
      <diagonal/>
    </border>
    <border>
      <left style="medium">
        <color rgb="FF00B0F0"/>
      </left>
      <right/>
      <top style="thin">
        <color indexed="64"/>
      </top>
      <bottom style="medium">
        <color rgb="FF00B0F0"/>
      </bottom>
      <diagonal/>
    </border>
    <border>
      <left/>
      <right/>
      <top style="thin">
        <color indexed="64"/>
      </top>
      <bottom style="medium">
        <color rgb="FF00B0F0"/>
      </bottom>
      <diagonal/>
    </border>
    <border>
      <left/>
      <right style="medium">
        <color rgb="FF00B0F0"/>
      </right>
      <top style="thin">
        <color indexed="64"/>
      </top>
      <bottom style="medium">
        <color rgb="FF00B0F0"/>
      </bottom>
      <diagonal/>
    </border>
    <border>
      <left style="medium">
        <color rgb="FF00B050"/>
      </left>
      <right/>
      <top style="thin">
        <color indexed="64"/>
      </top>
      <bottom style="medium">
        <color rgb="FF00B050"/>
      </bottom>
      <diagonal/>
    </border>
    <border>
      <left style="medium">
        <color rgb="FFFF0000"/>
      </left>
      <right style="medium">
        <color rgb="FFFF0000"/>
      </right>
      <top style="medium">
        <color rgb="FFFF0000"/>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6" fillId="0" borderId="0" applyNumberFormat="0" applyFill="0" applyBorder="0" applyAlignment="0" applyProtection="0"/>
  </cellStyleXfs>
  <cellXfs count="379">
    <xf numFmtId="0" fontId="0" fillId="0" borderId="0" xfId="0"/>
    <xf numFmtId="0" fontId="0" fillId="10" borderId="0" xfId="0" applyFill="1"/>
    <xf numFmtId="0" fontId="0" fillId="0" borderId="0" xfId="0" applyAlignment="1">
      <alignment vertical="top"/>
    </xf>
    <xf numFmtId="0" fontId="2" fillId="0" borderId="0" xfId="0" applyFont="1"/>
    <xf numFmtId="0" fontId="4" fillId="0" borderId="0" xfId="0" applyFont="1"/>
    <xf numFmtId="0" fontId="4" fillId="0" borderId="0" xfId="0" applyFont="1" applyAlignment="1">
      <alignment horizontal="left" vertical="center"/>
    </xf>
    <xf numFmtId="0" fontId="4" fillId="0" borderId="0" xfId="0" applyFont="1" applyAlignment="1" applyProtection="1">
      <alignment vertical="center"/>
      <protection locked="0"/>
    </xf>
    <xf numFmtId="0" fontId="9" fillId="0" borderId="0" xfId="0" applyFont="1" applyAlignment="1" applyProtection="1">
      <alignment horizontal="left"/>
      <protection locked="0"/>
    </xf>
    <xf numFmtId="0" fontId="0" fillId="0" borderId="0" xfId="0" applyProtection="1">
      <protection hidden="1"/>
    </xf>
    <xf numFmtId="0" fontId="4" fillId="0" borderId="0" xfId="0" applyFont="1" applyBorder="1" applyAlignment="1" applyProtection="1">
      <protection hidden="1"/>
    </xf>
    <xf numFmtId="0" fontId="7" fillId="0" borderId="0" xfId="0" applyFont="1" applyBorder="1" applyAlignment="1" applyProtection="1">
      <alignment horizontal="left" vertical="top"/>
      <protection hidden="1"/>
    </xf>
    <xf numFmtId="0" fontId="4" fillId="0" borderId="0" xfId="0" applyFont="1" applyBorder="1" applyAlignment="1" applyProtection="1">
      <alignment horizontal="center"/>
      <protection hidden="1"/>
    </xf>
    <xf numFmtId="0" fontId="4" fillId="0" borderId="0" xfId="0" applyFont="1" applyProtection="1">
      <protection hidden="1"/>
    </xf>
    <xf numFmtId="0" fontId="1" fillId="0" borderId="0" xfId="0" applyFont="1" applyProtection="1">
      <protection hidden="1"/>
    </xf>
    <xf numFmtId="0" fontId="4" fillId="0" borderId="0" xfId="0" applyFont="1" applyAlignment="1" applyProtection="1">
      <alignment horizontal="left" vertical="center"/>
      <protection hidden="1"/>
    </xf>
    <xf numFmtId="0" fontId="5" fillId="0" borderId="0" xfId="0" applyFont="1" applyProtection="1">
      <protection hidden="1"/>
    </xf>
    <xf numFmtId="0" fontId="1" fillId="0" borderId="0" xfId="0" applyFont="1" applyAlignment="1" applyProtection="1">
      <alignment horizontal="center" wrapText="1"/>
      <protection hidden="1"/>
    </xf>
    <xf numFmtId="0" fontId="4" fillId="12" borderId="7" xfId="0" applyFont="1" applyFill="1" applyBorder="1" applyAlignment="1" applyProtection="1">
      <alignment horizontal="left" vertical="top" wrapText="1"/>
      <protection hidden="1"/>
    </xf>
    <xf numFmtId="0" fontId="4" fillId="12" borderId="4" xfId="0" applyFont="1" applyFill="1" applyBorder="1" applyAlignment="1" applyProtection="1">
      <alignment horizontal="left" vertical="top" wrapText="1"/>
      <protection hidden="1"/>
    </xf>
    <xf numFmtId="0" fontId="4" fillId="12" borderId="12" xfId="0" applyFont="1" applyFill="1" applyBorder="1" applyAlignment="1" applyProtection="1">
      <alignment horizontal="left" vertical="top" wrapText="1"/>
      <protection hidden="1"/>
    </xf>
    <xf numFmtId="0" fontId="9" fillId="0" borderId="0" xfId="0" applyFont="1" applyAlignment="1" applyProtection="1">
      <alignment horizontal="left"/>
      <protection hidden="1"/>
    </xf>
    <xf numFmtId="0" fontId="6" fillId="0" borderId="0" xfId="0" applyFont="1" applyAlignment="1" applyProtection="1">
      <alignment horizontal="right"/>
      <protection hidden="1"/>
    </xf>
    <xf numFmtId="0" fontId="4" fillId="12" borderId="9" xfId="0" applyFont="1" applyFill="1" applyBorder="1" applyAlignment="1" applyProtection="1">
      <alignment horizontal="left" vertical="top" wrapText="1"/>
      <protection hidden="1"/>
    </xf>
    <xf numFmtId="0" fontId="0" fillId="0" borderId="0" xfId="0" applyAlignment="1" applyProtection="1">
      <alignment horizontal="left" vertical="center"/>
      <protection hidden="1"/>
    </xf>
    <xf numFmtId="0" fontId="11" fillId="0" borderId="0" xfId="0" applyFont="1" applyBorder="1" applyProtection="1">
      <protection hidden="1"/>
    </xf>
    <xf numFmtId="0" fontId="1" fillId="0" borderId="29" xfId="0" applyFont="1" applyBorder="1" applyAlignment="1" applyProtection="1">
      <alignment horizontal="center" vertical="center"/>
      <protection hidden="1"/>
    </xf>
    <xf numFmtId="0" fontId="1" fillId="0" borderId="30" xfId="0" applyFont="1" applyBorder="1" applyAlignment="1" applyProtection="1">
      <alignment horizontal="center" vertical="center"/>
      <protection hidden="1"/>
    </xf>
    <xf numFmtId="0" fontId="4" fillId="0" borderId="30" xfId="0" applyFont="1" applyBorder="1" applyAlignment="1" applyProtection="1">
      <alignment horizontal="center" vertical="center"/>
      <protection hidden="1"/>
    </xf>
    <xf numFmtId="0" fontId="14" fillId="0" borderId="23" xfId="0" applyFont="1" applyBorder="1" applyAlignment="1" applyProtection="1">
      <alignment horizontal="center" vertical="center" wrapText="1"/>
      <protection hidden="1"/>
    </xf>
    <xf numFmtId="0" fontId="14" fillId="0" borderId="24" xfId="0" applyFont="1" applyBorder="1" applyAlignment="1" applyProtection="1">
      <alignment horizontal="center" vertical="center" wrapText="1"/>
      <protection hidden="1"/>
    </xf>
    <xf numFmtId="0" fontId="14" fillId="0" borderId="24" xfId="0" applyFont="1" applyBorder="1" applyAlignment="1" applyProtection="1">
      <alignment horizontal="center" vertical="center"/>
      <protection hidden="1"/>
    </xf>
    <xf numFmtId="0" fontId="7" fillId="0" borderId="13" xfId="0" applyFont="1" applyBorder="1" applyProtection="1">
      <protection hidden="1"/>
    </xf>
    <xf numFmtId="0" fontId="15" fillId="0" borderId="32" xfId="0" applyFont="1" applyBorder="1" applyProtection="1">
      <protection hidden="1"/>
    </xf>
    <xf numFmtId="0" fontId="15" fillId="0" borderId="32" xfId="0" applyFont="1" applyFill="1" applyBorder="1" applyProtection="1">
      <protection hidden="1"/>
    </xf>
    <xf numFmtId="0" fontId="15" fillId="0" borderId="32" xfId="0" applyFont="1" applyBorder="1" applyAlignment="1" applyProtection="1">
      <alignment horizontal="left" vertical="center"/>
      <protection hidden="1"/>
    </xf>
    <xf numFmtId="0" fontId="15" fillId="0" borderId="34" xfId="0" applyFont="1" applyBorder="1" applyProtection="1">
      <protection hidden="1"/>
    </xf>
    <xf numFmtId="0" fontId="4" fillId="0" borderId="14" xfId="0" applyFont="1" applyBorder="1" applyProtection="1">
      <protection hidden="1"/>
    </xf>
    <xf numFmtId="0" fontId="7" fillId="0" borderId="20" xfId="0" applyFont="1" applyBorder="1" applyAlignment="1" applyProtection="1">
      <alignment horizontal="left" vertical="top" wrapText="1"/>
      <protection hidden="1"/>
    </xf>
    <xf numFmtId="0" fontId="15" fillId="0" borderId="6" xfId="0" applyFont="1" applyBorder="1" applyAlignment="1" applyProtection="1">
      <alignment vertical="center"/>
      <protection hidden="1"/>
    </xf>
    <xf numFmtId="0" fontId="15" fillId="0" borderId="6" xfId="0" applyFont="1" applyBorder="1" applyAlignment="1" applyProtection="1">
      <alignment horizontal="center"/>
      <protection hidden="1"/>
    </xf>
    <xf numFmtId="0" fontId="15" fillId="0" borderId="1" xfId="0" applyFont="1" applyBorder="1" applyAlignment="1" applyProtection="1">
      <alignment vertical="center"/>
      <protection hidden="1"/>
    </xf>
    <xf numFmtId="0" fontId="15" fillId="0" borderId="15" xfId="0" applyFont="1" applyBorder="1" applyAlignment="1" applyProtection="1">
      <alignment horizontal="right" vertical="center"/>
      <protection hidden="1"/>
    </xf>
    <xf numFmtId="0" fontId="15" fillId="0" borderId="0" xfId="0" applyFont="1" applyBorder="1" applyAlignment="1" applyProtection="1">
      <alignment vertical="center"/>
      <protection hidden="1"/>
    </xf>
    <xf numFmtId="0" fontId="15" fillId="0" borderId="0" xfId="0" applyFont="1" applyBorder="1" applyAlignment="1" applyProtection="1">
      <alignment horizontal="center"/>
      <protection hidden="1"/>
    </xf>
    <xf numFmtId="0" fontId="15" fillId="0" borderId="22" xfId="0" applyFont="1" applyBorder="1" applyAlignment="1" applyProtection="1">
      <alignment horizontal="center"/>
      <protection hidden="1"/>
    </xf>
    <xf numFmtId="0" fontId="15" fillId="0" borderId="41" xfId="0" applyFont="1" applyBorder="1" applyAlignment="1" applyProtection="1">
      <alignment horizontal="right" vertical="center"/>
      <protection hidden="1"/>
    </xf>
    <xf numFmtId="0" fontId="15" fillId="0" borderId="11" xfId="0" applyFont="1" applyBorder="1" applyAlignment="1" applyProtection="1">
      <alignment vertical="center"/>
      <protection hidden="1"/>
    </xf>
    <xf numFmtId="0" fontId="15" fillId="0" borderId="11" xfId="0" applyFont="1" applyBorder="1" applyAlignment="1" applyProtection="1">
      <alignment horizontal="center"/>
      <protection hidden="1"/>
    </xf>
    <xf numFmtId="0" fontId="15" fillId="0" borderId="4" xfId="0" applyFont="1" applyBorder="1" applyAlignment="1" applyProtection="1">
      <alignment vertical="center"/>
      <protection hidden="1"/>
    </xf>
    <xf numFmtId="0" fontId="15" fillId="0" borderId="15" xfId="0" applyFont="1" applyBorder="1" applyProtection="1">
      <protection hidden="1"/>
    </xf>
    <xf numFmtId="0" fontId="15" fillId="0" borderId="16" xfId="0" applyFont="1" applyBorder="1" applyAlignment="1" applyProtection="1">
      <alignment horizontal="right" vertical="center"/>
      <protection hidden="1"/>
    </xf>
    <xf numFmtId="0" fontId="15" fillId="0" borderId="17" xfId="0" applyFont="1" applyBorder="1" applyAlignment="1" applyProtection="1">
      <alignment vertical="center"/>
      <protection hidden="1"/>
    </xf>
    <xf numFmtId="0" fontId="15" fillId="0" borderId="17" xfId="0" applyFont="1" applyBorder="1" applyAlignment="1" applyProtection="1">
      <alignment horizontal="center"/>
      <protection hidden="1"/>
    </xf>
    <xf numFmtId="0" fontId="15" fillId="0" borderId="26" xfId="0" applyFont="1" applyBorder="1" applyAlignment="1" applyProtection="1">
      <alignment horizontal="center"/>
      <protection hidden="1"/>
    </xf>
    <xf numFmtId="0" fontId="15" fillId="0" borderId="36" xfId="0" applyFont="1" applyBorder="1" applyAlignment="1" applyProtection="1">
      <alignment vertical="center"/>
      <protection hidden="1"/>
    </xf>
    <xf numFmtId="0" fontId="4" fillId="0" borderId="26" xfId="0" applyFont="1" applyBorder="1" applyAlignment="1" applyProtection="1">
      <alignment horizontal="left" vertical="center" wrapText="1"/>
      <protection hidden="1"/>
    </xf>
    <xf numFmtId="0" fontId="15" fillId="0" borderId="35" xfId="0" applyFont="1" applyBorder="1" applyAlignment="1" applyProtection="1">
      <alignment horizontal="right" vertical="center"/>
      <protection hidden="1"/>
    </xf>
    <xf numFmtId="0" fontId="7" fillId="0" borderId="13" xfId="0" applyFont="1" applyBorder="1" applyAlignment="1" applyProtection="1">
      <alignment horizontal="left" vertical="center"/>
      <protection hidden="1"/>
    </xf>
    <xf numFmtId="0" fontId="15" fillId="0" borderId="32" xfId="0" applyFont="1" applyBorder="1" applyAlignment="1" applyProtection="1">
      <alignment horizontal="center"/>
      <protection hidden="1"/>
    </xf>
    <xf numFmtId="0" fontId="15" fillId="0" borderId="14" xfId="0" applyFont="1" applyBorder="1" applyAlignment="1" applyProtection="1">
      <alignment horizontal="center"/>
      <protection hidden="1"/>
    </xf>
    <xf numFmtId="0" fontId="15" fillId="0" borderId="30" xfId="0" applyFont="1" applyBorder="1" applyAlignment="1" applyProtection="1">
      <alignment horizontal="left" vertical="center"/>
      <protection hidden="1"/>
    </xf>
    <xf numFmtId="0" fontId="15" fillId="0" borderId="0" xfId="0" applyFont="1" applyBorder="1" applyAlignment="1" applyProtection="1">
      <alignment horizontal="left" vertical="center"/>
      <protection hidden="1"/>
    </xf>
    <xf numFmtId="0" fontId="15" fillId="0" borderId="1" xfId="0" applyFont="1" applyBorder="1" applyAlignment="1" applyProtection="1">
      <alignment horizontal="left" vertical="center"/>
      <protection hidden="1"/>
    </xf>
    <xf numFmtId="0" fontId="15" fillId="0" borderId="17" xfId="0" applyFont="1" applyBorder="1" applyAlignment="1" applyProtection="1">
      <alignment horizontal="left" vertical="center"/>
      <protection hidden="1"/>
    </xf>
    <xf numFmtId="0" fontId="15" fillId="0" borderId="24" xfId="0" applyFont="1" applyBorder="1" applyAlignment="1" applyProtection="1">
      <alignment horizontal="left" vertical="center"/>
      <protection hidden="1"/>
    </xf>
    <xf numFmtId="0" fontId="15" fillId="0" borderId="0" xfId="0" applyFont="1" applyBorder="1" applyAlignment="1" applyProtection="1">
      <alignment horizontal="right" vertical="center"/>
      <protection hidden="1"/>
    </xf>
    <xf numFmtId="0" fontId="15" fillId="0" borderId="0" xfId="0" applyFont="1" applyBorder="1" applyProtection="1">
      <protection hidden="1"/>
    </xf>
    <xf numFmtId="0" fontId="4" fillId="0" borderId="1" xfId="0" applyFont="1" applyBorder="1" applyAlignment="1" applyProtection="1">
      <alignment horizontal="left" vertical="center" wrapText="1"/>
      <protection hidden="1"/>
    </xf>
    <xf numFmtId="0" fontId="1" fillId="0" borderId="4" xfId="0" applyFont="1" applyBorder="1" applyAlignment="1" applyProtection="1">
      <alignment horizontal="center" vertical="center"/>
      <protection hidden="1"/>
    </xf>
    <xf numFmtId="0" fontId="9" fillId="0" borderId="0" xfId="0" applyFont="1" applyBorder="1" applyAlignment="1" applyProtection="1">
      <alignment horizontal="left"/>
      <protection hidden="1"/>
    </xf>
    <xf numFmtId="0" fontId="4" fillId="0" borderId="0" xfId="0" applyFont="1" applyBorder="1" applyAlignment="1" applyProtection="1">
      <alignment horizontal="left" vertical="center"/>
      <protection hidden="1"/>
    </xf>
    <xf numFmtId="0" fontId="9" fillId="0" borderId="0" xfId="0" applyFont="1" applyBorder="1" applyAlignment="1" applyProtection="1">
      <alignment horizontal="left" vertical="center"/>
      <protection hidden="1"/>
    </xf>
    <xf numFmtId="0" fontId="4" fillId="0" borderId="43" xfId="0" applyFont="1" applyBorder="1" applyAlignment="1" applyProtection="1">
      <alignment horizontal="left" vertical="center" wrapText="1"/>
      <protection hidden="1"/>
    </xf>
    <xf numFmtId="0" fontId="4" fillId="0" borderId="21" xfId="0" applyFont="1" applyBorder="1" applyAlignment="1" applyProtection="1">
      <alignment horizontal="left" vertical="center" wrapText="1"/>
      <protection hidden="1"/>
    </xf>
    <xf numFmtId="0" fontId="4" fillId="0" borderId="21" xfId="0" applyFont="1" applyBorder="1" applyAlignment="1" applyProtection="1">
      <alignment horizontal="left" vertical="center"/>
      <protection hidden="1"/>
    </xf>
    <xf numFmtId="0" fontId="15" fillId="0" borderId="44" xfId="0" applyFont="1" applyBorder="1" applyAlignment="1" applyProtection="1">
      <alignment horizontal="right" vertical="center"/>
      <protection hidden="1"/>
    </xf>
    <xf numFmtId="0" fontId="7" fillId="0" borderId="45" xfId="0" applyFont="1" applyBorder="1" applyAlignment="1" applyProtection="1">
      <alignment horizontal="left" vertical="top" wrapText="1"/>
      <protection hidden="1"/>
    </xf>
    <xf numFmtId="0" fontId="4" fillId="0" borderId="31" xfId="0" applyFont="1" applyBorder="1" applyAlignment="1" applyProtection="1">
      <alignment horizontal="center"/>
      <protection hidden="1"/>
    </xf>
    <xf numFmtId="0" fontId="14" fillId="0" borderId="25" xfId="0" applyFont="1" applyBorder="1" applyAlignment="1" applyProtection="1">
      <alignment horizontal="center" vertical="center" wrapText="1"/>
      <protection hidden="1"/>
    </xf>
    <xf numFmtId="0" fontId="15" fillId="0" borderId="0" xfId="0" applyFont="1" applyAlignment="1" applyProtection="1">
      <alignment horizontal="right"/>
      <protection hidden="1"/>
    </xf>
    <xf numFmtId="0" fontId="7" fillId="0" borderId="0" xfId="0" applyFont="1" applyProtection="1">
      <protection locked="0"/>
    </xf>
    <xf numFmtId="0" fontId="7" fillId="0" borderId="18" xfId="0" applyFont="1" applyBorder="1" applyAlignment="1" applyProtection="1">
      <alignment horizontal="left" vertical="center"/>
      <protection hidden="1"/>
    </xf>
    <xf numFmtId="0" fontId="15" fillId="0" borderId="18" xfId="0" applyFont="1" applyBorder="1" applyAlignment="1" applyProtection="1">
      <alignment horizontal="left" vertical="center"/>
      <protection hidden="1"/>
    </xf>
    <xf numFmtId="0" fontId="8" fillId="0" borderId="0" xfId="0" applyFont="1" applyAlignment="1" applyProtection="1">
      <alignment horizontal="center" vertical="center"/>
      <protection hidden="1"/>
    </xf>
    <xf numFmtId="0" fontId="4" fillId="0" borderId="14" xfId="0" applyFont="1" applyBorder="1" applyAlignment="1" applyProtection="1">
      <alignment horizontal="left" vertical="center" wrapText="1"/>
      <protection hidden="1"/>
    </xf>
    <xf numFmtId="0" fontId="4" fillId="0" borderId="22" xfId="0" applyFont="1" applyBorder="1" applyAlignment="1" applyProtection="1">
      <alignment horizontal="left" vertical="center" wrapText="1"/>
      <protection hidden="1"/>
    </xf>
    <xf numFmtId="0" fontId="15" fillId="0" borderId="7" xfId="0" applyFont="1" applyBorder="1" applyAlignment="1" applyProtection="1">
      <alignment vertical="center"/>
      <protection hidden="1"/>
    </xf>
    <xf numFmtId="0" fontId="15" fillId="0" borderId="46" xfId="0" applyFont="1" applyBorder="1" applyAlignment="1" applyProtection="1">
      <alignment horizontal="right" vertical="center"/>
      <protection hidden="1"/>
    </xf>
    <xf numFmtId="0" fontId="2" fillId="0" borderId="0" xfId="0" applyFont="1" applyProtection="1">
      <protection hidden="1"/>
    </xf>
    <xf numFmtId="1" fontId="3" fillId="2" borderId="0" xfId="0" applyNumberFormat="1" applyFont="1" applyFill="1" applyProtection="1">
      <protection hidden="1"/>
    </xf>
    <xf numFmtId="0" fontId="2" fillId="0" borderId="0" xfId="0" applyFont="1" applyAlignment="1" applyProtection="1">
      <alignment wrapText="1"/>
      <protection hidden="1"/>
    </xf>
    <xf numFmtId="1" fontId="2" fillId="3" borderId="0" xfId="0" applyNumberFormat="1" applyFont="1" applyFill="1" applyProtection="1">
      <protection hidden="1"/>
    </xf>
    <xf numFmtId="1" fontId="2" fillId="4" borderId="0" xfId="0" applyNumberFormat="1" applyFont="1" applyFill="1" applyProtection="1">
      <protection hidden="1"/>
    </xf>
    <xf numFmtId="1" fontId="3" fillId="11" borderId="0" xfId="0" applyNumberFormat="1" applyFont="1" applyFill="1" applyProtection="1">
      <protection hidden="1"/>
    </xf>
    <xf numFmtId="0" fontId="2" fillId="11" borderId="0" xfId="0" applyFont="1" applyFill="1" applyProtection="1">
      <protection hidden="1"/>
    </xf>
    <xf numFmtId="0" fontId="2" fillId="11" borderId="0" xfId="0" applyFont="1" applyFill="1" applyAlignment="1" applyProtection="1">
      <alignment wrapText="1"/>
      <protection hidden="1"/>
    </xf>
    <xf numFmtId="0" fontId="2" fillId="10" borderId="0" xfId="0" applyFont="1" applyFill="1" applyProtection="1">
      <protection hidden="1"/>
    </xf>
    <xf numFmtId="0" fontId="3" fillId="2" borderId="0" xfId="0" applyFont="1" applyFill="1" applyProtection="1">
      <protection hidden="1"/>
    </xf>
    <xf numFmtId="0" fontId="3" fillId="3" borderId="0" xfId="0" applyFont="1" applyFill="1" applyProtection="1">
      <protection hidden="1"/>
    </xf>
    <xf numFmtId="0" fontId="2" fillId="3" borderId="0" xfId="0" applyFont="1" applyFill="1" applyProtection="1">
      <protection hidden="1"/>
    </xf>
    <xf numFmtId="0" fontId="2" fillId="7" borderId="0" xfId="0" applyFont="1" applyFill="1" applyProtection="1">
      <protection hidden="1"/>
    </xf>
    <xf numFmtId="1" fontId="2" fillId="7" borderId="0" xfId="0" applyNumberFormat="1" applyFont="1" applyFill="1" applyProtection="1">
      <protection hidden="1"/>
    </xf>
    <xf numFmtId="0" fontId="2" fillId="4" borderId="0" xfId="0" applyFont="1" applyFill="1" applyProtection="1">
      <protection hidden="1"/>
    </xf>
    <xf numFmtId="0" fontId="3" fillId="11" borderId="0" xfId="0" applyFont="1" applyFill="1" applyProtection="1">
      <protection hidden="1"/>
    </xf>
    <xf numFmtId="0" fontId="2" fillId="10" borderId="0" xfId="0" applyFont="1" applyFill="1" applyAlignment="1" applyProtection="1">
      <alignment wrapText="1"/>
      <protection hidden="1"/>
    </xf>
    <xf numFmtId="0" fontId="3" fillId="7" borderId="0" xfId="0" applyFont="1" applyFill="1" applyProtection="1">
      <protection hidden="1"/>
    </xf>
    <xf numFmtId="0" fontId="3" fillId="8" borderId="0" xfId="0" applyFont="1" applyFill="1" applyProtection="1">
      <protection hidden="1"/>
    </xf>
    <xf numFmtId="0" fontId="2" fillId="5" borderId="0" xfId="0" applyFont="1" applyFill="1" applyProtection="1">
      <protection hidden="1"/>
    </xf>
    <xf numFmtId="0" fontId="3" fillId="9" borderId="0" xfId="0" applyFont="1" applyFill="1" applyProtection="1">
      <protection hidden="1"/>
    </xf>
    <xf numFmtId="0" fontId="3" fillId="6" borderId="0" xfId="0" applyFont="1" applyFill="1" applyProtection="1">
      <protection hidden="1"/>
    </xf>
    <xf numFmtId="0" fontId="3" fillId="4" borderId="0" xfId="0" applyFont="1" applyFill="1" applyProtection="1">
      <protection hidden="1"/>
    </xf>
    <xf numFmtId="0" fontId="10" fillId="0" borderId="1" xfId="0" applyFont="1" applyBorder="1" applyAlignment="1" applyProtection="1">
      <alignment vertical="top"/>
      <protection hidden="1"/>
    </xf>
    <xf numFmtId="0" fontId="0" fillId="10" borderId="1" xfId="0" applyFill="1" applyBorder="1" applyAlignment="1" applyProtection="1">
      <alignment horizontal="left" vertical="top" wrapText="1"/>
      <protection hidden="1"/>
    </xf>
    <xf numFmtId="0" fontId="7" fillId="10" borderId="1" xfId="0" applyFont="1" applyFill="1" applyBorder="1" applyAlignment="1" applyProtection="1">
      <alignment horizontal="center" vertical="center" wrapText="1"/>
      <protection hidden="1"/>
    </xf>
    <xf numFmtId="0" fontId="7" fillId="0" borderId="1" xfId="0" applyFont="1" applyBorder="1" applyAlignment="1" applyProtection="1">
      <alignment horizontal="center" vertical="center" wrapText="1"/>
      <protection hidden="1"/>
    </xf>
    <xf numFmtId="0" fontId="7" fillId="10" borderId="1" xfId="0" applyFont="1" applyFill="1" applyBorder="1" applyAlignment="1" applyProtection="1">
      <alignment horizontal="center" vertical="center"/>
      <protection hidden="1"/>
    </xf>
    <xf numFmtId="0" fontId="7" fillId="10" borderId="0" xfId="0" applyFont="1" applyFill="1" applyBorder="1" applyAlignment="1" applyProtection="1">
      <alignment horizontal="center" vertical="center"/>
      <protection hidden="1"/>
    </xf>
    <xf numFmtId="0" fontId="0" fillId="13" borderId="0" xfId="0" applyFill="1" applyBorder="1" applyAlignment="1" applyProtection="1">
      <alignment horizontal="left" vertical="top" wrapText="1"/>
      <protection hidden="1"/>
    </xf>
    <xf numFmtId="0" fontId="10" fillId="0" borderId="0" xfId="0" applyFont="1" applyBorder="1" applyAlignment="1" applyProtection="1">
      <alignment vertical="top"/>
      <protection hidden="1"/>
    </xf>
    <xf numFmtId="0" fontId="8" fillId="0" borderId="0" xfId="0" applyFont="1" applyProtection="1">
      <protection hidden="1"/>
    </xf>
    <xf numFmtId="0" fontId="7" fillId="10" borderId="0" xfId="0" applyFont="1" applyFill="1" applyBorder="1" applyAlignment="1" applyProtection="1">
      <alignment horizontal="center" vertical="center" wrapText="1"/>
      <protection hidden="1"/>
    </xf>
    <xf numFmtId="0" fontId="0" fillId="10" borderId="0" xfId="0" applyFill="1" applyBorder="1" applyAlignment="1" applyProtection="1">
      <alignment horizontal="left" vertical="top" wrapText="1"/>
      <protection hidden="1"/>
    </xf>
    <xf numFmtId="0" fontId="12" fillId="0" borderId="1" xfId="0" applyFont="1" applyBorder="1" applyAlignment="1" applyProtection="1">
      <alignment vertical="top" wrapText="1"/>
      <protection hidden="1"/>
    </xf>
    <xf numFmtId="0" fontId="11" fillId="10" borderId="1" xfId="0" applyFont="1" applyFill="1" applyBorder="1" applyAlignment="1" applyProtection="1">
      <alignment horizontal="left" vertical="top" wrapText="1"/>
      <protection hidden="1"/>
    </xf>
    <xf numFmtId="0" fontId="7" fillId="10" borderId="0" xfId="0" applyFont="1" applyFill="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7" fillId="10" borderId="0" xfId="0" applyFont="1" applyFill="1" applyAlignment="1" applyProtection="1">
      <alignment horizontal="center" vertical="center"/>
      <protection hidden="1"/>
    </xf>
    <xf numFmtId="0" fontId="12" fillId="0" borderId="0" xfId="0" applyFont="1" applyBorder="1" applyAlignment="1" applyProtection="1">
      <alignment vertical="top" wrapText="1"/>
      <protection hidden="1"/>
    </xf>
    <xf numFmtId="0" fontId="11" fillId="10" borderId="0" xfId="0" applyFont="1" applyFill="1" applyBorder="1" applyAlignment="1" applyProtection="1">
      <alignment horizontal="left" vertical="top" wrapText="1"/>
      <protection hidden="1"/>
    </xf>
    <xf numFmtId="0" fontId="10" fillId="0" borderId="1" xfId="0" applyFont="1" applyBorder="1" applyAlignment="1" applyProtection="1">
      <alignment vertical="top" wrapText="1"/>
      <protection hidden="1"/>
    </xf>
    <xf numFmtId="0" fontId="10" fillId="0" borderId="1" xfId="0" applyFont="1" applyBorder="1" applyAlignment="1" applyProtection="1">
      <alignment horizontal="left" vertical="top"/>
      <protection hidden="1"/>
    </xf>
    <xf numFmtId="0" fontId="0" fillId="10" borderId="0" xfId="0" applyFill="1" applyAlignment="1" applyProtection="1">
      <alignment horizontal="left" vertical="top" wrapText="1"/>
      <protection hidden="1"/>
    </xf>
    <xf numFmtId="0" fontId="10" fillId="0" borderId="1" xfId="0" applyFont="1" applyBorder="1" applyAlignment="1" applyProtection="1">
      <alignment horizontal="left" vertical="top" wrapText="1"/>
      <protection hidden="1"/>
    </xf>
    <xf numFmtId="0" fontId="10" fillId="0" borderId="0" xfId="0" applyFont="1" applyBorder="1" applyAlignment="1" applyProtection="1">
      <alignment horizontal="left" vertical="top" wrapText="1"/>
      <protection hidden="1"/>
    </xf>
    <xf numFmtId="0" fontId="10" fillId="0" borderId="0" xfId="0" applyFont="1" applyBorder="1" applyAlignment="1" applyProtection="1">
      <alignment horizontal="left" vertical="top"/>
      <protection hidden="1"/>
    </xf>
    <xf numFmtId="0" fontId="7" fillId="0" borderId="1" xfId="0" applyFont="1" applyBorder="1" applyAlignment="1" applyProtection="1">
      <alignment horizontal="center" vertical="center"/>
      <protection hidden="1"/>
    </xf>
    <xf numFmtId="0" fontId="12" fillId="0" borderId="1" xfId="0" applyFont="1" applyBorder="1" applyAlignment="1" applyProtection="1">
      <alignment horizontal="left" vertical="top" wrapText="1"/>
      <protection hidden="1"/>
    </xf>
    <xf numFmtId="0" fontId="11" fillId="0" borderId="1" xfId="0" applyFont="1" applyBorder="1" applyAlignment="1" applyProtection="1">
      <alignment horizontal="left" vertical="top" wrapText="1"/>
      <protection hidden="1"/>
    </xf>
    <xf numFmtId="0" fontId="12" fillId="0" borderId="0" xfId="0" applyFont="1" applyBorder="1" applyAlignment="1" applyProtection="1">
      <alignment horizontal="left" vertical="top" wrapText="1"/>
      <protection hidden="1"/>
    </xf>
    <xf numFmtId="0" fontId="10" fillId="0" borderId="0" xfId="0" applyFont="1" applyBorder="1" applyAlignment="1" applyProtection="1">
      <alignment vertical="top" wrapText="1"/>
      <protection hidden="1"/>
    </xf>
    <xf numFmtId="0" fontId="13" fillId="0" borderId="1" xfId="0" applyFont="1" applyBorder="1" applyAlignment="1" applyProtection="1">
      <alignment horizontal="left" vertical="top"/>
      <protection hidden="1"/>
    </xf>
    <xf numFmtId="0" fontId="13" fillId="0" borderId="0" xfId="0" applyFont="1" applyBorder="1" applyAlignment="1" applyProtection="1">
      <alignment horizontal="left" vertical="top"/>
      <protection hidden="1"/>
    </xf>
    <xf numFmtId="0" fontId="13" fillId="0" borderId="1" xfId="0" applyFont="1" applyBorder="1" applyAlignment="1" applyProtection="1">
      <alignment horizontal="left" vertical="top" wrapText="1"/>
      <protection hidden="1"/>
    </xf>
    <xf numFmtId="0" fontId="13" fillId="0" borderId="0" xfId="0" applyFont="1" applyBorder="1" applyAlignment="1" applyProtection="1">
      <alignment horizontal="left" vertical="top" wrapText="1"/>
      <protection hidden="1"/>
    </xf>
    <xf numFmtId="0" fontId="15" fillId="0" borderId="14" xfId="0" applyFont="1" applyBorder="1" applyProtection="1">
      <protection hidden="1"/>
    </xf>
    <xf numFmtId="0" fontId="15" fillId="0" borderId="47" xfId="0" applyFont="1" applyBorder="1" applyAlignment="1" applyProtection="1">
      <alignment horizontal="center"/>
      <protection hidden="1"/>
    </xf>
    <xf numFmtId="0" fontId="15" fillId="0" borderId="40" xfId="0" applyFont="1" applyBorder="1" applyAlignment="1" applyProtection="1">
      <alignment horizontal="center"/>
      <protection hidden="1"/>
    </xf>
    <xf numFmtId="0" fontId="20" fillId="0" borderId="0" xfId="0" applyFont="1" applyBorder="1" applyAlignment="1" applyProtection="1">
      <alignment vertical="top"/>
      <protection hidden="1"/>
    </xf>
    <xf numFmtId="0" fontId="21" fillId="10" borderId="0" xfId="0" applyFont="1" applyFill="1" applyAlignment="1" applyProtection="1">
      <alignment horizontal="center" vertical="center" wrapText="1"/>
      <protection hidden="1"/>
    </xf>
    <xf numFmtId="0" fontId="9" fillId="0" borderId="48" xfId="0" applyFont="1" applyBorder="1" applyAlignment="1" applyProtection="1">
      <alignment horizontal="left" vertical="center"/>
      <protection hidden="1"/>
    </xf>
    <xf numFmtId="0" fontId="9" fillId="0" borderId="48" xfId="0" applyFont="1" applyBorder="1" applyAlignment="1" applyProtection="1">
      <alignment vertical="center"/>
      <protection hidden="1"/>
    </xf>
    <xf numFmtId="0" fontId="9" fillId="0" borderId="0" xfId="0" applyFont="1" applyBorder="1" applyAlignment="1" applyProtection="1">
      <alignment horizontal="right" vertical="center"/>
      <protection hidden="1"/>
    </xf>
    <xf numFmtId="0" fontId="9" fillId="0" borderId="0" xfId="0" applyFont="1" applyAlignment="1" applyProtection="1">
      <alignment horizontal="right"/>
      <protection hidden="1"/>
    </xf>
    <xf numFmtId="0" fontId="9" fillId="0" borderId="0" xfId="0" applyFont="1" applyBorder="1" applyAlignment="1" applyProtection="1">
      <alignment horizontal="right"/>
      <protection hidden="1"/>
    </xf>
    <xf numFmtId="15" fontId="7" fillId="0" borderId="0" xfId="0" applyNumberFormat="1" applyFont="1" applyProtection="1">
      <protection locked="0"/>
    </xf>
    <xf numFmtId="0" fontId="0" fillId="0" borderId="1" xfId="0" applyBorder="1"/>
    <xf numFmtId="0" fontId="22" fillId="0" borderId="1" xfId="0" applyFont="1" applyBorder="1" applyAlignment="1">
      <alignment horizontal="right"/>
    </xf>
    <xf numFmtId="0" fontId="0" fillId="0" borderId="49" xfId="0" applyBorder="1"/>
    <xf numFmtId="0" fontId="0" fillId="0" borderId="50" xfId="0" applyBorder="1"/>
    <xf numFmtId="0" fontId="0" fillId="0" borderId="51" xfId="0" applyBorder="1"/>
    <xf numFmtId="0" fontId="0" fillId="0" borderId="0" xfId="0" applyBorder="1"/>
    <xf numFmtId="0" fontId="0" fillId="0" borderId="52" xfId="0" applyBorder="1"/>
    <xf numFmtId="0" fontId="0" fillId="0" borderId="53" xfId="0" applyBorder="1"/>
    <xf numFmtId="0" fontId="0" fillId="10" borderId="49" xfId="0" applyFill="1" applyBorder="1"/>
    <xf numFmtId="0" fontId="0" fillId="0" borderId="66" xfId="0" applyBorder="1"/>
    <xf numFmtId="0" fontId="0" fillId="0" borderId="67" xfId="0" applyBorder="1"/>
    <xf numFmtId="0" fontId="0" fillId="0" borderId="68" xfId="0" applyBorder="1"/>
    <xf numFmtId="0" fontId="0" fillId="0" borderId="69" xfId="0" applyBorder="1"/>
    <xf numFmtId="0" fontId="0" fillId="0" borderId="70" xfId="0" applyBorder="1"/>
    <xf numFmtId="0" fontId="0" fillId="0" borderId="71" xfId="0" applyBorder="1"/>
    <xf numFmtId="0" fontId="0" fillId="0" borderId="72" xfId="0" applyBorder="1"/>
    <xf numFmtId="0" fontId="0" fillId="0" borderId="73" xfId="0" applyBorder="1"/>
    <xf numFmtId="0" fontId="0" fillId="0" borderId="63" xfId="0" applyBorder="1"/>
    <xf numFmtId="0" fontId="0" fillId="0" borderId="64" xfId="0" applyBorder="1"/>
    <xf numFmtId="0" fontId="0" fillId="0" borderId="65" xfId="0" applyBorder="1"/>
    <xf numFmtId="0" fontId="0" fillId="0" borderId="66" xfId="0" applyBorder="1" applyAlignment="1">
      <alignment wrapText="1"/>
    </xf>
    <xf numFmtId="0" fontId="0" fillId="0" borderId="84" xfId="0" applyBorder="1"/>
    <xf numFmtId="0" fontId="0" fillId="0" borderId="85" xfId="0" applyBorder="1"/>
    <xf numFmtId="0" fontId="0" fillId="0" borderId="86" xfId="0" applyBorder="1"/>
    <xf numFmtId="0" fontId="0" fillId="0" borderId="87" xfId="0" applyBorder="1"/>
    <xf numFmtId="0" fontId="0" fillId="0" borderId="88" xfId="0" applyBorder="1"/>
    <xf numFmtId="0" fontId="0" fillId="0" borderId="89" xfId="0" applyBorder="1"/>
    <xf numFmtId="0" fontId="0" fillId="0" borderId="90" xfId="0" applyBorder="1"/>
    <xf numFmtId="0" fontId="0" fillId="0" borderId="91" xfId="0" applyBorder="1"/>
    <xf numFmtId="0" fontId="0" fillId="10" borderId="84" xfId="0" applyFill="1" applyBorder="1"/>
    <xf numFmtId="0" fontId="0" fillId="10" borderId="86" xfId="0" applyFill="1" applyBorder="1"/>
    <xf numFmtId="0" fontId="0" fillId="10" borderId="88" xfId="0" applyFill="1" applyBorder="1"/>
    <xf numFmtId="0" fontId="23" fillId="15" borderId="2" xfId="0" applyFont="1" applyFill="1" applyBorder="1" applyAlignment="1" applyProtection="1">
      <alignment horizontal="center" vertical="center"/>
      <protection locked="0"/>
    </xf>
    <xf numFmtId="0" fontId="23" fillId="15" borderId="10" xfId="0" applyFont="1" applyFill="1" applyBorder="1" applyAlignment="1" applyProtection="1">
      <alignment horizontal="center" vertical="center"/>
      <protection locked="0"/>
    </xf>
    <xf numFmtId="0" fontId="23" fillId="14" borderId="5" xfId="0" applyFont="1" applyFill="1" applyBorder="1" applyAlignment="1" applyProtection="1">
      <alignment horizontal="center" vertical="center" wrapText="1"/>
      <protection locked="0"/>
    </xf>
    <xf numFmtId="0" fontId="23" fillId="14" borderId="2" xfId="0" applyFont="1" applyFill="1" applyBorder="1" applyAlignment="1" applyProtection="1">
      <alignment horizontal="center" vertical="center" wrapText="1"/>
      <protection locked="0"/>
    </xf>
    <xf numFmtId="0" fontId="23" fillId="14" borderId="10" xfId="0" applyFont="1" applyFill="1" applyBorder="1" applyAlignment="1" applyProtection="1">
      <alignment horizontal="center" vertical="center" wrapText="1"/>
      <protection locked="0"/>
    </xf>
    <xf numFmtId="0" fontId="23" fillId="17" borderId="5" xfId="0" applyFont="1" applyFill="1" applyBorder="1" applyAlignment="1" applyProtection="1">
      <alignment horizontal="center" vertical="center"/>
      <protection locked="0"/>
    </xf>
    <xf numFmtId="0" fontId="23" fillId="17" borderId="2" xfId="0" applyFont="1" applyFill="1" applyBorder="1" applyAlignment="1" applyProtection="1">
      <alignment horizontal="center" vertical="center"/>
      <protection locked="0"/>
    </xf>
    <xf numFmtId="0" fontId="23" fillId="17" borderId="8" xfId="0" applyFont="1" applyFill="1" applyBorder="1" applyAlignment="1" applyProtection="1">
      <alignment horizontal="center" vertical="center"/>
      <protection locked="0"/>
    </xf>
    <xf numFmtId="0" fontId="23" fillId="18" borderId="5" xfId="0" applyFont="1" applyFill="1" applyBorder="1" applyAlignment="1" applyProtection="1">
      <alignment horizontal="center" vertical="center"/>
      <protection locked="0"/>
    </xf>
    <xf numFmtId="0" fontId="23" fillId="18" borderId="2" xfId="0" applyFont="1" applyFill="1" applyBorder="1" applyAlignment="1" applyProtection="1">
      <alignment horizontal="center" vertical="center"/>
      <protection locked="0"/>
    </xf>
    <xf numFmtId="0" fontId="23" fillId="18" borderId="10" xfId="0" applyFont="1" applyFill="1" applyBorder="1" applyAlignment="1" applyProtection="1">
      <alignment horizontal="center" vertical="center"/>
      <protection locked="0"/>
    </xf>
    <xf numFmtId="0" fontId="23" fillId="16" borderId="5" xfId="0" applyFont="1" applyFill="1" applyBorder="1" applyAlignment="1" applyProtection="1">
      <alignment horizontal="center" vertical="center"/>
      <protection locked="0"/>
    </xf>
    <xf numFmtId="0" fontId="23" fillId="16" borderId="2" xfId="0" applyFont="1" applyFill="1" applyBorder="1" applyAlignment="1" applyProtection="1">
      <alignment horizontal="center" vertical="center"/>
      <protection locked="0"/>
    </xf>
    <xf numFmtId="0" fontId="23" fillId="16" borderId="10" xfId="0" applyFont="1" applyFill="1" applyBorder="1" applyAlignment="1" applyProtection="1">
      <alignment horizontal="center" vertical="center"/>
      <protection locked="0"/>
    </xf>
    <xf numFmtId="0" fontId="9" fillId="0" borderId="48" xfId="0" applyFont="1" applyBorder="1" applyAlignment="1" applyProtection="1">
      <alignment horizontal="right" vertical="center"/>
      <protection hidden="1"/>
    </xf>
    <xf numFmtId="0" fontId="0" fillId="10" borderId="1" xfId="0" applyFont="1" applyFill="1" applyBorder="1" applyAlignment="1" applyProtection="1">
      <alignment horizontal="left" vertical="top" wrapText="1"/>
      <protection hidden="1"/>
    </xf>
    <xf numFmtId="0" fontId="0" fillId="0" borderId="1" xfId="0" applyFont="1" applyBorder="1" applyAlignment="1" applyProtection="1">
      <alignment horizontal="left" vertical="top" wrapText="1"/>
      <protection hidden="1"/>
    </xf>
    <xf numFmtId="0" fontId="0" fillId="0" borderId="1" xfId="0" applyFont="1" applyBorder="1" applyAlignment="1" applyProtection="1">
      <alignment vertical="top" wrapText="1"/>
      <protection hidden="1"/>
    </xf>
    <xf numFmtId="0" fontId="11" fillId="10" borderId="33" xfId="0" applyFont="1" applyFill="1" applyBorder="1" applyAlignment="1" applyProtection="1">
      <alignment horizontal="left" vertical="center" wrapText="1"/>
      <protection hidden="1"/>
    </xf>
    <xf numFmtId="0" fontId="11" fillId="10" borderId="27" xfId="0" applyFont="1" applyFill="1" applyBorder="1" applyAlignment="1" applyProtection="1">
      <alignment horizontal="left" vertical="center" wrapText="1"/>
      <protection hidden="1"/>
    </xf>
    <xf numFmtId="0" fontId="11" fillId="0" borderId="27" xfId="0" applyFont="1" applyBorder="1" applyAlignment="1" applyProtection="1">
      <alignment horizontal="left" vertical="center" wrapText="1"/>
      <protection hidden="1"/>
    </xf>
    <xf numFmtId="0" fontId="11" fillId="0" borderId="27" xfId="0" applyFont="1" applyBorder="1" applyAlignment="1" applyProtection="1">
      <alignment vertical="center" wrapText="1"/>
      <protection hidden="1"/>
    </xf>
    <xf numFmtId="0" fontId="11" fillId="10" borderId="28" xfId="0" applyFont="1" applyFill="1" applyBorder="1" applyAlignment="1" applyProtection="1">
      <alignment horizontal="left" vertical="center" wrapText="1"/>
      <protection hidden="1"/>
    </xf>
    <xf numFmtId="0" fontId="0" fillId="10" borderId="1" xfId="0" applyFont="1" applyFill="1" applyBorder="1" applyAlignment="1" applyProtection="1">
      <alignment vertical="top" wrapText="1"/>
      <protection hidden="1"/>
    </xf>
    <xf numFmtId="0" fontId="0" fillId="0" borderId="1" xfId="0" applyFont="1" applyBorder="1" applyAlignment="1" applyProtection="1">
      <alignment wrapText="1"/>
      <protection hidden="1"/>
    </xf>
    <xf numFmtId="0" fontId="11" fillId="10" borderId="1" xfId="0" applyFont="1" applyFill="1" applyBorder="1" applyAlignment="1" applyProtection="1">
      <alignment vertical="top" wrapText="1"/>
      <protection hidden="1"/>
    </xf>
    <xf numFmtId="0" fontId="11" fillId="0" borderId="1" xfId="0" applyFont="1" applyBorder="1" applyAlignment="1" applyProtection="1">
      <alignment vertical="top" wrapText="1"/>
      <protection hidden="1"/>
    </xf>
    <xf numFmtId="0" fontId="0" fillId="10" borderId="1" xfId="0" quotePrefix="1" applyFont="1" applyFill="1" applyBorder="1" applyAlignment="1" applyProtection="1">
      <alignment horizontal="left" vertical="top" wrapText="1"/>
      <protection hidden="1"/>
    </xf>
    <xf numFmtId="0" fontId="0" fillId="0" borderId="0" xfId="0" applyAlignment="1">
      <alignment wrapText="1"/>
    </xf>
    <xf numFmtId="0" fontId="26" fillId="0" borderId="0" xfId="0" applyFont="1"/>
    <xf numFmtId="0" fontId="15" fillId="0" borderId="0" xfId="0" applyFont="1" applyProtection="1">
      <protection locked="0"/>
    </xf>
    <xf numFmtId="15" fontId="15" fillId="0" borderId="0" xfId="0" applyNumberFormat="1" applyFont="1" applyProtection="1">
      <protection locked="0"/>
    </xf>
    <xf numFmtId="0" fontId="27" fillId="0" borderId="0" xfId="0" applyFont="1" applyAlignment="1">
      <alignment vertical="center"/>
    </xf>
    <xf numFmtId="0" fontId="28" fillId="0" borderId="0" xfId="0" applyFont="1" applyAlignment="1">
      <alignment vertical="center"/>
    </xf>
    <xf numFmtId="0" fontId="28" fillId="0" borderId="1" xfId="0" applyFont="1" applyBorder="1" applyAlignment="1">
      <alignment vertical="center"/>
    </xf>
    <xf numFmtId="0" fontId="10" fillId="0" borderId="1" xfId="0" applyFont="1" applyBorder="1" applyAlignment="1">
      <alignment horizontal="center" vertical="center"/>
    </xf>
    <xf numFmtId="0" fontId="29" fillId="0" borderId="0" xfId="0" applyFont="1" applyAlignment="1">
      <alignment horizontal="center" vertical="center" wrapText="1"/>
    </xf>
    <xf numFmtId="0" fontId="28" fillId="0" borderId="1" xfId="0" applyFont="1" applyBorder="1" applyAlignment="1">
      <alignment horizontal="right" vertical="center"/>
    </xf>
    <xf numFmtId="0" fontId="30" fillId="0" borderId="0" xfId="0" applyFont="1"/>
    <xf numFmtId="0" fontId="0" fillId="0" borderId="0" xfId="0" applyProtection="1">
      <protection locked="0"/>
    </xf>
    <xf numFmtId="0" fontId="27" fillId="0" borderId="0" xfId="0" applyFont="1" applyProtection="1">
      <protection locked="0"/>
    </xf>
    <xf numFmtId="0" fontId="28" fillId="0" borderId="0" xfId="0" applyFont="1" applyAlignment="1" applyProtection="1">
      <alignment vertical="center"/>
      <protection locked="0"/>
    </xf>
    <xf numFmtId="0" fontId="0" fillId="0" borderId="103" xfId="0" applyBorder="1" applyProtection="1">
      <protection locked="0"/>
    </xf>
    <xf numFmtId="0" fontId="28" fillId="0" borderId="0" xfId="0" applyFont="1" applyProtection="1">
      <protection locked="0"/>
    </xf>
    <xf numFmtId="1" fontId="28" fillId="0" borderId="0" xfId="0" applyNumberFormat="1" applyFont="1" applyAlignment="1">
      <alignment vertical="center"/>
    </xf>
    <xf numFmtId="0" fontId="10" fillId="0" borderId="0" xfId="0" applyFont="1" applyAlignment="1">
      <alignment horizontal="right"/>
    </xf>
    <xf numFmtId="0" fontId="31" fillId="0" borderId="0" xfId="0" applyFont="1"/>
    <xf numFmtId="0" fontId="32" fillId="0" borderId="0" xfId="0" applyFont="1"/>
    <xf numFmtId="0" fontId="27" fillId="0" borderId="0" xfId="0" applyFont="1"/>
    <xf numFmtId="0" fontId="29" fillId="10" borderId="0" xfId="0" applyFont="1" applyFill="1" applyAlignment="1">
      <alignment horizontal="center" vertical="center" wrapText="1"/>
    </xf>
    <xf numFmtId="0" fontId="0" fillId="3" borderId="0" xfId="0" applyFill="1"/>
    <xf numFmtId="0" fontId="25" fillId="0" borderId="29" xfId="0" applyFont="1" applyBorder="1"/>
    <xf numFmtId="0" fontId="0" fillId="0" borderId="31" xfId="0" applyBorder="1"/>
    <xf numFmtId="1" fontId="0" fillId="0" borderId="0" xfId="0" applyNumberFormat="1"/>
    <xf numFmtId="1" fontId="28" fillId="0" borderId="0" xfId="0" applyNumberFormat="1" applyFont="1"/>
    <xf numFmtId="0" fontId="25" fillId="0" borderId="104" xfId="0" applyFont="1" applyBorder="1"/>
    <xf numFmtId="0" fontId="0" fillId="0" borderId="105" xfId="0" applyBorder="1"/>
    <xf numFmtId="0" fontId="25" fillId="0" borderId="23" xfId="0" applyFont="1" applyBorder="1"/>
    <xf numFmtId="0" fontId="0" fillId="0" borderId="25" xfId="0" applyBorder="1"/>
    <xf numFmtId="0" fontId="0" fillId="0" borderId="106" xfId="0" applyBorder="1"/>
    <xf numFmtId="0" fontId="10" fillId="0" borderId="107" xfId="0" applyFont="1" applyBorder="1"/>
    <xf numFmtId="0" fontId="0" fillId="0" borderId="44" xfId="0" applyFill="1" applyBorder="1"/>
    <xf numFmtId="0" fontId="10" fillId="0" borderId="26" xfId="0" applyFont="1" applyBorder="1"/>
    <xf numFmtId="0" fontId="10" fillId="0" borderId="0" xfId="0" applyFont="1"/>
    <xf numFmtId="0" fontId="10" fillId="0" borderId="1" xfId="0" applyFont="1" applyBorder="1"/>
    <xf numFmtId="0" fontId="22" fillId="0" borderId="1" xfId="0" applyFont="1" applyBorder="1"/>
    <xf numFmtId="0" fontId="33" fillId="0" borderId="0" xfId="0" applyFont="1" applyAlignment="1">
      <alignment horizontal="right"/>
    </xf>
    <xf numFmtId="0" fontId="34" fillId="0" borderId="1" xfId="0" applyFont="1" applyBorder="1"/>
    <xf numFmtId="0" fontId="28" fillId="0" borderId="0" xfId="0" applyFont="1"/>
    <xf numFmtId="0" fontId="22" fillId="0" borderId="0" xfId="0" applyFont="1" applyBorder="1" applyAlignment="1">
      <alignment horizontal="right"/>
    </xf>
    <xf numFmtId="15" fontId="0" fillId="0" borderId="0" xfId="0" applyNumberFormat="1"/>
    <xf numFmtId="15" fontId="7" fillId="0" borderId="0" xfId="0" applyNumberFormat="1" applyFont="1" applyBorder="1" applyAlignment="1" applyProtection="1">
      <alignment horizontal="left" vertical="top"/>
      <protection hidden="1"/>
    </xf>
    <xf numFmtId="0" fontId="11" fillId="20" borderId="0" xfId="0" applyFont="1" applyFill="1"/>
    <xf numFmtId="0" fontId="0" fillId="20" borderId="0" xfId="0" applyFill="1"/>
    <xf numFmtId="0" fontId="0" fillId="15" borderId="0" xfId="0" applyFill="1"/>
    <xf numFmtId="0" fontId="0" fillId="18" borderId="0" xfId="0" applyFill="1"/>
    <xf numFmtId="0" fontId="0" fillId="21" borderId="0" xfId="0" applyFill="1"/>
    <xf numFmtId="0" fontId="0" fillId="22" borderId="0" xfId="0" applyFill="1"/>
    <xf numFmtId="0" fontId="0" fillId="23" borderId="0" xfId="0" applyFill="1"/>
    <xf numFmtId="0" fontId="0" fillId="19"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13" borderId="0" xfId="0" applyFill="1"/>
    <xf numFmtId="0" fontId="0" fillId="31" borderId="0" xfId="0" applyFill="1"/>
    <xf numFmtId="0" fontId="0" fillId="32" borderId="0" xfId="0" applyFill="1"/>
    <xf numFmtId="0" fontId="0" fillId="33" borderId="0" xfId="0" applyFill="1"/>
    <xf numFmtId="0" fontId="0" fillId="4" borderId="0" xfId="0" applyFill="1"/>
    <xf numFmtId="0" fontId="0" fillId="2" borderId="0" xfId="0" applyFill="1"/>
    <xf numFmtId="0" fontId="11" fillId="3" borderId="0" xfId="0" applyFont="1" applyFill="1"/>
    <xf numFmtId="0" fontId="10" fillId="0" borderId="0" xfId="0" applyFont="1" applyBorder="1" applyAlignment="1">
      <alignment horizontal="right"/>
    </xf>
    <xf numFmtId="49" fontId="28" fillId="0" borderId="0" xfId="0" applyNumberFormat="1" applyFont="1" applyAlignment="1" applyProtection="1">
      <alignment vertical="center"/>
      <protection locked="0"/>
    </xf>
    <xf numFmtId="49" fontId="22" fillId="0" borderId="0" xfId="0" applyNumberFormat="1" applyFont="1" applyProtection="1">
      <protection locked="0"/>
    </xf>
    <xf numFmtId="49" fontId="0" fillId="0" borderId="0" xfId="0" applyNumberFormat="1" applyProtection="1">
      <protection locked="0"/>
    </xf>
    <xf numFmtId="49" fontId="0" fillId="0" borderId="0" xfId="0" applyNumberFormat="1"/>
    <xf numFmtId="49" fontId="28" fillId="0" borderId="0" xfId="0" applyNumberFormat="1" applyFont="1" applyProtection="1">
      <protection locked="0"/>
    </xf>
    <xf numFmtId="49" fontId="28" fillId="0" borderId="0" xfId="0" applyNumberFormat="1" applyFont="1" applyAlignment="1">
      <alignment vertical="center"/>
    </xf>
    <xf numFmtId="49" fontId="35" fillId="0" borderId="0" xfId="0" applyNumberFormat="1" applyFont="1" applyAlignment="1" applyProtection="1">
      <alignment vertical="center"/>
      <protection locked="0"/>
    </xf>
    <xf numFmtId="0" fontId="7" fillId="34" borderId="0" xfId="0" applyFont="1" applyFill="1" applyProtection="1">
      <protection locked="0"/>
    </xf>
    <xf numFmtId="0" fontId="7" fillId="34" borderId="0" xfId="0" quotePrefix="1" applyFont="1" applyFill="1" applyProtection="1">
      <protection locked="0"/>
    </xf>
    <xf numFmtId="14" fontId="15" fillId="34" borderId="0" xfId="0" quotePrefix="1" applyNumberFormat="1" applyFont="1" applyFill="1" applyProtection="1">
      <protection locked="0"/>
    </xf>
    <xf numFmtId="0" fontId="0" fillId="0" borderId="1" xfId="0" applyBorder="1" applyAlignment="1">
      <alignment horizontal="center" vertical="center"/>
    </xf>
    <xf numFmtId="0" fontId="0" fillId="35" borderId="1" xfId="0" applyNumberFormat="1" applyFill="1" applyBorder="1" applyAlignment="1">
      <alignment horizontal="center" vertical="center"/>
    </xf>
    <xf numFmtId="0" fontId="0" fillId="12" borderId="1" xfId="0" applyNumberFormat="1" applyFill="1" applyBorder="1" applyAlignment="1">
      <alignment horizontal="center" vertical="center"/>
    </xf>
    <xf numFmtId="0" fontId="36" fillId="0" borderId="0" xfId="0" applyFont="1"/>
    <xf numFmtId="0" fontId="8" fillId="0" borderId="0" xfId="0" applyFont="1" applyAlignment="1" applyProtection="1">
      <alignment horizontal="center" vertical="center"/>
      <protection hidden="1"/>
    </xf>
    <xf numFmtId="0" fontId="8" fillId="0" borderId="0" xfId="0" applyFont="1" applyAlignment="1" applyProtection="1">
      <alignment horizontal="center"/>
      <protection hidden="1"/>
    </xf>
    <xf numFmtId="0" fontId="4" fillId="0" borderId="0" xfId="0" applyFont="1" applyAlignment="1" applyProtection="1">
      <alignment horizontal="center" vertical="top"/>
      <protection hidden="1"/>
    </xf>
    <xf numFmtId="0" fontId="8" fillId="0" borderId="13" xfId="0" applyFont="1" applyBorder="1" applyAlignment="1" applyProtection="1">
      <alignment horizontal="center" vertical="center"/>
      <protection hidden="1"/>
    </xf>
    <xf numFmtId="0" fontId="8" fillId="0" borderId="14" xfId="0" applyFont="1" applyBorder="1" applyAlignment="1" applyProtection="1">
      <alignment horizontal="center" vertical="center"/>
      <protection hidden="1"/>
    </xf>
    <xf numFmtId="0" fontId="8" fillId="0" borderId="15" xfId="0" applyFont="1" applyBorder="1" applyAlignment="1" applyProtection="1">
      <alignment horizontal="center" vertical="center"/>
      <protection hidden="1"/>
    </xf>
    <xf numFmtId="0" fontId="8" fillId="0" borderId="22" xfId="0" applyFont="1" applyBorder="1" applyAlignment="1" applyProtection="1">
      <alignment horizontal="center" vertical="center"/>
      <protection hidden="1"/>
    </xf>
    <xf numFmtId="0" fontId="8" fillId="0" borderId="16" xfId="0" applyFont="1" applyBorder="1" applyAlignment="1" applyProtection="1">
      <alignment horizontal="center" vertical="center"/>
      <protection hidden="1"/>
    </xf>
    <xf numFmtId="0" fontId="8" fillId="0" borderId="26" xfId="0" applyFont="1" applyBorder="1" applyAlignment="1" applyProtection="1">
      <alignment horizontal="center" vertical="center"/>
      <protection hidden="1"/>
    </xf>
    <xf numFmtId="0" fontId="1" fillId="0" borderId="13" xfId="0" applyFont="1" applyBorder="1" applyAlignment="1" applyProtection="1">
      <alignment horizontal="center" vertical="center"/>
      <protection hidden="1"/>
    </xf>
    <xf numFmtId="0" fontId="1" fillId="0" borderId="32" xfId="0" applyFont="1" applyBorder="1" applyAlignment="1" applyProtection="1">
      <alignment horizontal="center" vertical="center"/>
      <protection hidden="1"/>
    </xf>
    <xf numFmtId="0" fontId="1" fillId="0" borderId="14" xfId="0" applyFont="1" applyBorder="1" applyAlignment="1" applyProtection="1">
      <alignment horizontal="center" vertical="center"/>
      <protection hidden="1"/>
    </xf>
    <xf numFmtId="0" fontId="7" fillId="0" borderId="13" xfId="0" applyFont="1" applyBorder="1" applyAlignment="1" applyProtection="1">
      <alignment horizontal="center" vertical="center"/>
      <protection hidden="1"/>
    </xf>
    <xf numFmtId="0" fontId="7" fillId="0" borderId="14" xfId="0" applyFont="1" applyBorder="1" applyAlignment="1" applyProtection="1">
      <alignment horizontal="center" vertical="center"/>
      <protection hidden="1"/>
    </xf>
    <xf numFmtId="0" fontId="7" fillId="0" borderId="15" xfId="0" applyFont="1" applyBorder="1" applyAlignment="1" applyProtection="1">
      <alignment horizontal="center" vertical="center"/>
      <protection hidden="1"/>
    </xf>
    <xf numFmtId="0" fontId="7" fillId="0" borderId="22" xfId="0" applyFont="1" applyBorder="1" applyAlignment="1" applyProtection="1">
      <alignment horizontal="center" vertical="center"/>
      <protection hidden="1"/>
    </xf>
    <xf numFmtId="0" fontId="8" fillId="0" borderId="37" xfId="0" applyFont="1" applyBorder="1" applyAlignment="1" applyProtection="1">
      <alignment horizontal="center" vertical="center"/>
      <protection hidden="1"/>
    </xf>
    <xf numFmtId="0" fontId="8" fillId="0" borderId="38" xfId="0" applyFont="1" applyBorder="1" applyAlignment="1" applyProtection="1">
      <alignment horizontal="center" vertical="center"/>
      <protection hidden="1"/>
    </xf>
    <xf numFmtId="0" fontId="8" fillId="0" borderId="39" xfId="0" applyFont="1" applyBorder="1" applyAlignment="1" applyProtection="1">
      <alignment horizontal="center" vertical="center"/>
      <protection hidden="1"/>
    </xf>
    <xf numFmtId="0" fontId="15" fillId="0" borderId="41" xfId="0" applyFont="1" applyBorder="1" applyAlignment="1" applyProtection="1">
      <alignment horizontal="center" vertical="center"/>
      <protection hidden="1"/>
    </xf>
    <xf numFmtId="0" fontId="15" fillId="0" borderId="0" xfId="0" applyFont="1" applyBorder="1" applyAlignment="1" applyProtection="1">
      <alignment horizontal="center" vertical="center"/>
      <protection hidden="1"/>
    </xf>
    <xf numFmtId="0" fontId="15" fillId="0" borderId="22" xfId="0" applyFont="1" applyBorder="1" applyAlignment="1" applyProtection="1">
      <alignment horizontal="center" vertical="center"/>
      <protection hidden="1"/>
    </xf>
    <xf numFmtId="0" fontId="15" fillId="0" borderId="11" xfId="0" applyFont="1" applyBorder="1" applyAlignment="1" applyProtection="1">
      <alignment horizontal="center" vertical="center"/>
      <protection hidden="1"/>
    </xf>
    <xf numFmtId="0" fontId="15" fillId="0" borderId="40" xfId="0" applyFont="1" applyBorder="1" applyAlignment="1" applyProtection="1">
      <alignment horizontal="center" vertical="center"/>
      <protection hidden="1"/>
    </xf>
    <xf numFmtId="0" fontId="15" fillId="0" borderId="42" xfId="0" applyFont="1" applyBorder="1" applyAlignment="1" applyProtection="1">
      <alignment horizontal="center" vertical="center"/>
      <protection hidden="1"/>
    </xf>
    <xf numFmtId="0" fontId="15" fillId="0" borderId="3" xfId="0" applyFont="1" applyBorder="1" applyAlignment="1" applyProtection="1">
      <alignment horizontal="center" vertical="center"/>
      <protection hidden="1"/>
    </xf>
    <xf numFmtId="0" fontId="15" fillId="0" borderId="19" xfId="0" applyFont="1" applyBorder="1" applyAlignment="1" applyProtection="1">
      <alignment horizontal="center" vertical="center"/>
      <protection hidden="1"/>
    </xf>
    <xf numFmtId="0" fontId="9" fillId="0" borderId="48" xfId="0" applyFont="1" applyBorder="1" applyAlignment="1" applyProtection="1">
      <alignment horizontal="right" vertical="center"/>
      <protection hidden="1"/>
    </xf>
    <xf numFmtId="0" fontId="18" fillId="0" borderId="0" xfId="0" applyFont="1" applyBorder="1" applyAlignment="1" applyProtection="1">
      <alignment horizontal="center" vertical="top" wrapText="1"/>
      <protection hidden="1"/>
    </xf>
    <xf numFmtId="0" fontId="18" fillId="0" borderId="0" xfId="0" applyFont="1" applyBorder="1" applyAlignment="1" applyProtection="1">
      <alignment horizontal="center" vertical="center"/>
      <protection hidden="1"/>
    </xf>
    <xf numFmtId="0" fontId="19" fillId="10" borderId="0" xfId="1" applyFont="1" applyFill="1" applyBorder="1" applyAlignment="1" applyProtection="1">
      <alignment horizontal="center" vertical="top"/>
      <protection hidden="1"/>
    </xf>
    <xf numFmtId="0" fontId="19" fillId="10" borderId="0" xfId="0" applyFont="1" applyFill="1" applyBorder="1" applyAlignment="1" applyProtection="1">
      <alignment horizontal="center" vertical="top"/>
      <protection hidden="1"/>
    </xf>
    <xf numFmtId="0" fontId="17" fillId="0" borderId="0" xfId="0" applyFont="1" applyBorder="1" applyAlignment="1" applyProtection="1">
      <alignment horizontal="center"/>
      <protection hidden="1"/>
    </xf>
    <xf numFmtId="0" fontId="9" fillId="0" borderId="32" xfId="0" applyFont="1" applyBorder="1" applyAlignment="1" applyProtection="1">
      <alignment horizontal="right" vertical="center"/>
      <protection hidden="1"/>
    </xf>
    <xf numFmtId="0" fontId="4" fillId="0" borderId="2" xfId="0" applyFont="1" applyBorder="1" applyAlignment="1" applyProtection="1">
      <alignment horizontal="left" vertical="top" wrapText="1"/>
      <protection hidden="1"/>
    </xf>
    <xf numFmtId="0" fontId="4" fillId="0" borderId="3" xfId="0" applyFont="1" applyBorder="1" applyAlignment="1" applyProtection="1">
      <alignment horizontal="left" vertical="top" wrapText="1"/>
      <protection hidden="1"/>
    </xf>
    <xf numFmtId="0" fontId="4" fillId="0" borderId="3" xfId="0" applyFont="1" applyBorder="1" applyAlignment="1" applyProtection="1">
      <alignment horizontal="left" vertical="top"/>
      <protection hidden="1"/>
    </xf>
    <xf numFmtId="0" fontId="4" fillId="0" borderId="2" xfId="0" applyFont="1" applyBorder="1" applyAlignment="1" applyProtection="1">
      <alignment horizontal="left" vertical="center" wrapText="1"/>
      <protection hidden="1"/>
    </xf>
    <xf numFmtId="0" fontId="4" fillId="0" borderId="3" xfId="0" applyFont="1" applyBorder="1" applyAlignment="1" applyProtection="1">
      <alignment horizontal="left" vertical="center" wrapText="1"/>
      <protection hidden="1"/>
    </xf>
    <xf numFmtId="0" fontId="9" fillId="0" borderId="6" xfId="0" applyFont="1" applyBorder="1" applyAlignment="1" applyProtection="1">
      <alignment horizontal="right"/>
      <protection hidden="1"/>
    </xf>
    <xf numFmtId="0" fontId="7" fillId="0" borderId="56" xfId="0" applyFont="1" applyBorder="1" applyAlignment="1">
      <alignment horizontal="center"/>
    </xf>
    <xf numFmtId="0" fontId="7" fillId="0" borderId="55" xfId="0" applyFont="1" applyBorder="1" applyAlignment="1">
      <alignment horizontal="center"/>
    </xf>
    <xf numFmtId="0" fontId="7" fillId="0" borderId="54" xfId="0" applyFont="1" applyBorder="1" applyAlignment="1">
      <alignment horizontal="center"/>
    </xf>
    <xf numFmtId="0" fontId="0" fillId="0" borderId="57" xfId="0" applyBorder="1" applyAlignment="1">
      <alignment horizontal="left" wrapText="1"/>
    </xf>
    <xf numFmtId="0" fontId="0" fillId="0" borderId="58" xfId="0" applyBorder="1" applyAlignment="1">
      <alignment horizontal="left" wrapText="1"/>
    </xf>
    <xf numFmtId="0" fontId="0" fillId="0" borderId="59" xfId="0" applyBorder="1" applyAlignment="1">
      <alignment horizontal="left" wrapText="1"/>
    </xf>
    <xf numFmtId="0" fontId="0" fillId="0" borderId="60" xfId="0" applyBorder="1" applyAlignment="1">
      <alignment horizontal="left" wrapText="1"/>
    </xf>
    <xf numFmtId="0" fontId="0" fillId="0" borderId="3" xfId="0" applyBorder="1" applyAlignment="1">
      <alignment horizontal="left" wrapText="1"/>
    </xf>
    <xf numFmtId="0" fontId="0" fillId="0" borderId="61" xfId="0" applyBorder="1" applyAlignment="1">
      <alignment horizontal="left" wrapText="1"/>
    </xf>
    <xf numFmtId="0" fontId="0" fillId="0" borderId="62" xfId="0" applyBorder="1" applyAlignment="1">
      <alignment horizontal="left" wrapText="1"/>
    </xf>
    <xf numFmtId="0" fontId="0" fillId="0" borderId="97" xfId="0" applyBorder="1" applyAlignment="1">
      <alignment horizontal="left" wrapText="1"/>
    </xf>
    <xf numFmtId="0" fontId="0" fillId="0" borderId="98" xfId="0" applyBorder="1" applyAlignment="1">
      <alignment horizontal="left" wrapText="1"/>
    </xf>
    <xf numFmtId="0" fontId="0" fillId="0" borderId="60" xfId="0" applyBorder="1" applyAlignment="1">
      <alignment vertical="top" wrapText="1"/>
    </xf>
    <xf numFmtId="0" fontId="0" fillId="0" borderId="3" xfId="0" applyBorder="1" applyAlignment="1">
      <alignment vertical="top" wrapText="1"/>
    </xf>
    <xf numFmtId="0" fontId="0" fillId="0" borderId="61" xfId="0" applyBorder="1" applyAlignment="1">
      <alignment vertical="top" wrapText="1"/>
    </xf>
    <xf numFmtId="0" fontId="7" fillId="0" borderId="81" xfId="0" applyFont="1" applyBorder="1" applyAlignment="1">
      <alignment horizontal="center"/>
    </xf>
    <xf numFmtId="0" fontId="7" fillId="0" borderId="82" xfId="0" applyFont="1" applyBorder="1" applyAlignment="1">
      <alignment horizontal="center"/>
    </xf>
    <xf numFmtId="0" fontId="7" fillId="0" borderId="83" xfId="0" applyFont="1" applyBorder="1" applyAlignment="1">
      <alignment horizontal="center"/>
    </xf>
    <xf numFmtId="0" fontId="0" fillId="0" borderId="92" xfId="0" applyBorder="1" applyAlignment="1">
      <alignment horizontal="left" wrapText="1"/>
    </xf>
    <xf numFmtId="0" fontId="0" fillId="0" borderId="93" xfId="0" applyBorder="1" applyAlignment="1">
      <alignment horizontal="left" wrapText="1"/>
    </xf>
    <xf numFmtId="0" fontId="0" fillId="0" borderId="94" xfId="0" applyBorder="1" applyAlignment="1">
      <alignment horizontal="left" wrapText="1"/>
    </xf>
    <xf numFmtId="0" fontId="0" fillId="0" borderId="95" xfId="0" applyBorder="1" applyAlignment="1">
      <alignment horizontal="left" wrapText="1"/>
    </xf>
    <xf numFmtId="0" fontId="0" fillId="0" borderId="96" xfId="0" applyBorder="1" applyAlignment="1">
      <alignment horizontal="left" wrapText="1"/>
    </xf>
    <xf numFmtId="0" fontId="0" fillId="0" borderId="99" xfId="0" applyBorder="1" applyAlignment="1">
      <alignment horizontal="left" wrapText="1"/>
    </xf>
    <xf numFmtId="0" fontId="0" fillId="0" borderId="100" xfId="0" applyBorder="1" applyAlignment="1">
      <alignment horizontal="left" wrapText="1"/>
    </xf>
    <xf numFmtId="0" fontId="0" fillId="0" borderId="101" xfId="0" applyBorder="1" applyAlignment="1">
      <alignment horizontal="left" wrapText="1"/>
    </xf>
    <xf numFmtId="0" fontId="7" fillId="0" borderId="63" xfId="0" applyFont="1" applyBorder="1" applyAlignment="1">
      <alignment horizontal="center"/>
    </xf>
    <xf numFmtId="0" fontId="7" fillId="0" borderId="64" xfId="0" applyFont="1" applyBorder="1" applyAlignment="1">
      <alignment horizontal="center"/>
    </xf>
    <xf numFmtId="0" fontId="7" fillId="0" borderId="65" xfId="0" applyFont="1" applyBorder="1" applyAlignment="1">
      <alignment horizontal="center"/>
    </xf>
    <xf numFmtId="0" fontId="0" fillId="0" borderId="74" xfId="0" applyBorder="1" applyAlignment="1">
      <alignment horizontal="left" wrapText="1"/>
    </xf>
    <xf numFmtId="0" fontId="0" fillId="0" borderId="75" xfId="0" applyBorder="1" applyAlignment="1">
      <alignment horizontal="left" wrapText="1"/>
    </xf>
    <xf numFmtId="0" fontId="0" fillId="0" borderId="76" xfId="0" applyBorder="1" applyAlignment="1">
      <alignment horizontal="left" wrapText="1"/>
    </xf>
    <xf numFmtId="0" fontId="0" fillId="0" borderId="77" xfId="0" applyBorder="1" applyAlignment="1">
      <alignment horizontal="left" wrapText="1"/>
    </xf>
    <xf numFmtId="0" fontId="0" fillId="0" borderId="78" xfId="0" applyBorder="1" applyAlignment="1">
      <alignment horizontal="left" wrapText="1"/>
    </xf>
    <xf numFmtId="0" fontId="0" fillId="0" borderId="102" xfId="0" applyBorder="1" applyAlignment="1">
      <alignment horizontal="left" wrapText="1"/>
    </xf>
    <xf numFmtId="0" fontId="0" fillId="0" borderId="79" xfId="0" applyBorder="1" applyAlignment="1">
      <alignment horizontal="left" wrapText="1"/>
    </xf>
    <xf numFmtId="0" fontId="0" fillId="0" borderId="80" xfId="0" applyBorder="1" applyAlignment="1">
      <alignment horizontal="left" wrapText="1"/>
    </xf>
    <xf numFmtId="0" fontId="0" fillId="0" borderId="63" xfId="0" applyBorder="1" applyAlignment="1">
      <alignment horizontal="left" wrapText="1"/>
    </xf>
    <xf numFmtId="0" fontId="0" fillId="0" borderId="64" xfId="0" applyBorder="1" applyAlignment="1">
      <alignment horizontal="left" wrapText="1"/>
    </xf>
    <xf numFmtId="0" fontId="0" fillId="0" borderId="65" xfId="0" applyBorder="1" applyAlignment="1">
      <alignment horizontal="left" wrapText="1"/>
    </xf>
    <xf numFmtId="0" fontId="0" fillId="0" borderId="102" xfId="0" applyBorder="1" applyAlignment="1">
      <alignment horizontal="center"/>
    </xf>
    <xf numFmtId="0" fontId="0" fillId="0" borderId="79" xfId="0" applyBorder="1" applyAlignment="1">
      <alignment horizontal="center"/>
    </xf>
    <xf numFmtId="0" fontId="0" fillId="0" borderId="80"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FFFF"/>
      <color rgb="FFFF9933"/>
      <color rgb="FFFF00FF"/>
      <color rgb="FF66FF33"/>
      <color rgb="FF66CCFF"/>
      <color rgb="FFCCFF99"/>
      <color rgb="FFFFFFCC"/>
      <color rgb="FFCCFFFF"/>
      <color rgb="FFFF6699"/>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a:t>LINGKARAN PAPI Kostick</a:t>
            </a:r>
          </a:p>
        </c:rich>
      </c:tx>
      <c:layout/>
      <c:overlay val="0"/>
    </c:title>
    <c:autoTitleDeleted val="0"/>
    <c:plotArea>
      <c:layout/>
      <c:radarChart>
        <c:radarStyle val="marker"/>
        <c:varyColors val="0"/>
        <c:ser>
          <c:idx val="0"/>
          <c:order val="0"/>
          <c:tx>
            <c:strRef>
              <c:f>LINGKARAN!$C$11</c:f>
              <c:strCache>
                <c:ptCount val="1"/>
                <c:pt idx="0">
                  <c:v>Skor</c:v>
                </c:pt>
              </c:strCache>
            </c:strRef>
          </c:tx>
          <c:marker>
            <c:symbol val="none"/>
          </c:marker>
          <c:cat>
            <c:strRef>
              <c:f>LINGKARAN!$B$12:$B$31</c:f>
              <c:strCache>
                <c:ptCount val="20"/>
                <c:pt idx="0">
                  <c:v>N</c:v>
                </c:pt>
                <c:pt idx="1">
                  <c:v>G</c:v>
                </c:pt>
                <c:pt idx="2">
                  <c:v>A</c:v>
                </c:pt>
                <c:pt idx="3">
                  <c:v>L</c:v>
                </c:pt>
                <c:pt idx="4">
                  <c:v>P</c:v>
                </c:pt>
                <c:pt idx="5">
                  <c:v>I</c:v>
                </c:pt>
                <c:pt idx="6">
                  <c:v>T</c:v>
                </c:pt>
                <c:pt idx="7">
                  <c:v>V</c:v>
                </c:pt>
                <c:pt idx="8">
                  <c:v>X</c:v>
                </c:pt>
                <c:pt idx="9">
                  <c:v>S</c:v>
                </c:pt>
                <c:pt idx="10">
                  <c:v>B</c:v>
                </c:pt>
                <c:pt idx="11">
                  <c:v>O</c:v>
                </c:pt>
                <c:pt idx="12">
                  <c:v>R</c:v>
                </c:pt>
                <c:pt idx="13">
                  <c:v>D</c:v>
                </c:pt>
                <c:pt idx="14">
                  <c:v>C</c:v>
                </c:pt>
                <c:pt idx="15">
                  <c:v>Z</c:v>
                </c:pt>
                <c:pt idx="16">
                  <c:v>E</c:v>
                </c:pt>
                <c:pt idx="17">
                  <c:v>K</c:v>
                </c:pt>
                <c:pt idx="18">
                  <c:v>F</c:v>
                </c:pt>
                <c:pt idx="19">
                  <c:v>W</c:v>
                </c:pt>
              </c:strCache>
            </c:strRef>
          </c:cat>
          <c:val>
            <c:numRef>
              <c:f>LINGKARAN!$C$12:$C$31</c:f>
              <c:numCache>
                <c:formatCode>General</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val>
        </c:ser>
        <c:dLbls>
          <c:showLegendKey val="0"/>
          <c:showVal val="0"/>
          <c:showCatName val="0"/>
          <c:showSerName val="0"/>
          <c:showPercent val="0"/>
          <c:showBubbleSize val="0"/>
        </c:dLbls>
        <c:axId val="246847744"/>
        <c:axId val="269156352"/>
      </c:radarChart>
      <c:catAx>
        <c:axId val="246847744"/>
        <c:scaling>
          <c:orientation val="minMax"/>
        </c:scaling>
        <c:delete val="0"/>
        <c:axPos val="b"/>
        <c:majorGridlines/>
        <c:majorTickMark val="out"/>
        <c:minorTickMark val="none"/>
        <c:tickLblPos val="nextTo"/>
        <c:txPr>
          <a:bodyPr/>
          <a:lstStyle/>
          <a:p>
            <a:pPr>
              <a:defRPr lang="en-US"/>
            </a:pPr>
            <a:endParaRPr lang="en-US"/>
          </a:p>
        </c:txPr>
        <c:crossAx val="269156352"/>
        <c:crosses val="autoZero"/>
        <c:auto val="1"/>
        <c:lblAlgn val="ctr"/>
        <c:lblOffset val="100"/>
        <c:noMultiLvlLbl val="0"/>
      </c:catAx>
      <c:valAx>
        <c:axId val="269156352"/>
        <c:scaling>
          <c:orientation val="minMax"/>
          <c:max val="9"/>
          <c:min val="0"/>
        </c:scaling>
        <c:delete val="0"/>
        <c:axPos val="l"/>
        <c:majorGridlines/>
        <c:numFmt formatCode="General" sourceLinked="1"/>
        <c:majorTickMark val="cross"/>
        <c:minorTickMark val="none"/>
        <c:tickLblPos val="nextTo"/>
        <c:txPr>
          <a:bodyPr/>
          <a:lstStyle/>
          <a:p>
            <a:pPr>
              <a:defRPr lang="en-US"/>
            </a:pPr>
            <a:endParaRPr lang="en-US"/>
          </a:p>
        </c:txPr>
        <c:crossAx val="246847744"/>
        <c:crosses val="autoZero"/>
        <c:crossBetween val="between"/>
        <c:majorUnit val="1"/>
      </c:valAx>
    </c:plotArea>
    <c:legend>
      <c:legendPos val="b"/>
      <c:layout/>
      <c:overlay val="0"/>
      <c:txPr>
        <a:bodyPr/>
        <a:lstStyle/>
        <a:p>
          <a:pPr>
            <a:defRPr lang="en-US"/>
          </a:pPr>
          <a:endParaRPr lang="en-US"/>
        </a:p>
      </c:txPr>
    </c:legend>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520700</xdr:colOff>
      <xdr:row>10</xdr:row>
      <xdr:rowOff>0</xdr:rowOff>
    </xdr:from>
    <xdr:to>
      <xdr:col>12</xdr:col>
      <xdr:colOff>330200</xdr:colOff>
      <xdr:row>33</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431800</xdr:colOff>
      <xdr:row>21</xdr:row>
      <xdr:rowOff>101600</xdr:rowOff>
    </xdr:from>
    <xdr:to>
      <xdr:col>6</xdr:col>
      <xdr:colOff>457200</xdr:colOff>
      <xdr:row>21</xdr:row>
      <xdr:rowOff>114300</xdr:rowOff>
    </xdr:to>
    <xdr:cxnSp macro="">
      <xdr:nvCxnSpPr>
        <xdr:cNvPr id="3" name="Straight Arrow Connector 2"/>
        <xdr:cNvCxnSpPr/>
      </xdr:nvCxnSpPr>
      <xdr:spPr>
        <a:xfrm>
          <a:off x="4470400" y="4399280"/>
          <a:ext cx="6350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165100</xdr:colOff>
      <xdr:row>16</xdr:row>
      <xdr:rowOff>114300</xdr:rowOff>
    </xdr:from>
    <xdr:to>
      <xdr:col>7</xdr:col>
      <xdr:colOff>50800</xdr:colOff>
      <xdr:row>18</xdr:row>
      <xdr:rowOff>152400</xdr:rowOff>
    </xdr:to>
    <xdr:cxnSp macro="">
      <xdr:nvCxnSpPr>
        <xdr:cNvPr id="4" name="Straight Arrow Connector 3"/>
        <xdr:cNvCxnSpPr/>
      </xdr:nvCxnSpPr>
      <xdr:spPr>
        <a:xfrm>
          <a:off x="4813300" y="3497580"/>
          <a:ext cx="495300" cy="40386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5486400</xdr:colOff>
      <xdr:row>0</xdr:row>
      <xdr:rowOff>19050</xdr:rowOff>
    </xdr:from>
    <xdr:to>
      <xdr:col>11</xdr:col>
      <xdr:colOff>6267450</xdr:colOff>
      <xdr:row>0</xdr:row>
      <xdr:rowOff>257175</xdr:rowOff>
    </xdr:to>
    <xdr:sp macro="" textlink="">
      <xdr:nvSpPr>
        <xdr:cNvPr id="2" name="TextBox 1"/>
        <xdr:cNvSpPr txBox="1"/>
      </xdr:nvSpPr>
      <xdr:spPr>
        <a:xfrm>
          <a:off x="19354800" y="19050"/>
          <a:ext cx="7810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RAHASIA</a:t>
          </a:r>
        </a:p>
      </xdr:txBody>
    </xdr:sp>
    <xdr:clientData/>
  </xdr:twoCellAnchor>
  <xdr:twoCellAnchor>
    <xdr:from>
      <xdr:col>7</xdr:col>
      <xdr:colOff>333375</xdr:colOff>
      <xdr:row>0</xdr:row>
      <xdr:rowOff>19050</xdr:rowOff>
    </xdr:from>
    <xdr:to>
      <xdr:col>8</xdr:col>
      <xdr:colOff>514350</xdr:colOff>
      <xdr:row>0</xdr:row>
      <xdr:rowOff>257175</xdr:rowOff>
    </xdr:to>
    <xdr:sp macro="" textlink="">
      <xdr:nvSpPr>
        <xdr:cNvPr id="3" name="TextBox 2"/>
        <xdr:cNvSpPr txBox="1"/>
      </xdr:nvSpPr>
      <xdr:spPr>
        <a:xfrm>
          <a:off x="8197215" y="19050"/>
          <a:ext cx="79819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RAHASIA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5486400</xdr:colOff>
      <xdr:row>0</xdr:row>
      <xdr:rowOff>19050</xdr:rowOff>
    </xdr:from>
    <xdr:to>
      <xdr:col>11</xdr:col>
      <xdr:colOff>6267450</xdr:colOff>
      <xdr:row>0</xdr:row>
      <xdr:rowOff>257175</xdr:rowOff>
    </xdr:to>
    <xdr:sp macro="" textlink="">
      <xdr:nvSpPr>
        <xdr:cNvPr id="4" name="TextBox 3"/>
        <xdr:cNvSpPr txBox="1"/>
      </xdr:nvSpPr>
      <xdr:spPr>
        <a:xfrm>
          <a:off x="18964275" y="19050"/>
          <a:ext cx="7810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RAHASIA</a:t>
          </a:r>
        </a:p>
      </xdr:txBody>
    </xdr:sp>
    <xdr:clientData/>
  </xdr:twoCellAnchor>
  <xdr:twoCellAnchor>
    <xdr:from>
      <xdr:col>7</xdr:col>
      <xdr:colOff>333375</xdr:colOff>
      <xdr:row>0</xdr:row>
      <xdr:rowOff>19050</xdr:rowOff>
    </xdr:from>
    <xdr:to>
      <xdr:col>8</xdr:col>
      <xdr:colOff>514350</xdr:colOff>
      <xdr:row>0</xdr:row>
      <xdr:rowOff>257175</xdr:rowOff>
    </xdr:to>
    <xdr:sp macro="" textlink="">
      <xdr:nvSpPr>
        <xdr:cNvPr id="5" name="TextBox 4"/>
        <xdr:cNvSpPr txBox="1"/>
      </xdr:nvSpPr>
      <xdr:spPr>
        <a:xfrm>
          <a:off x="7981950" y="19050"/>
          <a:ext cx="7810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RAHASIA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ostick/PROGRAM2017-Password/PAPI%20Kostick-Soal%20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NAMA PESERTA"/>
      <sheetName val="2. Petunjuk"/>
      <sheetName val="3. SOAL"/>
      <sheetName val="HITUNG"/>
      <sheetName val="LINGKARAN"/>
    </sheetNames>
    <sheetDataSet>
      <sheetData sheetId="0">
        <row r="4">
          <cell r="B4">
            <v>0</v>
          </cell>
        </row>
        <row r="5">
          <cell r="B5">
            <v>0</v>
          </cell>
        </row>
        <row r="6">
          <cell r="B6">
            <v>0</v>
          </cell>
        </row>
        <row r="7">
          <cell r="B7">
            <v>0</v>
          </cell>
        </row>
        <row r="8">
          <cell r="B8">
            <v>0</v>
          </cell>
        </row>
        <row r="9">
          <cell r="B9">
            <v>0</v>
          </cell>
        </row>
        <row r="10">
          <cell r="B10">
            <v>0</v>
          </cell>
        </row>
        <row r="11">
          <cell r="B11">
            <v>0</v>
          </cell>
        </row>
      </sheetData>
      <sheetData sheetId="1"/>
      <sheetData sheetId="2">
        <row r="28">
          <cell r="D28">
            <v>0</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hyperlink" Target="mailto:PSIKOGRAM/04-2015/@%20Dr.Ir.%20RITA%20MARKUS%20I.M.Psi.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hyperlink" Target="mailto:PSIKOGRAM/04-2015/@%20Dr.Ir.%20RITA%20MARKUS%20I.M.Psi.T"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3:G93"/>
  <sheetViews>
    <sheetView workbookViewId="0">
      <selection activeCell="D17" sqref="D17"/>
    </sheetView>
  </sheetViews>
  <sheetFormatPr defaultRowHeight="14.4"/>
  <cols>
    <col min="1" max="1" width="26.44140625" customWidth="1"/>
    <col min="2" max="2" width="33.44140625" customWidth="1"/>
    <col min="4" max="5" width="9.33203125" customWidth="1"/>
    <col min="7" max="7" width="8.88671875" style="295"/>
  </cols>
  <sheetData>
    <row r="3" spans="1:5">
      <c r="B3" s="216" t="s">
        <v>145</v>
      </c>
      <c r="D3" s="292" t="s">
        <v>1015</v>
      </c>
      <c r="E3" s="292" t="s">
        <v>1014</v>
      </c>
    </row>
    <row r="4" spans="1:5" ht="18">
      <c r="A4" s="79" t="s">
        <v>646</v>
      </c>
      <c r="B4" s="289"/>
      <c r="D4" s="293" t="str">
        <f>LEFT(G4,1)</f>
        <v/>
      </c>
      <c r="E4" s="294" t="str">
        <f>RIGHT(G4,1)</f>
        <v/>
      </c>
    </row>
    <row r="5" spans="1:5" ht="18">
      <c r="A5" s="79" t="s">
        <v>643</v>
      </c>
      <c r="B5" s="290"/>
      <c r="D5" s="293" t="str">
        <f t="shared" ref="D5:D12" si="0">LEFT(G5,1)</f>
        <v/>
      </c>
      <c r="E5" s="294" t="str">
        <f t="shared" ref="E5:E68" si="1">RIGHT(G5,1)</f>
        <v/>
      </c>
    </row>
    <row r="6" spans="1:5" ht="18">
      <c r="A6" s="79" t="s">
        <v>369</v>
      </c>
      <c r="B6" s="217"/>
      <c r="D6" s="293" t="str">
        <f t="shared" si="0"/>
        <v/>
      </c>
      <c r="E6" s="294" t="str">
        <f t="shared" si="1"/>
        <v/>
      </c>
    </row>
    <row r="7" spans="1:5" ht="18">
      <c r="A7" s="79" t="s">
        <v>370</v>
      </c>
      <c r="B7" s="217"/>
      <c r="C7" t="s">
        <v>678</v>
      </c>
      <c r="D7" s="293" t="str">
        <f t="shared" si="0"/>
        <v/>
      </c>
      <c r="E7" s="294" t="str">
        <f t="shared" si="1"/>
        <v/>
      </c>
    </row>
    <row r="8" spans="1:5" ht="18">
      <c r="A8" s="79" t="s">
        <v>371</v>
      </c>
      <c r="B8" s="217"/>
      <c r="D8" s="293" t="str">
        <f t="shared" si="0"/>
        <v/>
      </c>
      <c r="E8" s="294" t="str">
        <f t="shared" si="1"/>
        <v/>
      </c>
    </row>
    <row r="9" spans="1:5" ht="18">
      <c r="A9" s="79" t="s">
        <v>368</v>
      </c>
      <c r="B9" s="217"/>
      <c r="D9" s="293" t="str">
        <f t="shared" si="0"/>
        <v/>
      </c>
      <c r="E9" s="294" t="str">
        <f t="shared" si="1"/>
        <v/>
      </c>
    </row>
    <row r="10" spans="1:5" ht="18">
      <c r="A10" s="79" t="s">
        <v>644</v>
      </c>
      <c r="B10" s="218"/>
      <c r="D10" s="293" t="str">
        <f t="shared" si="0"/>
        <v/>
      </c>
      <c r="E10" s="294" t="str">
        <f t="shared" si="1"/>
        <v/>
      </c>
    </row>
    <row r="11" spans="1:5" ht="18">
      <c r="A11" s="79" t="s">
        <v>724</v>
      </c>
      <c r="B11" s="291"/>
      <c r="D11" s="293" t="str">
        <f t="shared" si="0"/>
        <v/>
      </c>
      <c r="E11" s="294" t="str">
        <f t="shared" si="1"/>
        <v/>
      </c>
    </row>
    <row r="12" spans="1:5">
      <c r="D12" s="293" t="str">
        <f t="shared" si="0"/>
        <v/>
      </c>
      <c r="E12" s="294" t="str">
        <f t="shared" si="1"/>
        <v/>
      </c>
    </row>
    <row r="13" spans="1:5">
      <c r="D13" s="293" t="str">
        <f>LEFT(G13,2)</f>
        <v/>
      </c>
      <c r="E13" s="294" t="str">
        <f t="shared" si="1"/>
        <v/>
      </c>
    </row>
    <row r="14" spans="1:5">
      <c r="D14" s="293" t="str">
        <f t="shared" ref="D14:D77" si="2">LEFT(G14,2)</f>
        <v/>
      </c>
      <c r="E14" s="294" t="str">
        <f t="shared" si="1"/>
        <v/>
      </c>
    </row>
    <row r="15" spans="1:5">
      <c r="D15" s="293" t="str">
        <f t="shared" si="2"/>
        <v/>
      </c>
      <c r="E15" s="294" t="str">
        <f t="shared" si="1"/>
        <v/>
      </c>
    </row>
    <row r="16" spans="1:5">
      <c r="D16" s="293" t="str">
        <f t="shared" si="2"/>
        <v/>
      </c>
      <c r="E16" s="294" t="str">
        <f t="shared" si="1"/>
        <v/>
      </c>
    </row>
    <row r="17" spans="4:5">
      <c r="D17" s="293" t="str">
        <f t="shared" si="2"/>
        <v/>
      </c>
      <c r="E17" s="294" t="str">
        <f t="shared" si="1"/>
        <v/>
      </c>
    </row>
    <row r="18" spans="4:5">
      <c r="D18" s="293" t="str">
        <f t="shared" si="2"/>
        <v/>
      </c>
      <c r="E18" s="294" t="str">
        <f t="shared" si="1"/>
        <v/>
      </c>
    </row>
    <row r="19" spans="4:5">
      <c r="D19" s="293" t="str">
        <f t="shared" si="2"/>
        <v/>
      </c>
      <c r="E19" s="294" t="str">
        <f t="shared" si="1"/>
        <v/>
      </c>
    </row>
    <row r="20" spans="4:5">
      <c r="D20" s="293" t="str">
        <f t="shared" si="2"/>
        <v/>
      </c>
      <c r="E20" s="294" t="str">
        <f t="shared" si="1"/>
        <v/>
      </c>
    </row>
    <row r="21" spans="4:5">
      <c r="D21" s="293" t="str">
        <f t="shared" si="2"/>
        <v/>
      </c>
      <c r="E21" s="294" t="str">
        <f t="shared" si="1"/>
        <v/>
      </c>
    </row>
    <row r="22" spans="4:5">
      <c r="D22" s="293" t="str">
        <f t="shared" si="2"/>
        <v/>
      </c>
      <c r="E22" s="294" t="str">
        <f t="shared" si="1"/>
        <v/>
      </c>
    </row>
    <row r="23" spans="4:5">
      <c r="D23" s="293" t="str">
        <f t="shared" si="2"/>
        <v/>
      </c>
      <c r="E23" s="294" t="str">
        <f t="shared" si="1"/>
        <v/>
      </c>
    </row>
    <row r="24" spans="4:5">
      <c r="D24" s="293" t="str">
        <f t="shared" si="2"/>
        <v/>
      </c>
      <c r="E24" s="294" t="str">
        <f t="shared" si="1"/>
        <v/>
      </c>
    </row>
    <row r="25" spans="4:5">
      <c r="D25" s="293" t="str">
        <f t="shared" si="2"/>
        <v/>
      </c>
      <c r="E25" s="294" t="str">
        <f t="shared" si="1"/>
        <v/>
      </c>
    </row>
    <row r="26" spans="4:5">
      <c r="D26" s="293" t="str">
        <f t="shared" si="2"/>
        <v/>
      </c>
      <c r="E26" s="294" t="str">
        <f t="shared" si="1"/>
        <v/>
      </c>
    </row>
    <row r="27" spans="4:5">
      <c r="D27" s="293" t="str">
        <f t="shared" si="2"/>
        <v/>
      </c>
      <c r="E27" s="294" t="str">
        <f t="shared" si="1"/>
        <v/>
      </c>
    </row>
    <row r="28" spans="4:5">
      <c r="D28" s="293" t="str">
        <f t="shared" si="2"/>
        <v/>
      </c>
      <c r="E28" s="294" t="str">
        <f t="shared" si="1"/>
        <v/>
      </c>
    </row>
    <row r="29" spans="4:5">
      <c r="D29" s="293" t="str">
        <f t="shared" si="2"/>
        <v/>
      </c>
      <c r="E29" s="294" t="str">
        <f t="shared" si="1"/>
        <v/>
      </c>
    </row>
    <row r="30" spans="4:5">
      <c r="D30" s="293" t="str">
        <f t="shared" si="2"/>
        <v/>
      </c>
      <c r="E30" s="294" t="str">
        <f t="shared" si="1"/>
        <v/>
      </c>
    </row>
    <row r="31" spans="4:5">
      <c r="D31" s="293" t="str">
        <f t="shared" si="2"/>
        <v/>
      </c>
      <c r="E31" s="294" t="str">
        <f t="shared" si="1"/>
        <v/>
      </c>
    </row>
    <row r="32" spans="4:5">
      <c r="D32" s="293" t="str">
        <f t="shared" si="2"/>
        <v/>
      </c>
      <c r="E32" s="294" t="str">
        <f t="shared" si="1"/>
        <v/>
      </c>
    </row>
    <row r="33" spans="4:5">
      <c r="D33" s="293" t="str">
        <f t="shared" si="2"/>
        <v/>
      </c>
      <c r="E33" s="294" t="str">
        <f t="shared" si="1"/>
        <v/>
      </c>
    </row>
    <row r="34" spans="4:5">
      <c r="D34" s="293" t="str">
        <f t="shared" si="2"/>
        <v/>
      </c>
      <c r="E34" s="294" t="str">
        <f t="shared" si="1"/>
        <v/>
      </c>
    </row>
    <row r="35" spans="4:5">
      <c r="D35" s="293" t="str">
        <f t="shared" si="2"/>
        <v/>
      </c>
      <c r="E35" s="294" t="str">
        <f t="shared" si="1"/>
        <v/>
      </c>
    </row>
    <row r="36" spans="4:5">
      <c r="D36" s="293" t="str">
        <f t="shared" si="2"/>
        <v/>
      </c>
      <c r="E36" s="294" t="str">
        <f t="shared" si="1"/>
        <v/>
      </c>
    </row>
    <row r="37" spans="4:5">
      <c r="D37" s="293" t="str">
        <f t="shared" si="2"/>
        <v/>
      </c>
      <c r="E37" s="294" t="str">
        <f t="shared" si="1"/>
        <v/>
      </c>
    </row>
    <row r="38" spans="4:5">
      <c r="D38" s="293" t="str">
        <f t="shared" si="2"/>
        <v/>
      </c>
      <c r="E38" s="294" t="str">
        <f t="shared" si="1"/>
        <v/>
      </c>
    </row>
    <row r="39" spans="4:5">
      <c r="D39" s="293" t="str">
        <f t="shared" si="2"/>
        <v/>
      </c>
      <c r="E39" s="294" t="str">
        <f t="shared" si="1"/>
        <v/>
      </c>
    </row>
    <row r="40" spans="4:5">
      <c r="D40" s="293" t="str">
        <f t="shared" si="2"/>
        <v/>
      </c>
      <c r="E40" s="294" t="str">
        <f t="shared" si="1"/>
        <v/>
      </c>
    </row>
    <row r="41" spans="4:5">
      <c r="D41" s="293" t="str">
        <f t="shared" si="2"/>
        <v/>
      </c>
      <c r="E41" s="294" t="str">
        <f t="shared" si="1"/>
        <v/>
      </c>
    </row>
    <row r="42" spans="4:5">
      <c r="D42" s="293" t="str">
        <f t="shared" si="2"/>
        <v/>
      </c>
      <c r="E42" s="294" t="str">
        <f t="shared" si="1"/>
        <v/>
      </c>
    </row>
    <row r="43" spans="4:5">
      <c r="D43" s="293" t="str">
        <f t="shared" si="2"/>
        <v/>
      </c>
      <c r="E43" s="294" t="str">
        <f t="shared" si="1"/>
        <v/>
      </c>
    </row>
    <row r="44" spans="4:5">
      <c r="D44" s="293" t="str">
        <f t="shared" si="2"/>
        <v/>
      </c>
      <c r="E44" s="294" t="str">
        <f t="shared" si="1"/>
        <v/>
      </c>
    </row>
    <row r="45" spans="4:5">
      <c r="D45" s="293" t="str">
        <f t="shared" si="2"/>
        <v/>
      </c>
      <c r="E45" s="294" t="str">
        <f t="shared" si="1"/>
        <v/>
      </c>
    </row>
    <row r="46" spans="4:5">
      <c r="D46" s="293" t="str">
        <f t="shared" si="2"/>
        <v/>
      </c>
      <c r="E46" s="294" t="str">
        <f t="shared" si="1"/>
        <v/>
      </c>
    </row>
    <row r="47" spans="4:5">
      <c r="D47" s="293" t="str">
        <f t="shared" si="2"/>
        <v/>
      </c>
      <c r="E47" s="294" t="str">
        <f t="shared" si="1"/>
        <v/>
      </c>
    </row>
    <row r="48" spans="4:5">
      <c r="D48" s="293" t="str">
        <f t="shared" si="2"/>
        <v/>
      </c>
      <c r="E48" s="294" t="str">
        <f t="shared" si="1"/>
        <v/>
      </c>
    </row>
    <row r="49" spans="4:5">
      <c r="D49" s="293" t="str">
        <f t="shared" si="2"/>
        <v/>
      </c>
      <c r="E49" s="294" t="str">
        <f t="shared" si="1"/>
        <v/>
      </c>
    </row>
    <row r="50" spans="4:5">
      <c r="D50" s="293" t="str">
        <f t="shared" si="2"/>
        <v/>
      </c>
      <c r="E50" s="294" t="str">
        <f t="shared" si="1"/>
        <v/>
      </c>
    </row>
    <row r="51" spans="4:5">
      <c r="D51" s="293" t="str">
        <f t="shared" si="2"/>
        <v/>
      </c>
      <c r="E51" s="294" t="str">
        <f t="shared" si="1"/>
        <v/>
      </c>
    </row>
    <row r="52" spans="4:5">
      <c r="D52" s="293" t="str">
        <f t="shared" si="2"/>
        <v/>
      </c>
      <c r="E52" s="294" t="str">
        <f t="shared" si="1"/>
        <v/>
      </c>
    </row>
    <row r="53" spans="4:5">
      <c r="D53" s="293" t="str">
        <f t="shared" si="2"/>
        <v/>
      </c>
      <c r="E53" s="294" t="str">
        <f t="shared" si="1"/>
        <v/>
      </c>
    </row>
    <row r="54" spans="4:5">
      <c r="D54" s="293" t="str">
        <f t="shared" si="2"/>
        <v/>
      </c>
      <c r="E54" s="294" t="str">
        <f t="shared" si="1"/>
        <v/>
      </c>
    </row>
    <row r="55" spans="4:5">
      <c r="D55" s="293" t="str">
        <f t="shared" si="2"/>
        <v/>
      </c>
      <c r="E55" s="294" t="str">
        <f t="shared" si="1"/>
        <v/>
      </c>
    </row>
    <row r="56" spans="4:5">
      <c r="D56" s="293" t="str">
        <f t="shared" si="2"/>
        <v/>
      </c>
      <c r="E56" s="294" t="str">
        <f t="shared" si="1"/>
        <v/>
      </c>
    </row>
    <row r="57" spans="4:5">
      <c r="D57" s="293" t="str">
        <f t="shared" si="2"/>
        <v/>
      </c>
      <c r="E57" s="294" t="str">
        <f t="shared" si="1"/>
        <v/>
      </c>
    </row>
    <row r="58" spans="4:5">
      <c r="D58" s="293" t="str">
        <f t="shared" si="2"/>
        <v/>
      </c>
      <c r="E58" s="294" t="str">
        <f t="shared" si="1"/>
        <v/>
      </c>
    </row>
    <row r="59" spans="4:5">
      <c r="D59" s="293" t="str">
        <f t="shared" si="2"/>
        <v/>
      </c>
      <c r="E59" s="294" t="str">
        <f t="shared" si="1"/>
        <v/>
      </c>
    </row>
    <row r="60" spans="4:5">
      <c r="D60" s="293" t="str">
        <f t="shared" si="2"/>
        <v/>
      </c>
      <c r="E60" s="294" t="str">
        <f t="shared" si="1"/>
        <v/>
      </c>
    </row>
    <row r="61" spans="4:5">
      <c r="D61" s="293" t="str">
        <f t="shared" si="2"/>
        <v/>
      </c>
      <c r="E61" s="294" t="str">
        <f t="shared" si="1"/>
        <v/>
      </c>
    </row>
    <row r="62" spans="4:5">
      <c r="D62" s="293" t="str">
        <f t="shared" si="2"/>
        <v/>
      </c>
      <c r="E62" s="294" t="str">
        <f t="shared" si="1"/>
        <v/>
      </c>
    </row>
    <row r="63" spans="4:5">
      <c r="D63" s="293" t="str">
        <f t="shared" si="2"/>
        <v/>
      </c>
      <c r="E63" s="294" t="str">
        <f t="shared" si="1"/>
        <v/>
      </c>
    </row>
    <row r="64" spans="4:5">
      <c r="D64" s="293" t="str">
        <f t="shared" si="2"/>
        <v/>
      </c>
      <c r="E64" s="294" t="str">
        <f t="shared" si="1"/>
        <v/>
      </c>
    </row>
    <row r="65" spans="4:5">
      <c r="D65" s="293" t="str">
        <f t="shared" si="2"/>
        <v/>
      </c>
      <c r="E65" s="294" t="str">
        <f t="shared" si="1"/>
        <v/>
      </c>
    </row>
    <row r="66" spans="4:5">
      <c r="D66" s="293" t="str">
        <f t="shared" si="2"/>
        <v/>
      </c>
      <c r="E66" s="294" t="str">
        <f t="shared" si="1"/>
        <v/>
      </c>
    </row>
    <row r="67" spans="4:5">
      <c r="D67" s="293" t="str">
        <f t="shared" si="2"/>
        <v/>
      </c>
      <c r="E67" s="294" t="str">
        <f t="shared" si="1"/>
        <v/>
      </c>
    </row>
    <row r="68" spans="4:5">
      <c r="D68" s="293" t="str">
        <f t="shared" si="2"/>
        <v/>
      </c>
      <c r="E68" s="294" t="str">
        <f t="shared" si="1"/>
        <v/>
      </c>
    </row>
    <row r="69" spans="4:5">
      <c r="D69" s="293" t="str">
        <f t="shared" si="2"/>
        <v/>
      </c>
      <c r="E69" s="294" t="str">
        <f t="shared" ref="E69:E93" si="3">RIGHT(G69,1)</f>
        <v/>
      </c>
    </row>
    <row r="70" spans="4:5">
      <c r="D70" s="293" t="str">
        <f t="shared" si="2"/>
        <v/>
      </c>
      <c r="E70" s="294" t="str">
        <f t="shared" si="3"/>
        <v/>
      </c>
    </row>
    <row r="71" spans="4:5">
      <c r="D71" s="293" t="str">
        <f t="shared" si="2"/>
        <v/>
      </c>
      <c r="E71" s="294" t="str">
        <f t="shared" si="3"/>
        <v/>
      </c>
    </row>
    <row r="72" spans="4:5">
      <c r="D72" s="293" t="str">
        <f t="shared" si="2"/>
        <v/>
      </c>
      <c r="E72" s="294" t="str">
        <f t="shared" si="3"/>
        <v/>
      </c>
    </row>
    <row r="73" spans="4:5">
      <c r="D73" s="293" t="str">
        <f t="shared" si="2"/>
        <v/>
      </c>
      <c r="E73" s="294" t="str">
        <f t="shared" si="3"/>
        <v/>
      </c>
    </row>
    <row r="74" spans="4:5">
      <c r="D74" s="293" t="str">
        <f t="shared" si="2"/>
        <v/>
      </c>
      <c r="E74" s="294" t="str">
        <f t="shared" si="3"/>
        <v/>
      </c>
    </row>
    <row r="75" spans="4:5">
      <c r="D75" s="293" t="str">
        <f t="shared" si="2"/>
        <v/>
      </c>
      <c r="E75" s="294" t="str">
        <f t="shared" si="3"/>
        <v/>
      </c>
    </row>
    <row r="76" spans="4:5">
      <c r="D76" s="293" t="str">
        <f t="shared" si="2"/>
        <v/>
      </c>
      <c r="E76" s="294" t="str">
        <f t="shared" si="3"/>
        <v/>
      </c>
    </row>
    <row r="77" spans="4:5">
      <c r="D77" s="293" t="str">
        <f t="shared" si="2"/>
        <v/>
      </c>
      <c r="E77" s="294" t="str">
        <f t="shared" si="3"/>
        <v/>
      </c>
    </row>
    <row r="78" spans="4:5">
      <c r="D78" s="293" t="str">
        <f t="shared" ref="D78:D93" si="4">LEFT(G78,2)</f>
        <v/>
      </c>
      <c r="E78" s="294" t="str">
        <f t="shared" si="3"/>
        <v/>
      </c>
    </row>
    <row r="79" spans="4:5">
      <c r="D79" s="293" t="str">
        <f t="shared" si="4"/>
        <v/>
      </c>
      <c r="E79" s="294" t="str">
        <f t="shared" si="3"/>
        <v/>
      </c>
    </row>
    <row r="80" spans="4:5">
      <c r="D80" s="293" t="str">
        <f t="shared" si="4"/>
        <v/>
      </c>
      <c r="E80" s="294" t="str">
        <f t="shared" si="3"/>
        <v/>
      </c>
    </row>
    <row r="81" spans="4:5">
      <c r="D81" s="293" t="str">
        <f t="shared" si="4"/>
        <v/>
      </c>
      <c r="E81" s="294" t="str">
        <f t="shared" si="3"/>
        <v/>
      </c>
    </row>
    <row r="82" spans="4:5">
      <c r="D82" s="293" t="str">
        <f t="shared" si="4"/>
        <v/>
      </c>
      <c r="E82" s="294" t="str">
        <f t="shared" si="3"/>
        <v/>
      </c>
    </row>
    <row r="83" spans="4:5">
      <c r="D83" s="293" t="str">
        <f t="shared" si="4"/>
        <v/>
      </c>
      <c r="E83" s="294" t="str">
        <f t="shared" si="3"/>
        <v/>
      </c>
    </row>
    <row r="84" spans="4:5">
      <c r="D84" s="293" t="str">
        <f t="shared" si="4"/>
        <v/>
      </c>
      <c r="E84" s="294" t="str">
        <f t="shared" si="3"/>
        <v/>
      </c>
    </row>
    <row r="85" spans="4:5">
      <c r="D85" s="293" t="str">
        <f t="shared" si="4"/>
        <v/>
      </c>
      <c r="E85" s="294" t="str">
        <f t="shared" si="3"/>
        <v/>
      </c>
    </row>
    <row r="86" spans="4:5">
      <c r="D86" s="293" t="str">
        <f t="shared" si="4"/>
        <v/>
      </c>
      <c r="E86" s="294" t="str">
        <f t="shared" si="3"/>
        <v/>
      </c>
    </row>
    <row r="87" spans="4:5">
      <c r="D87" s="293" t="str">
        <f t="shared" si="4"/>
        <v/>
      </c>
      <c r="E87" s="294" t="str">
        <f t="shared" si="3"/>
        <v/>
      </c>
    </row>
    <row r="88" spans="4:5">
      <c r="D88" s="293" t="str">
        <f t="shared" si="4"/>
        <v/>
      </c>
      <c r="E88" s="294" t="str">
        <f t="shared" si="3"/>
        <v/>
      </c>
    </row>
    <row r="89" spans="4:5">
      <c r="D89" s="293" t="str">
        <f t="shared" si="4"/>
        <v/>
      </c>
      <c r="E89" s="294" t="str">
        <f t="shared" si="3"/>
        <v/>
      </c>
    </row>
    <row r="90" spans="4:5">
      <c r="D90" s="293" t="str">
        <f t="shared" si="4"/>
        <v/>
      </c>
      <c r="E90" s="294" t="str">
        <f t="shared" si="3"/>
        <v/>
      </c>
    </row>
    <row r="91" spans="4:5">
      <c r="D91" s="293" t="str">
        <f t="shared" si="4"/>
        <v/>
      </c>
      <c r="E91" s="294" t="str">
        <f t="shared" si="3"/>
        <v/>
      </c>
    </row>
    <row r="92" spans="4:5">
      <c r="D92" s="293" t="str">
        <f t="shared" si="4"/>
        <v/>
      </c>
      <c r="E92" s="294" t="str">
        <f t="shared" si="3"/>
        <v/>
      </c>
    </row>
    <row r="93" spans="4:5">
      <c r="D93" s="293" t="str">
        <f t="shared" si="4"/>
        <v/>
      </c>
      <c r="E93" s="294" t="str">
        <f t="shared" si="3"/>
        <v/>
      </c>
    </row>
  </sheetData>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48"/>
  <sheetViews>
    <sheetView view="pageBreakPreview" topLeftCell="A37" zoomScaleSheetLayoutView="100" workbookViewId="0">
      <selection activeCell="O16" sqref="O16"/>
    </sheetView>
  </sheetViews>
  <sheetFormatPr defaultRowHeight="14.4"/>
  <cols>
    <col min="1" max="1" width="11.33203125" customWidth="1"/>
  </cols>
  <sheetData>
    <row r="2" spans="1:12">
      <c r="B2" s="155"/>
      <c r="C2" s="156" t="s">
        <v>3</v>
      </c>
      <c r="D2" s="156" t="s">
        <v>25</v>
      </c>
      <c r="E2" s="156" t="s">
        <v>35</v>
      </c>
      <c r="F2" s="156" t="s">
        <v>16</v>
      </c>
      <c r="G2" s="156" t="s">
        <v>17</v>
      </c>
      <c r="H2" s="156" t="s">
        <v>39</v>
      </c>
      <c r="I2" s="156" t="s">
        <v>14</v>
      </c>
      <c r="J2" s="156" t="s">
        <v>5</v>
      </c>
      <c r="K2" s="156" t="s">
        <v>4</v>
      </c>
      <c r="L2" s="156" t="s">
        <v>48</v>
      </c>
    </row>
    <row r="3" spans="1:12">
      <c r="C3" t="e">
        <f>HITUNG!$H$26</f>
        <v>#N/A</v>
      </c>
      <c r="D3" t="e">
        <f>HITUNG!$I$26</f>
        <v>#N/A</v>
      </c>
      <c r="E3" t="e">
        <f>HITUNG!$J$26</f>
        <v>#N/A</v>
      </c>
      <c r="F3" t="e">
        <f>HITUNG!$K$26</f>
        <v>#N/A</v>
      </c>
      <c r="G3" t="e">
        <f>HITUNG!$L$26</f>
        <v>#N/A</v>
      </c>
      <c r="H3" t="e">
        <f>HITUNG!$M$26</f>
        <v>#N/A</v>
      </c>
      <c r="I3" t="e">
        <f>HITUNG!$N$26</f>
        <v>#N/A</v>
      </c>
      <c r="J3" t="e">
        <f>HITUNG!$O$26</f>
        <v>#N/A</v>
      </c>
      <c r="K3" t="e">
        <f>HITUNG!$P$26</f>
        <v>#N/A</v>
      </c>
      <c r="L3" t="e">
        <f>HITUNG!$Q$26</f>
        <v>#N/A</v>
      </c>
    </row>
    <row r="5" spans="1:12">
      <c r="B5" s="155"/>
      <c r="C5" s="156" t="s">
        <v>2</v>
      </c>
      <c r="D5" s="156" t="s">
        <v>1</v>
      </c>
      <c r="E5" s="156" t="s">
        <v>30</v>
      </c>
      <c r="F5" s="156" t="s">
        <v>45</v>
      </c>
      <c r="G5" s="156" t="s">
        <v>41</v>
      </c>
      <c r="H5" s="156" t="s">
        <v>43</v>
      </c>
      <c r="I5" s="156" t="s">
        <v>55</v>
      </c>
      <c r="J5" s="156" t="s">
        <v>51</v>
      </c>
      <c r="K5" s="156" t="s">
        <v>22</v>
      </c>
      <c r="L5" s="156" t="s">
        <v>19</v>
      </c>
    </row>
    <row r="6" spans="1:12">
      <c r="C6" t="e">
        <f>HITUNG!$H$39</f>
        <v>#N/A</v>
      </c>
      <c r="D6" t="e">
        <f>HITUNG!$I$39</f>
        <v>#N/A</v>
      </c>
      <c r="E6" t="e">
        <f>HITUNG!$J$39</f>
        <v>#N/A</v>
      </c>
      <c r="F6" t="e">
        <f>HITUNG!$K$39</f>
        <v>#N/A</v>
      </c>
      <c r="G6" t="e">
        <f>HITUNG!$L$39</f>
        <v>#N/A</v>
      </c>
      <c r="H6" t="e">
        <f>HITUNG!$M$39</f>
        <v>#N/A</v>
      </c>
      <c r="I6" t="e">
        <f>HITUNG!$N$39</f>
        <v>#N/A</v>
      </c>
      <c r="J6" t="e">
        <f>HITUNG!$O$39</f>
        <v>#N/A</v>
      </c>
      <c r="K6" t="e">
        <f>HITUNG!$P$39</f>
        <v>#N/A</v>
      </c>
      <c r="L6" t="e">
        <f>HITUNG!$Q$39</f>
        <v>#N/A</v>
      </c>
    </row>
    <row r="7" spans="1:12" ht="15" thickBot="1"/>
    <row r="8" spans="1:12" ht="18.600000000000001" thickBot="1">
      <c r="B8" t="s">
        <v>647</v>
      </c>
      <c r="C8" t="s">
        <v>647</v>
      </c>
      <c r="D8" s="362" t="s">
        <v>345</v>
      </c>
      <c r="E8" s="363"/>
      <c r="F8" s="363"/>
      <c r="G8" s="363"/>
      <c r="H8" s="363"/>
      <c r="I8" s="363"/>
      <c r="J8" s="363"/>
      <c r="K8" s="363"/>
      <c r="L8" s="364"/>
    </row>
    <row r="9" spans="1:12" ht="30" customHeight="1">
      <c r="A9" s="164" t="s">
        <v>700</v>
      </c>
      <c r="B9" s="165" t="e">
        <f>'I.RANGE ANALYSIS'!K27</f>
        <v>#N/A</v>
      </c>
      <c r="C9" s="166" t="e">
        <f>'I.RANGE ANALYSIS'!K28</f>
        <v>#N/A</v>
      </c>
      <c r="D9" s="365" t="e">
        <f>IF(AND(D3=7,E6=7),"Pemimpin yang tegas", "-----")</f>
        <v>#N/A</v>
      </c>
      <c r="E9" s="366"/>
      <c r="F9" s="366"/>
      <c r="G9" s="366"/>
      <c r="H9" s="366"/>
      <c r="I9" s="366"/>
      <c r="J9" s="366"/>
      <c r="K9" s="366"/>
      <c r="L9" s="367"/>
    </row>
    <row r="10" spans="1:12" ht="30" customHeight="1">
      <c r="A10" s="167"/>
      <c r="B10" s="160"/>
      <c r="C10" s="168"/>
      <c r="D10" s="368" t="e">
        <f>IF(AND(D3=6,E6=3),"Bukan pemimpin alami, tapi merasa  dituntut untuk menunjukkan kepemimpinan", "-----")</f>
        <v>#N/A</v>
      </c>
      <c r="E10" s="343"/>
      <c r="F10" s="343"/>
      <c r="G10" s="343"/>
      <c r="H10" s="343"/>
      <c r="I10" s="343"/>
      <c r="J10" s="343"/>
      <c r="K10" s="343"/>
      <c r="L10" s="369"/>
    </row>
    <row r="11" spans="1:12" ht="30" customHeight="1" thickBot="1">
      <c r="A11" s="169"/>
      <c r="B11" s="170"/>
      <c r="C11" s="171"/>
      <c r="D11" s="370" t="e">
        <f>IF(AND(D3=2,E6=6),"Dapat memimpin, tapi kurang percaya diri; punya potensi untuk dikembangkan lebih lanjut.", "-----")</f>
        <v>#N/A</v>
      </c>
      <c r="E11" s="371"/>
      <c r="F11" s="371"/>
      <c r="G11" s="371"/>
      <c r="H11" s="371"/>
      <c r="I11" s="371"/>
      <c r="J11" s="371"/>
      <c r="K11" s="371"/>
      <c r="L11" s="372"/>
    </row>
    <row r="12" spans="1:12" ht="15" thickBot="1"/>
    <row r="13" spans="1:12" ht="30" customHeight="1" thickBot="1">
      <c r="A13" s="172" t="s">
        <v>701</v>
      </c>
      <c r="B13" s="173" t="e">
        <f>'I.RANGE ANALYSIS'!K23</f>
        <v>#N/A</v>
      </c>
      <c r="C13" s="173" t="e">
        <f>'I.RANGE ANALYSIS'!K24</f>
        <v>#N/A</v>
      </c>
      <c r="D13" s="373" t="e">
        <f>IF(AND(K6=1,L6=6),"Bawahan “mandiri’, butuh bantuan tapi menolak supervisi.", "-----")</f>
        <v>#N/A</v>
      </c>
      <c r="E13" s="374"/>
      <c r="F13" s="374"/>
      <c r="G13" s="374"/>
      <c r="H13" s="374"/>
      <c r="I13" s="374"/>
      <c r="J13" s="374"/>
      <c r="K13" s="374"/>
      <c r="L13" s="375"/>
    </row>
    <row r="14" spans="1:12" ht="15" thickBot="1"/>
    <row r="15" spans="1:12" ht="30" customHeight="1">
      <c r="A15" s="164" t="s">
        <v>699</v>
      </c>
      <c r="B15" s="165" t="e">
        <f>'I.RANGE ANALYSIS'!K13</f>
        <v>#N/A</v>
      </c>
      <c r="C15" s="166" t="e">
        <f>'I.RANGE ANALYSIS'!K14</f>
        <v>#N/A</v>
      </c>
      <c r="D15" s="365" t="e">
        <f>IF(AND(D6=7,C3=5,C6=3),"Profil eksekutif/pelaksana.", "-----")</f>
        <v>#N/A</v>
      </c>
      <c r="E15" s="366"/>
      <c r="F15" s="366"/>
      <c r="G15" s="366"/>
      <c r="H15" s="366"/>
      <c r="I15" s="366"/>
      <c r="J15" s="366"/>
      <c r="K15" s="366"/>
      <c r="L15" s="367"/>
    </row>
    <row r="16" spans="1:12" ht="30" customHeight="1">
      <c r="A16" s="167"/>
      <c r="B16" s="160" t="e">
        <f>'I.RANGE ANALYSIS'!K15</f>
        <v>#N/A</v>
      </c>
      <c r="C16" s="168"/>
      <c r="D16" s="368" t="e">
        <f>IF(AND(D6=7,C3=4,C6=7),"Profil profesional.", "-----")</f>
        <v>#N/A</v>
      </c>
      <c r="E16" s="343"/>
      <c r="F16" s="343"/>
      <c r="G16" s="343"/>
      <c r="H16" s="343"/>
      <c r="I16" s="343"/>
      <c r="J16" s="343"/>
      <c r="K16" s="343"/>
      <c r="L16" s="369"/>
    </row>
    <row r="17" spans="1:24" ht="30" customHeight="1">
      <c r="A17" s="167"/>
      <c r="B17" s="160"/>
      <c r="C17" s="168"/>
      <c r="D17" s="368" t="e">
        <f>IF(AND(D6=3,C3=4,C6=7),"Pekerja yang tekun.", "-----")</f>
        <v>#N/A</v>
      </c>
      <c r="E17" s="343"/>
      <c r="F17" s="343"/>
      <c r="G17" s="343"/>
      <c r="H17" s="343"/>
      <c r="I17" s="343"/>
      <c r="J17" s="343"/>
      <c r="K17" s="343"/>
      <c r="L17" s="369"/>
    </row>
    <row r="18" spans="1:24" ht="30" customHeight="1">
      <c r="A18" s="167"/>
      <c r="B18" s="160"/>
      <c r="C18" s="168"/>
      <c r="D18" s="368" t="e">
        <f>IF(AND(D6=3,C3=8,C6=3),"Pekerja keras tapi tidak produktif.", "-----")</f>
        <v>#N/A</v>
      </c>
      <c r="E18" s="343"/>
      <c r="F18" s="343"/>
      <c r="G18" s="343"/>
      <c r="H18" s="343"/>
      <c r="I18" s="343"/>
      <c r="J18" s="343"/>
      <c r="K18" s="343"/>
      <c r="L18" s="369"/>
    </row>
    <row r="19" spans="1:24" ht="30" customHeight="1">
      <c r="A19" s="167"/>
      <c r="B19" s="160"/>
      <c r="C19" s="168"/>
      <c r="D19" s="368" t="e">
        <f>IF(AND(D6=3,C3=3,C6=8),"Kura/kura/santai tapi tuntas.", "-----")</f>
        <v>#N/A</v>
      </c>
      <c r="E19" s="343"/>
      <c r="F19" s="343"/>
      <c r="G19" s="343"/>
      <c r="H19" s="343"/>
      <c r="I19" s="343"/>
      <c r="J19" s="343"/>
      <c r="K19" s="343"/>
      <c r="L19" s="369"/>
    </row>
    <row r="20" spans="1:24" ht="30" customHeight="1" thickBot="1">
      <c r="A20" s="169"/>
      <c r="B20" s="170"/>
      <c r="C20" s="171"/>
      <c r="D20" s="370" t="e">
        <f>IF(AND(D6=8,C3=8,C6=2),"Kelinci/melompat-lompat dan tidak tuntas.", "-----")</f>
        <v>#N/A</v>
      </c>
      <c r="E20" s="371"/>
      <c r="F20" s="371"/>
      <c r="G20" s="371"/>
      <c r="H20" s="371"/>
      <c r="I20" s="371"/>
      <c r="J20" s="371"/>
      <c r="K20" s="371"/>
      <c r="L20" s="372"/>
    </row>
    <row r="21" spans="1:24" ht="15" thickBot="1">
      <c r="A21" s="160"/>
      <c r="B21" s="160"/>
      <c r="C21" s="160"/>
      <c r="D21" s="160"/>
      <c r="E21" s="160"/>
      <c r="F21" s="160"/>
      <c r="G21" s="160"/>
      <c r="H21" s="160"/>
      <c r="I21" s="160"/>
      <c r="J21" s="160"/>
      <c r="K21" s="160"/>
      <c r="L21" s="160"/>
    </row>
    <row r="22" spans="1:24" ht="30" customHeight="1">
      <c r="A22" s="164" t="s">
        <v>702</v>
      </c>
      <c r="B22" s="165" t="e">
        <f>'I.RANGE ANALYSIS'!K16</f>
        <v>#N/A</v>
      </c>
      <c r="C22" s="166" t="e">
        <f>'I.RANGE ANALYSIS'!K18</f>
        <v>#N/A</v>
      </c>
      <c r="D22" s="365" t="e">
        <f>IF(AND(K3=5,J3=1,I3=7),"Perencana.", "-----")</f>
        <v>#N/A</v>
      </c>
      <c r="E22" s="366"/>
      <c r="F22" s="366"/>
      <c r="G22" s="366"/>
      <c r="H22" s="366"/>
      <c r="I22" s="366"/>
      <c r="J22" s="366"/>
      <c r="K22" s="366"/>
      <c r="L22" s="367"/>
    </row>
    <row r="23" spans="1:24" ht="30" customHeight="1" thickBot="1">
      <c r="A23" s="169"/>
      <c r="B23" s="170" t="e">
        <f>'I.RANGE ANALYSIS'!K17</f>
        <v>#N/A</v>
      </c>
      <c r="C23" s="171"/>
      <c r="D23" s="370"/>
      <c r="E23" s="371"/>
      <c r="F23" s="371"/>
      <c r="G23" s="371"/>
      <c r="H23" s="371"/>
      <c r="I23" s="371"/>
      <c r="J23" s="371"/>
      <c r="K23" s="371"/>
      <c r="L23" s="372"/>
    </row>
    <row r="24" spans="1:24" ht="15" thickBot="1"/>
    <row r="25" spans="1:24" ht="30" customHeight="1">
      <c r="A25" s="164" t="s">
        <v>703</v>
      </c>
      <c r="B25" s="165" t="e">
        <f>'I.RANGE ANALYSIS'!K29</f>
        <v>#N/A</v>
      </c>
      <c r="C25" s="166" t="e">
        <f>'I.RANGE ANALYSIS'!K18</f>
        <v>#N/A</v>
      </c>
      <c r="D25" s="365" t="e">
        <f>IF(AND(E3&gt;=3,I3=8),"Terlalu lama berpikir, lambat bertindak", "-----")</f>
        <v>#N/A</v>
      </c>
      <c r="E25" s="366"/>
      <c r="F25" s="366"/>
      <c r="G25" s="366"/>
      <c r="H25" s="366"/>
      <c r="I25" s="366"/>
      <c r="J25" s="366"/>
      <c r="K25" s="366"/>
      <c r="L25" s="367"/>
      <c r="X25" s="160"/>
    </row>
    <row r="26" spans="1:24" ht="30" customHeight="1">
      <c r="A26" s="167"/>
      <c r="B26" s="160"/>
      <c r="C26" s="168"/>
      <c r="D26" s="368" t="e">
        <f>IF(AND(E3&gt;=7,I3=7),"Lancar dan cepat dalam berpikir", "-----")</f>
        <v>#N/A</v>
      </c>
      <c r="E26" s="343"/>
      <c r="F26" s="343"/>
      <c r="G26" s="343"/>
      <c r="H26" s="343"/>
      <c r="I26" s="343"/>
      <c r="J26" s="343"/>
      <c r="K26" s="343"/>
      <c r="L26" s="369"/>
    </row>
    <row r="27" spans="1:24" ht="30" customHeight="1" thickBot="1">
      <c r="A27" s="169"/>
      <c r="B27" s="170"/>
      <c r="C27" s="171"/>
      <c r="D27" s="370" t="e">
        <f>IF(AND(E3&gt;=8,I3=8),"Impulsif", "-----")</f>
        <v>#N/A</v>
      </c>
      <c r="E27" s="371"/>
      <c r="F27" s="371"/>
      <c r="G27" s="371"/>
      <c r="H27" s="371"/>
      <c r="I27" s="371"/>
      <c r="J27" s="371"/>
      <c r="K27" s="371"/>
      <c r="L27" s="372"/>
      <c r="T27" s="160"/>
      <c r="U27" s="160"/>
    </row>
    <row r="28" spans="1:24" ht="15" thickBot="1"/>
    <row r="29" spans="1:24" ht="30" customHeight="1">
      <c r="A29" s="175" t="s">
        <v>704</v>
      </c>
      <c r="B29" s="165" t="e">
        <f>'I.RANGE ANALYSIS'!K27</f>
        <v>#N/A</v>
      </c>
      <c r="C29" s="166" t="e">
        <f>'I.RANGE ANALYSIS'!K33</f>
        <v>#N/A</v>
      </c>
      <c r="D29" s="365" t="e">
        <f>IF(AND(D3=8,E6=8,H3=3,G6=2,H6=1),"Gaya manajemen otokratis.", "-----")</f>
        <v>#N/A</v>
      </c>
      <c r="E29" s="366"/>
      <c r="F29" s="366"/>
      <c r="G29" s="366"/>
      <c r="H29" s="366"/>
      <c r="I29" s="366"/>
      <c r="J29" s="366"/>
      <c r="K29" s="366"/>
      <c r="L29" s="367"/>
    </row>
    <row r="30" spans="1:24" ht="30" customHeight="1">
      <c r="A30" s="167"/>
      <c r="B30" s="160" t="e">
        <f>'I.RANGE ANALYSIS'!K28</f>
        <v>#N/A</v>
      </c>
      <c r="C30" s="168" t="e">
        <f>'I.RANGE ANALYSIS'!K34</f>
        <v>#N/A</v>
      </c>
      <c r="D30" s="368" t="e">
        <f>IF(AND(D3=5,E6=5,H3=7,G6=5,H6=3),"Gaya manajemen demokratis/partisipatif.", "-----")</f>
        <v>#N/A</v>
      </c>
      <c r="E30" s="343"/>
      <c r="F30" s="343"/>
      <c r="G30" s="343"/>
      <c r="H30" s="343"/>
      <c r="I30" s="343"/>
      <c r="J30" s="343"/>
      <c r="K30" s="343"/>
      <c r="L30" s="369"/>
    </row>
    <row r="31" spans="1:24" ht="30" customHeight="1" thickBot="1">
      <c r="A31" s="169"/>
      <c r="B31" s="170" t="e">
        <f>'I.RANGE ANALYSIS'!K32</f>
        <v>#N/A</v>
      </c>
      <c r="C31" s="171"/>
      <c r="D31" s="370"/>
      <c r="E31" s="371"/>
      <c r="F31" s="371"/>
      <c r="G31" s="371"/>
      <c r="H31" s="371"/>
      <c r="I31" s="371"/>
      <c r="J31" s="371"/>
      <c r="K31" s="371"/>
      <c r="L31" s="372"/>
    </row>
    <row r="32" spans="1:24" ht="15" thickBot="1"/>
    <row r="33" spans="1:12" ht="30" customHeight="1">
      <c r="A33" s="164" t="s">
        <v>705</v>
      </c>
      <c r="B33" s="165" t="e">
        <f>'I.RANGE ANALYSIS'!K32</f>
        <v>#N/A</v>
      </c>
      <c r="C33" s="166" t="e">
        <f>'I.RANGE ANALYSIS'!K34</f>
        <v>#N/A</v>
      </c>
      <c r="D33" s="365" t="e">
        <f>IF(AND(H3=7,H6=3),"Dapat mempengaruhi.", "-----")</f>
        <v>#N/A</v>
      </c>
      <c r="E33" s="366"/>
      <c r="F33" s="366"/>
      <c r="G33" s="366"/>
      <c r="H33" s="366"/>
      <c r="I33" s="366"/>
      <c r="J33" s="366"/>
      <c r="K33" s="366"/>
      <c r="L33" s="367"/>
    </row>
    <row r="34" spans="1:12" ht="30" customHeight="1" thickBot="1">
      <c r="A34" s="169"/>
      <c r="B34" s="170"/>
      <c r="C34" s="171"/>
      <c r="D34" s="370" t="e">
        <f>IF(AND(H3=2,H6=7),"Dapat dipengaruhi.", "-----")</f>
        <v>#N/A</v>
      </c>
      <c r="E34" s="371"/>
      <c r="F34" s="371"/>
      <c r="G34" s="371"/>
      <c r="H34" s="371"/>
      <c r="I34" s="371"/>
      <c r="J34" s="371"/>
      <c r="K34" s="371"/>
      <c r="L34" s="372"/>
    </row>
    <row r="35" spans="1:12" ht="15" thickBot="1"/>
    <row r="36" spans="1:12" ht="30" customHeight="1">
      <c r="A36" s="164" t="s">
        <v>706</v>
      </c>
      <c r="B36" s="165" t="e">
        <f>'I.RANGE ANALYSIS'!K40</f>
        <v>#N/A</v>
      </c>
      <c r="C36" s="166" t="e">
        <f>'I.RANGE ANALYSIS'!K39</f>
        <v>#N/A</v>
      </c>
      <c r="D36" s="365" t="e">
        <f>IF(AND(I6=7,L3=2,J6=7),"Bergairah/menantang gagasan.", "-----")</f>
        <v>#N/A</v>
      </c>
      <c r="E36" s="366"/>
      <c r="F36" s="366"/>
      <c r="G36" s="366"/>
      <c r="H36" s="366"/>
      <c r="I36" s="366"/>
      <c r="J36" s="366"/>
      <c r="K36" s="366"/>
      <c r="L36" s="367"/>
    </row>
    <row r="37" spans="1:12" ht="30" customHeight="1">
      <c r="A37" s="167"/>
      <c r="B37" s="160" t="e">
        <f>'I.RANGE ANALYSIS'!K38</f>
        <v>#N/A</v>
      </c>
      <c r="C37" s="168"/>
      <c r="D37" s="368" t="e">
        <f>IF(AND(I6=2,L3=7,J6=2),"Tipe mapan/puas.", "-----")</f>
        <v>#N/A</v>
      </c>
      <c r="E37" s="343"/>
      <c r="F37" s="343"/>
      <c r="G37" s="343"/>
      <c r="H37" s="343"/>
      <c r="I37" s="343"/>
      <c r="J37" s="343"/>
      <c r="K37" s="343"/>
      <c r="L37" s="369"/>
    </row>
    <row r="38" spans="1:12" ht="30" customHeight="1" thickBot="1">
      <c r="A38" s="169"/>
      <c r="B38" s="170"/>
      <c r="C38" s="171"/>
      <c r="D38" s="370" t="e">
        <f>IF(AND(I6=2,L3=7,J7=7),"Peluit ketel.", "-----")</f>
        <v>#N/A</v>
      </c>
      <c r="E38" s="371"/>
      <c r="F38" s="371"/>
      <c r="G38" s="371"/>
      <c r="H38" s="371"/>
      <c r="I38" s="371"/>
      <c r="J38" s="371"/>
      <c r="K38" s="371"/>
      <c r="L38" s="372"/>
    </row>
    <row r="39" spans="1:12" ht="15" thickBot="1">
      <c r="A39" s="160"/>
      <c r="B39" s="160"/>
      <c r="C39" s="160"/>
      <c r="D39" s="160"/>
      <c r="E39" s="160"/>
      <c r="F39" s="160"/>
      <c r="G39" s="160"/>
      <c r="H39" s="160"/>
      <c r="I39" s="160"/>
      <c r="J39" s="160"/>
      <c r="K39" s="160"/>
      <c r="L39" s="160"/>
    </row>
    <row r="40" spans="1:12" ht="30" customHeight="1">
      <c r="A40" s="164" t="s">
        <v>709</v>
      </c>
      <c r="B40" s="165" t="e">
        <f>'I.RANGE ANALYSIS'!K38</f>
        <v>#N/A</v>
      </c>
      <c r="C40" s="166" t="e">
        <f>'I.RANGE ANALYSIS'!K39</f>
        <v>#N/A</v>
      </c>
      <c r="D40" s="365" t="e">
        <f>IF(AND(L3=1,J6=2),"Bereaksi secara terbuka, tapi menghindari konfrontasi", "-----")</f>
        <v>#N/A</v>
      </c>
      <c r="E40" s="366"/>
      <c r="F40" s="366"/>
      <c r="G40" s="366"/>
      <c r="H40" s="366"/>
      <c r="I40" s="366"/>
      <c r="J40" s="366"/>
      <c r="K40" s="366"/>
      <c r="L40" s="367"/>
    </row>
    <row r="41" spans="1:12" ht="30" customHeight="1">
      <c r="A41" s="167"/>
      <c r="B41" s="160"/>
      <c r="C41" s="168"/>
      <c r="D41" s="368" t="e">
        <f>IF(AND(L3=8,J6=2),"Menyisihkan diri/dingin/tak acuh", "-----")</f>
        <v>#N/A</v>
      </c>
      <c r="E41" s="343"/>
      <c r="F41" s="343"/>
      <c r="G41" s="343"/>
      <c r="H41" s="343"/>
      <c r="I41" s="343"/>
      <c r="J41" s="343"/>
      <c r="K41" s="343"/>
      <c r="L41" s="369"/>
    </row>
    <row r="42" spans="1:12" ht="30" customHeight="1">
      <c r="A42" s="167"/>
      <c r="B42" s="160"/>
      <c r="C42" s="168"/>
      <c r="D42" s="368" t="e">
        <f>IF(AND(L3=8,J6=8),"Mudah tersinggung; memendam emosi sampai tak tahan", "-----")</f>
        <v>#N/A</v>
      </c>
      <c r="E42" s="343"/>
      <c r="F42" s="343"/>
      <c r="G42" s="343"/>
      <c r="H42" s="343"/>
      <c r="I42" s="343"/>
      <c r="J42" s="343"/>
      <c r="K42" s="343"/>
      <c r="L42" s="369"/>
    </row>
    <row r="43" spans="1:12" ht="30" customHeight="1" thickBot="1">
      <c r="A43" s="169"/>
      <c r="B43" s="170"/>
      <c r="C43" s="171"/>
      <c r="D43" s="370" t="e">
        <f>IF(AND(L3=1,J6=8),"Memaksakan kehendak/pendapat secara terbuka", "-----")</f>
        <v>#N/A</v>
      </c>
      <c r="E43" s="371"/>
      <c r="F43" s="371"/>
      <c r="G43" s="371"/>
      <c r="H43" s="371"/>
      <c r="I43" s="371"/>
      <c r="J43" s="371"/>
      <c r="K43" s="371"/>
      <c r="L43" s="372"/>
    </row>
    <row r="44" spans="1:12" ht="15" thickBot="1"/>
    <row r="45" spans="1:12" ht="30" customHeight="1" thickBot="1">
      <c r="A45" s="172" t="s">
        <v>707</v>
      </c>
      <c r="B45" s="173" t="e">
        <f>'I.RANGE ANALYSIS'!K13</f>
        <v>#N/A</v>
      </c>
      <c r="C45" s="174" t="e">
        <f>'I.RANGE ANALYSIS'!K39</f>
        <v>#N/A</v>
      </c>
      <c r="D45" s="373" t="e">
        <f>IF(AND(D6=7,J6=7),"Tipe kompetitif", "-----")</f>
        <v>#N/A</v>
      </c>
      <c r="E45" s="374"/>
      <c r="F45" s="374"/>
      <c r="G45" s="374"/>
      <c r="H45" s="374"/>
      <c r="I45" s="374"/>
      <c r="J45" s="374"/>
      <c r="K45" s="374"/>
      <c r="L45" s="375"/>
    </row>
    <row r="46" spans="1:12" ht="15" thickBot="1">
      <c r="B46" s="160"/>
      <c r="C46" s="160"/>
    </row>
    <row r="47" spans="1:12" ht="30" customHeight="1">
      <c r="A47" s="164" t="s">
        <v>708</v>
      </c>
      <c r="B47" s="165" t="e">
        <f>'I.RANGE ANALYSIS'!K19</f>
        <v>#N/A</v>
      </c>
      <c r="C47" s="166" t="e">
        <f>'I.RANGE ANALYSIS'!K38</f>
        <v>#N/A</v>
      </c>
      <c r="D47" s="365" t="e">
        <f>IF(AND(F6 &gt;=4,F6&lt;=6,G6&gt;=4,G6&lt;=7,J6&gt;=3,J6&lt;=5,L6&gt;=2,L6&lt;=4),"Mampu menghadapi stres", "-----")</f>
        <v>#N/A</v>
      </c>
      <c r="E47" s="366"/>
      <c r="F47" s="366"/>
      <c r="G47" s="366"/>
      <c r="H47" s="366"/>
      <c r="I47" s="366"/>
      <c r="J47" s="366"/>
      <c r="K47" s="366"/>
      <c r="L47" s="367"/>
    </row>
    <row r="48" spans="1:12" ht="30" customHeight="1" thickBot="1">
      <c r="A48" s="169"/>
      <c r="B48" s="170" t="e">
        <f>'I.RANGE ANALYSIS'!K20</f>
        <v>#N/A</v>
      </c>
      <c r="C48" s="171" t="e">
        <f>'I.RANGE ANALYSIS'!K39</f>
        <v>#N/A</v>
      </c>
      <c r="D48" s="376"/>
      <c r="E48" s="377"/>
      <c r="F48" s="377"/>
      <c r="G48" s="377"/>
      <c r="H48" s="377"/>
      <c r="I48" s="377"/>
      <c r="J48" s="377"/>
      <c r="K48" s="377"/>
      <c r="L48" s="378"/>
    </row>
  </sheetData>
  <mergeCells count="31">
    <mergeCell ref="D48:L48"/>
    <mergeCell ref="D41:L41"/>
    <mergeCell ref="D42:L42"/>
    <mergeCell ref="D43:L43"/>
    <mergeCell ref="D45:L45"/>
    <mergeCell ref="D47:L47"/>
    <mergeCell ref="D34:L34"/>
    <mergeCell ref="D36:L36"/>
    <mergeCell ref="D37:L37"/>
    <mergeCell ref="D38:L38"/>
    <mergeCell ref="D40:L40"/>
    <mergeCell ref="D27:L27"/>
    <mergeCell ref="D29:L29"/>
    <mergeCell ref="D30:L30"/>
    <mergeCell ref="D31:L31"/>
    <mergeCell ref="D33:L33"/>
    <mergeCell ref="D20:L20"/>
    <mergeCell ref="D22:L22"/>
    <mergeCell ref="D25:L25"/>
    <mergeCell ref="D23:L23"/>
    <mergeCell ref="D26:L26"/>
    <mergeCell ref="D15:L15"/>
    <mergeCell ref="D16:L16"/>
    <mergeCell ref="D17:L17"/>
    <mergeCell ref="D18:L18"/>
    <mergeCell ref="D19:L19"/>
    <mergeCell ref="D8:L8"/>
    <mergeCell ref="D9:L9"/>
    <mergeCell ref="D10:L10"/>
    <mergeCell ref="D11:L11"/>
    <mergeCell ref="D13:L13"/>
  </mergeCells>
  <pageMargins left="0.7" right="0.7" top="0.75" bottom="0.75" header="0.3" footer="0.3"/>
  <pageSetup scale="57"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9"/>
  <sheetViews>
    <sheetView topLeftCell="A288" workbookViewId="0">
      <selection activeCell="B409" sqref="B409"/>
    </sheetView>
  </sheetViews>
  <sheetFormatPr defaultRowHeight="14.4"/>
  <cols>
    <col min="1" max="1" width="23" customWidth="1"/>
    <col min="2" max="2" width="63.109375" customWidth="1"/>
  </cols>
  <sheetData>
    <row r="1" spans="1:2">
      <c r="A1" s="111" t="s">
        <v>580</v>
      </c>
      <c r="B1" s="112"/>
    </row>
    <row r="2" spans="1:2" ht="18">
      <c r="A2" s="113" t="s">
        <v>144</v>
      </c>
      <c r="B2" s="202" t="s">
        <v>412</v>
      </c>
    </row>
    <row r="3" spans="1:2" ht="18">
      <c r="A3" s="113" t="s">
        <v>143</v>
      </c>
      <c r="B3" s="202" t="s">
        <v>412</v>
      </c>
    </row>
    <row r="4" spans="1:2" ht="18">
      <c r="A4" s="113" t="s">
        <v>142</v>
      </c>
      <c r="B4" s="202" t="s">
        <v>412</v>
      </c>
    </row>
    <row r="5" spans="1:2" ht="18">
      <c r="A5" s="113" t="s">
        <v>141</v>
      </c>
      <c r="B5" s="202" t="s">
        <v>410</v>
      </c>
    </row>
    <row r="6" spans="1:2" ht="28.8">
      <c r="A6" s="114" t="s">
        <v>140</v>
      </c>
      <c r="B6" s="203" t="s">
        <v>413</v>
      </c>
    </row>
    <row r="7" spans="1:2" ht="28.8">
      <c r="A7" s="114" t="s">
        <v>139</v>
      </c>
      <c r="B7" s="203" t="s">
        <v>416</v>
      </c>
    </row>
    <row r="8" spans="1:2" ht="18">
      <c r="A8" s="114" t="s">
        <v>138</v>
      </c>
      <c r="B8" s="204" t="s">
        <v>632</v>
      </c>
    </row>
    <row r="9" spans="1:2" ht="18">
      <c r="A9" s="115" t="s">
        <v>137</v>
      </c>
      <c r="B9" s="202" t="s">
        <v>396</v>
      </c>
    </row>
    <row r="10" spans="1:2" ht="18">
      <c r="A10" s="115" t="s">
        <v>136</v>
      </c>
      <c r="B10" s="202" t="s">
        <v>396</v>
      </c>
    </row>
    <row r="11" spans="1:2" ht="28.8">
      <c r="A11" s="115" t="s">
        <v>135</v>
      </c>
      <c r="B11" s="202" t="s">
        <v>414</v>
      </c>
    </row>
    <row r="12" spans="1:2" ht="18">
      <c r="A12" s="116"/>
      <c r="B12" s="117" t="e">
        <f>'I.RANGE ANALYSIS'!K13</f>
        <v>#N/A</v>
      </c>
    </row>
    <row r="13" spans="1:2">
      <c r="A13" s="118"/>
      <c r="B13" s="117" t="e">
        <f>VLOOKUP(B12,A2:B11,2)</f>
        <v>#N/A</v>
      </c>
    </row>
    <row r="14" spans="1:2" ht="21">
      <c r="A14" s="119"/>
      <c r="B14" s="120"/>
    </row>
    <row r="15" spans="1:2">
      <c r="A15" s="111" t="s">
        <v>581</v>
      </c>
      <c r="B15" s="112"/>
    </row>
    <row r="16" spans="1:2" ht="18">
      <c r="A16" s="113" t="s">
        <v>156</v>
      </c>
      <c r="B16" s="202" t="s">
        <v>404</v>
      </c>
    </row>
    <row r="17" spans="1:2" ht="18">
      <c r="A17" s="113" t="s">
        <v>157</v>
      </c>
      <c r="B17" s="202" t="s">
        <v>404</v>
      </c>
    </row>
    <row r="18" spans="1:2" ht="18">
      <c r="A18" s="113" t="s">
        <v>158</v>
      </c>
      <c r="B18" s="202" t="s">
        <v>97</v>
      </c>
    </row>
    <row r="19" spans="1:2" ht="28.8">
      <c r="A19" s="114" t="s">
        <v>159</v>
      </c>
      <c r="B19" s="203" t="s">
        <v>395</v>
      </c>
    </row>
    <row r="20" spans="1:2" ht="18">
      <c r="A20" s="114" t="s">
        <v>160</v>
      </c>
      <c r="B20" s="203" t="s">
        <v>98</v>
      </c>
    </row>
    <row r="21" spans="1:2" ht="18">
      <c r="A21" s="114" t="s">
        <v>161</v>
      </c>
      <c r="B21" s="204" t="s">
        <v>406</v>
      </c>
    </row>
    <row r="22" spans="1:2" ht="18">
      <c r="A22" s="115" t="s">
        <v>162</v>
      </c>
      <c r="B22" s="202" t="s">
        <v>409</v>
      </c>
    </row>
    <row r="23" spans="1:2" ht="18">
      <c r="A23" s="115" t="s">
        <v>163</v>
      </c>
      <c r="B23" s="202" t="s">
        <v>409</v>
      </c>
    </row>
    <row r="24" spans="1:2" ht="18">
      <c r="A24" s="115" t="s">
        <v>164</v>
      </c>
      <c r="B24" s="202" t="s">
        <v>96</v>
      </c>
    </row>
    <row r="25" spans="1:2" ht="18">
      <c r="A25" s="115" t="s">
        <v>165</v>
      </c>
      <c r="B25" s="202" t="s">
        <v>96</v>
      </c>
    </row>
    <row r="26" spans="1:2">
      <c r="A26" s="118"/>
      <c r="B26" s="117" t="e">
        <f>'I.RANGE ANALYSIS'!K15</f>
        <v>#N/A</v>
      </c>
    </row>
    <row r="27" spans="1:2">
      <c r="A27" s="118"/>
      <c r="B27" s="117" t="e">
        <f>VLOOKUP(B26,A16:B25,2)</f>
        <v>#N/A</v>
      </c>
    </row>
    <row r="28" spans="1:2">
      <c r="A28" s="118"/>
      <c r="B28" s="121"/>
    </row>
    <row r="29" spans="1:2">
      <c r="A29" s="122" t="s">
        <v>582</v>
      </c>
      <c r="B29" s="123"/>
    </row>
    <row r="30" spans="1:2" ht="18.600000000000001" thickBot="1">
      <c r="A30" s="124" t="s">
        <v>156</v>
      </c>
      <c r="B30" s="205" t="s">
        <v>405</v>
      </c>
    </row>
    <row r="31" spans="1:2" ht="18.600000000000001" thickBot="1">
      <c r="A31" s="124" t="s">
        <v>157</v>
      </c>
      <c r="B31" s="206" t="s">
        <v>100</v>
      </c>
    </row>
    <row r="32" spans="1:2" ht="18.600000000000001" thickBot="1">
      <c r="A32" s="124" t="s">
        <v>158</v>
      </c>
      <c r="B32" s="206" t="s">
        <v>100</v>
      </c>
    </row>
    <row r="33" spans="1:2" ht="18.600000000000001" thickBot="1">
      <c r="A33" s="125" t="s">
        <v>159</v>
      </c>
      <c r="B33" s="207" t="s">
        <v>402</v>
      </c>
    </row>
    <row r="34" spans="1:2" ht="18.600000000000001" thickBot="1">
      <c r="A34" s="125" t="s">
        <v>160</v>
      </c>
      <c r="B34" s="207" t="s">
        <v>402</v>
      </c>
    </row>
    <row r="35" spans="1:2" ht="19.2" customHeight="1" thickBot="1">
      <c r="A35" s="125" t="s">
        <v>161</v>
      </c>
      <c r="B35" s="208" t="s">
        <v>407</v>
      </c>
    </row>
    <row r="36" spans="1:2" ht="18.600000000000001" thickBot="1">
      <c r="A36" s="125" t="s">
        <v>162</v>
      </c>
      <c r="B36" s="207" t="s">
        <v>408</v>
      </c>
    </row>
    <row r="37" spans="1:2" ht="18.600000000000001" thickBot="1">
      <c r="A37" s="126" t="s">
        <v>163</v>
      </c>
      <c r="B37" s="206" t="s">
        <v>403</v>
      </c>
    </row>
    <row r="38" spans="1:2" ht="18.600000000000001" thickBot="1">
      <c r="A38" s="126" t="s">
        <v>164</v>
      </c>
      <c r="B38" s="206" t="s">
        <v>403</v>
      </c>
    </row>
    <row r="39" spans="1:2" ht="18.600000000000001" thickBot="1">
      <c r="A39" s="126" t="s">
        <v>165</v>
      </c>
      <c r="B39" s="209" t="s">
        <v>99</v>
      </c>
    </row>
    <row r="40" spans="1:2">
      <c r="A40" s="127"/>
      <c r="B40" s="117" t="e">
        <f>'I.RANGE ANALYSIS'!K15</f>
        <v>#N/A</v>
      </c>
    </row>
    <row r="41" spans="1:2">
      <c r="A41" s="127"/>
      <c r="B41" s="117" t="e">
        <f>VLOOKUP(B40,A30:B39,2)</f>
        <v>#N/A</v>
      </c>
    </row>
    <row r="42" spans="1:2">
      <c r="A42" s="127"/>
      <c r="B42" s="128"/>
    </row>
    <row r="43" spans="1:2">
      <c r="A43" s="129" t="s">
        <v>566</v>
      </c>
      <c r="B43" s="112"/>
    </row>
    <row r="44" spans="1:2" ht="18">
      <c r="A44" s="113" t="s">
        <v>144</v>
      </c>
      <c r="B44" s="202" t="s">
        <v>411</v>
      </c>
    </row>
    <row r="45" spans="1:2" ht="18">
      <c r="A45" s="113" t="s">
        <v>143</v>
      </c>
      <c r="B45" s="202" t="s">
        <v>411</v>
      </c>
    </row>
    <row r="46" spans="1:2" ht="28.8">
      <c r="A46" s="113" t="s">
        <v>142</v>
      </c>
      <c r="B46" s="202" t="s">
        <v>420</v>
      </c>
    </row>
    <row r="47" spans="1:2" ht="28.8">
      <c r="A47" s="114" t="s">
        <v>141</v>
      </c>
      <c r="B47" s="203" t="s">
        <v>415</v>
      </c>
    </row>
    <row r="48" spans="1:2" ht="28.8">
      <c r="A48" s="114" t="s">
        <v>140</v>
      </c>
      <c r="B48" s="203" t="s">
        <v>415</v>
      </c>
    </row>
    <row r="49" spans="1:2" ht="28.8">
      <c r="A49" s="114" t="s">
        <v>139</v>
      </c>
      <c r="B49" s="203" t="s">
        <v>417</v>
      </c>
    </row>
    <row r="50" spans="1:2" ht="28.8">
      <c r="A50" s="114" t="s">
        <v>138</v>
      </c>
      <c r="B50" s="204" t="s">
        <v>418</v>
      </c>
    </row>
    <row r="51" spans="1:2" ht="28.8">
      <c r="A51" s="114" t="s">
        <v>137</v>
      </c>
      <c r="B51" s="204" t="s">
        <v>418</v>
      </c>
    </row>
    <row r="52" spans="1:2" ht="28.8">
      <c r="A52" s="115" t="s">
        <v>136</v>
      </c>
      <c r="B52" s="202" t="s">
        <v>716</v>
      </c>
    </row>
    <row r="53" spans="1:2" ht="28.8">
      <c r="A53" s="115" t="s">
        <v>135</v>
      </c>
      <c r="B53" s="202" t="s">
        <v>419</v>
      </c>
    </row>
    <row r="54" spans="1:2" ht="18">
      <c r="A54" s="116"/>
      <c r="B54" s="117" t="e">
        <f>'I.RANGE ANALYSIS'!K13</f>
        <v>#N/A</v>
      </c>
    </row>
    <row r="55" spans="1:2" ht="18">
      <c r="A55" s="116"/>
      <c r="B55" s="117" t="e">
        <f>VLOOKUP(B54,A44:B53,2)</f>
        <v>#N/A</v>
      </c>
    </row>
    <row r="56" spans="1:2" ht="18">
      <c r="A56" s="116"/>
      <c r="B56" s="121"/>
    </row>
    <row r="57" spans="1:2">
      <c r="A57" s="130" t="s">
        <v>638</v>
      </c>
      <c r="B57" s="112"/>
    </row>
    <row r="58" spans="1:2" ht="18">
      <c r="A58" s="113" t="s">
        <v>185</v>
      </c>
      <c r="B58" s="202" t="s">
        <v>427</v>
      </c>
    </row>
    <row r="59" spans="1:2" ht="18">
      <c r="A59" s="113" t="s">
        <v>186</v>
      </c>
      <c r="B59" s="202" t="s">
        <v>427</v>
      </c>
    </row>
    <row r="60" spans="1:2" ht="18">
      <c r="A60" s="113" t="s">
        <v>187</v>
      </c>
      <c r="B60" s="202" t="s">
        <v>428</v>
      </c>
    </row>
    <row r="61" spans="1:2" ht="18">
      <c r="A61" s="114" t="s">
        <v>188</v>
      </c>
      <c r="B61" s="203" t="s">
        <v>432</v>
      </c>
    </row>
    <row r="62" spans="1:2" ht="28.8">
      <c r="A62" s="114" t="s">
        <v>189</v>
      </c>
      <c r="B62" s="202" t="s">
        <v>433</v>
      </c>
    </row>
    <row r="63" spans="1:2" ht="28.8">
      <c r="A63" s="114" t="s">
        <v>190</v>
      </c>
      <c r="B63" s="203" t="s">
        <v>429</v>
      </c>
    </row>
    <row r="64" spans="1:2" ht="28.8">
      <c r="A64" s="114" t="s">
        <v>191</v>
      </c>
      <c r="B64" s="203" t="s">
        <v>429</v>
      </c>
    </row>
    <row r="65" spans="1:2" ht="28.8">
      <c r="A65" s="115" t="s">
        <v>192</v>
      </c>
      <c r="B65" s="202" t="s">
        <v>430</v>
      </c>
    </row>
    <row r="66" spans="1:2" ht="28.8">
      <c r="A66" s="115" t="s">
        <v>193</v>
      </c>
      <c r="B66" s="202" t="s">
        <v>430</v>
      </c>
    </row>
    <row r="67" spans="1:2" ht="28.8">
      <c r="A67" s="115" t="s">
        <v>194</v>
      </c>
      <c r="B67" s="202" t="s">
        <v>431</v>
      </c>
    </row>
    <row r="68" spans="1:2" ht="21">
      <c r="A68" s="119"/>
      <c r="B68" s="117" t="e">
        <f>'I.RANGE ANALYSIS'!K18</f>
        <v>#N/A</v>
      </c>
    </row>
    <row r="69" spans="1:2" ht="33" customHeight="1">
      <c r="A69" s="8"/>
      <c r="B69" s="117" t="e">
        <f>VLOOKUP(B68,A58:B67,2)</f>
        <v>#N/A</v>
      </c>
    </row>
    <row r="70" spans="1:2">
      <c r="A70" s="8"/>
      <c r="B70" s="131"/>
    </row>
    <row r="71" spans="1:2">
      <c r="A71" s="132" t="s">
        <v>552</v>
      </c>
      <c r="B71" s="112"/>
    </row>
    <row r="72" spans="1:2" ht="18">
      <c r="A72" s="113" t="s">
        <v>166</v>
      </c>
      <c r="B72" s="202" t="s">
        <v>559</v>
      </c>
    </row>
    <row r="73" spans="1:2" ht="18">
      <c r="A73" s="113" t="s">
        <v>167</v>
      </c>
      <c r="B73" s="202" t="s">
        <v>560</v>
      </c>
    </row>
    <row r="74" spans="1:2" ht="28.8">
      <c r="A74" s="114" t="s">
        <v>168</v>
      </c>
      <c r="B74" s="203" t="s">
        <v>561</v>
      </c>
    </row>
    <row r="75" spans="1:2" ht="28.8">
      <c r="A75" s="114" t="s">
        <v>169</v>
      </c>
      <c r="B75" s="203" t="s">
        <v>561</v>
      </c>
    </row>
    <row r="76" spans="1:2" ht="18">
      <c r="A76" s="114" t="s">
        <v>170</v>
      </c>
      <c r="B76" s="204" t="s">
        <v>562</v>
      </c>
    </row>
    <row r="77" spans="1:2" ht="28.8">
      <c r="A77" s="114" t="s">
        <v>171</v>
      </c>
      <c r="B77" s="210" t="s">
        <v>563</v>
      </c>
    </row>
    <row r="78" spans="1:2" ht="28.8">
      <c r="A78" s="114" t="s">
        <v>172</v>
      </c>
      <c r="B78" s="210" t="s">
        <v>563</v>
      </c>
    </row>
    <row r="79" spans="1:2" ht="28.8">
      <c r="A79" s="115" t="s">
        <v>173</v>
      </c>
      <c r="B79" s="202" t="s">
        <v>565</v>
      </c>
    </row>
    <row r="80" spans="1:2" ht="28.8">
      <c r="A80" s="115" t="s">
        <v>174</v>
      </c>
      <c r="B80" s="202" t="s">
        <v>564</v>
      </c>
    </row>
    <row r="81" spans="1:2" ht="28.8">
      <c r="A81" s="115" t="s">
        <v>175</v>
      </c>
      <c r="B81" s="202" t="s">
        <v>564</v>
      </c>
    </row>
    <row r="82" spans="1:2">
      <c r="A82" s="133"/>
      <c r="B82" s="117" t="e">
        <f>'I.RANGE ANALYSIS'!K16</f>
        <v>#N/A</v>
      </c>
    </row>
    <row r="83" spans="1:2" ht="25.2" customHeight="1">
      <c r="A83" s="133"/>
      <c r="B83" s="117" t="e">
        <f>VLOOKUP(B82,A72:B81,2)</f>
        <v>#N/A</v>
      </c>
    </row>
    <row r="84" spans="1:2">
      <c r="A84" s="133"/>
      <c r="B84" s="121"/>
    </row>
    <row r="85" spans="1:2">
      <c r="A85" s="132" t="s">
        <v>553</v>
      </c>
      <c r="B85" s="112"/>
    </row>
    <row r="86" spans="1:2" ht="18">
      <c r="A86" s="113" t="s">
        <v>129</v>
      </c>
      <c r="B86" s="202" t="s">
        <v>554</v>
      </c>
    </row>
    <row r="87" spans="1:2" ht="18">
      <c r="A87" s="113" t="s">
        <v>176</v>
      </c>
      <c r="B87" s="202" t="s">
        <v>551</v>
      </c>
    </row>
    <row r="88" spans="1:2" ht="18">
      <c r="A88" s="114" t="s">
        <v>177</v>
      </c>
      <c r="B88" s="203" t="s">
        <v>556</v>
      </c>
    </row>
    <row r="89" spans="1:2" ht="18">
      <c r="A89" s="114" t="s">
        <v>178</v>
      </c>
      <c r="B89" s="203" t="s">
        <v>556</v>
      </c>
    </row>
    <row r="90" spans="1:2" ht="18">
      <c r="A90" s="114" t="s">
        <v>179</v>
      </c>
      <c r="B90" s="203" t="s">
        <v>13</v>
      </c>
    </row>
    <row r="91" spans="1:2" ht="18">
      <c r="A91" s="114" t="s">
        <v>180</v>
      </c>
      <c r="B91" s="203" t="s">
        <v>557</v>
      </c>
    </row>
    <row r="92" spans="1:2" ht="18">
      <c r="A92" s="114" t="s">
        <v>181</v>
      </c>
      <c r="B92" s="203" t="s">
        <v>557</v>
      </c>
    </row>
    <row r="93" spans="1:2" ht="18">
      <c r="A93" s="115" t="s">
        <v>182</v>
      </c>
      <c r="B93" s="202" t="s">
        <v>558</v>
      </c>
    </row>
    <row r="94" spans="1:2" ht="18">
      <c r="A94" s="115" t="s">
        <v>183</v>
      </c>
      <c r="B94" s="202" t="s">
        <v>555</v>
      </c>
    </row>
    <row r="95" spans="1:2" ht="18">
      <c r="A95" s="115" t="s">
        <v>184</v>
      </c>
      <c r="B95" s="202" t="s">
        <v>555</v>
      </c>
    </row>
    <row r="96" spans="1:2">
      <c r="A96" s="133"/>
      <c r="B96" s="117" t="e">
        <f>'I.RANGE ANALYSIS'!K17</f>
        <v>#N/A</v>
      </c>
    </row>
    <row r="97" spans="1:2">
      <c r="A97" s="133"/>
      <c r="B97" s="117" t="e">
        <f>VLOOKUP(B96,A86:B95,2)</f>
        <v>#N/A</v>
      </c>
    </row>
    <row r="98" spans="1:2">
      <c r="A98" s="133"/>
      <c r="B98" s="121"/>
    </row>
    <row r="99" spans="1:2">
      <c r="A99" s="130" t="s">
        <v>637</v>
      </c>
      <c r="B99" s="112"/>
    </row>
    <row r="100" spans="1:2" ht="28.8">
      <c r="A100" s="113" t="s">
        <v>155</v>
      </c>
      <c r="B100" s="202" t="s">
        <v>717</v>
      </c>
    </row>
    <row r="101" spans="1:2" ht="28.8">
      <c r="A101" s="113" t="s">
        <v>154</v>
      </c>
      <c r="B101" s="202" t="s">
        <v>421</v>
      </c>
    </row>
    <row r="102" spans="1:2" ht="43.2">
      <c r="A102" s="113" t="s">
        <v>153</v>
      </c>
      <c r="B102" s="202" t="s">
        <v>102</v>
      </c>
    </row>
    <row r="103" spans="1:2" ht="28.8">
      <c r="A103" s="114" t="s">
        <v>146</v>
      </c>
      <c r="B103" s="203" t="s">
        <v>397</v>
      </c>
    </row>
    <row r="104" spans="1:2" ht="43.2">
      <c r="A104" s="114" t="s">
        <v>152</v>
      </c>
      <c r="B104" s="211" t="s">
        <v>422</v>
      </c>
    </row>
    <row r="105" spans="1:2" ht="43.2">
      <c r="A105" s="114" t="s">
        <v>151</v>
      </c>
      <c r="B105" s="211" t="s">
        <v>422</v>
      </c>
    </row>
    <row r="106" spans="1:2" ht="43.2">
      <c r="A106" s="114" t="s">
        <v>150</v>
      </c>
      <c r="B106" s="211" t="s">
        <v>423</v>
      </c>
    </row>
    <row r="107" spans="1:2" ht="18">
      <c r="A107" s="115" t="s">
        <v>149</v>
      </c>
      <c r="B107" s="202" t="s">
        <v>101</v>
      </c>
    </row>
    <row r="108" spans="1:2" ht="43.2">
      <c r="A108" s="115" t="s">
        <v>148</v>
      </c>
      <c r="B108" s="202" t="s">
        <v>424</v>
      </c>
    </row>
    <row r="109" spans="1:2" ht="43.2">
      <c r="A109" s="115" t="s">
        <v>147</v>
      </c>
      <c r="B109" s="202" t="s">
        <v>424</v>
      </c>
    </row>
    <row r="110" spans="1:2">
      <c r="A110" s="8"/>
      <c r="B110" s="117" t="e">
        <f>'I.RANGE ANALYSIS'!K14</f>
        <v>#N/A</v>
      </c>
    </row>
    <row r="111" spans="1:2" ht="30.6" customHeight="1">
      <c r="A111" s="8"/>
      <c r="B111" s="117" t="e">
        <f>VLOOKUP(B110,A100:B109,2)</f>
        <v>#N/A</v>
      </c>
    </row>
    <row r="112" spans="1:2">
      <c r="A112" s="134"/>
      <c r="B112" s="121"/>
    </row>
    <row r="113" spans="1:2">
      <c r="A113" s="130" t="s">
        <v>401</v>
      </c>
      <c r="B113" s="112"/>
    </row>
    <row r="114" spans="1:2" ht="18">
      <c r="A114" s="113" t="s">
        <v>209</v>
      </c>
      <c r="B114" s="202" t="s">
        <v>436</v>
      </c>
    </row>
    <row r="115" spans="1:2" ht="18">
      <c r="A115" s="113" t="s">
        <v>210</v>
      </c>
      <c r="B115" s="202" t="s">
        <v>106</v>
      </c>
    </row>
    <row r="116" spans="1:2" ht="18">
      <c r="A116" s="114" t="s">
        <v>211</v>
      </c>
      <c r="B116" s="203" t="s">
        <v>442</v>
      </c>
    </row>
    <row r="117" spans="1:2" ht="28.8">
      <c r="A117" s="114" t="s">
        <v>212</v>
      </c>
      <c r="B117" s="203" t="s">
        <v>18</v>
      </c>
    </row>
    <row r="118" spans="1:2" ht="28.8">
      <c r="A118" s="114" t="s">
        <v>213</v>
      </c>
      <c r="B118" s="203" t="s">
        <v>18</v>
      </c>
    </row>
    <row r="119" spans="1:2" ht="18">
      <c r="A119" s="114" t="s">
        <v>214</v>
      </c>
      <c r="B119" s="203" t="s">
        <v>108</v>
      </c>
    </row>
    <row r="120" spans="1:2" ht="18">
      <c r="A120" s="114" t="s">
        <v>215</v>
      </c>
      <c r="B120" s="203" t="s">
        <v>108</v>
      </c>
    </row>
    <row r="121" spans="1:2" ht="18">
      <c r="A121" s="115" t="s">
        <v>216</v>
      </c>
      <c r="B121" s="202" t="s">
        <v>107</v>
      </c>
    </row>
    <row r="122" spans="1:2" ht="28.8">
      <c r="A122" s="115" t="s">
        <v>217</v>
      </c>
      <c r="B122" s="202" t="s">
        <v>443</v>
      </c>
    </row>
    <row r="123" spans="1:2" ht="28.8">
      <c r="A123" s="135" t="s">
        <v>218</v>
      </c>
      <c r="B123" s="202" t="s">
        <v>443</v>
      </c>
    </row>
    <row r="124" spans="1:2">
      <c r="A124" s="134"/>
      <c r="B124" s="117" t="e">
        <f>'I.RANGE ANALYSIS'!K20</f>
        <v>#N/A</v>
      </c>
    </row>
    <row r="125" spans="1:2" ht="28.95" customHeight="1">
      <c r="A125" s="134"/>
      <c r="B125" s="117" t="e">
        <f>VLOOKUP(B124,A114:B123,2)</f>
        <v>#N/A</v>
      </c>
    </row>
    <row r="126" spans="1:2">
      <c r="A126" s="134"/>
      <c r="B126" s="121"/>
    </row>
    <row r="127" spans="1:2">
      <c r="A127" s="132" t="s">
        <v>449</v>
      </c>
      <c r="B127" s="112"/>
    </row>
    <row r="128" spans="1:2" ht="18">
      <c r="A128" s="113" t="s">
        <v>199</v>
      </c>
      <c r="B128" s="202" t="s">
        <v>434</v>
      </c>
    </row>
    <row r="129" spans="1:2" ht="18">
      <c r="A129" s="113" t="s">
        <v>200</v>
      </c>
      <c r="B129" s="202" t="s">
        <v>434</v>
      </c>
    </row>
    <row r="130" spans="1:2" ht="18">
      <c r="A130" s="113" t="s">
        <v>201</v>
      </c>
      <c r="B130" s="202" t="s">
        <v>435</v>
      </c>
    </row>
    <row r="131" spans="1:2" ht="18">
      <c r="A131" s="114" t="s">
        <v>202</v>
      </c>
      <c r="B131" s="203" t="s">
        <v>441</v>
      </c>
    </row>
    <row r="132" spans="1:2" ht="28.8">
      <c r="A132" s="114" t="s">
        <v>203</v>
      </c>
      <c r="B132" s="203" t="s">
        <v>437</v>
      </c>
    </row>
    <row r="133" spans="1:2" ht="28.8">
      <c r="A133" s="114" t="s">
        <v>204</v>
      </c>
      <c r="B133" s="203" t="s">
        <v>437</v>
      </c>
    </row>
    <row r="134" spans="1:2" ht="28.8">
      <c r="A134" s="114" t="s">
        <v>205</v>
      </c>
      <c r="B134" s="203" t="s">
        <v>440</v>
      </c>
    </row>
    <row r="135" spans="1:2" ht="18">
      <c r="A135" s="115" t="s">
        <v>206</v>
      </c>
      <c r="B135" s="202" t="s">
        <v>438</v>
      </c>
    </row>
    <row r="136" spans="1:2" ht="18">
      <c r="A136" s="115" t="s">
        <v>207</v>
      </c>
      <c r="B136" s="202" t="s">
        <v>438</v>
      </c>
    </row>
    <row r="137" spans="1:2" ht="18">
      <c r="A137" s="115" t="s">
        <v>208</v>
      </c>
      <c r="B137" s="202" t="s">
        <v>439</v>
      </c>
    </row>
    <row r="138" spans="1:2">
      <c r="A138" s="133"/>
      <c r="B138" s="117" t="e">
        <f>'I.RANGE ANALYSIS'!K19</f>
        <v>#N/A</v>
      </c>
    </row>
    <row r="139" spans="1:2" ht="28.95" customHeight="1">
      <c r="A139" s="133"/>
      <c r="B139" s="117" t="e">
        <f>VLOOKUP(B138,A128:B137,2)</f>
        <v>#N/A</v>
      </c>
    </row>
    <row r="140" spans="1:2">
      <c r="A140" s="133"/>
      <c r="B140" s="121"/>
    </row>
    <row r="141" spans="1:2" ht="28.8">
      <c r="A141" s="136" t="s">
        <v>444</v>
      </c>
      <c r="B141" s="123"/>
    </row>
    <row r="142" spans="1:2" ht="18">
      <c r="A142" s="113" t="s">
        <v>229</v>
      </c>
      <c r="B142" s="123" t="s">
        <v>105</v>
      </c>
    </row>
    <row r="143" spans="1:2" ht="18">
      <c r="A143" s="113" t="s">
        <v>230</v>
      </c>
      <c r="B143" s="123" t="s">
        <v>105</v>
      </c>
    </row>
    <row r="144" spans="1:2" ht="28.8">
      <c r="A144" s="113" t="s">
        <v>231</v>
      </c>
      <c r="B144" s="123" t="s">
        <v>445</v>
      </c>
    </row>
    <row r="145" spans="1:2" ht="28.8">
      <c r="A145" s="113" t="s">
        <v>232</v>
      </c>
      <c r="B145" s="123" t="s">
        <v>445</v>
      </c>
    </row>
    <row r="146" spans="1:2" ht="18">
      <c r="A146" s="114" t="s">
        <v>233</v>
      </c>
      <c r="B146" s="137" t="s">
        <v>103</v>
      </c>
    </row>
    <row r="147" spans="1:2" ht="18">
      <c r="A147" s="114" t="s">
        <v>234</v>
      </c>
      <c r="B147" s="137" t="s">
        <v>104</v>
      </c>
    </row>
    <row r="148" spans="1:2" ht="28.8">
      <c r="A148" s="115" t="s">
        <v>235</v>
      </c>
      <c r="B148" s="212" t="s">
        <v>447</v>
      </c>
    </row>
    <row r="149" spans="1:2" ht="18">
      <c r="A149" s="114" t="s">
        <v>236</v>
      </c>
      <c r="B149" s="213" t="s">
        <v>446</v>
      </c>
    </row>
    <row r="150" spans="1:2" ht="28.8">
      <c r="A150" s="115" t="s">
        <v>237</v>
      </c>
      <c r="B150" s="202" t="s">
        <v>448</v>
      </c>
    </row>
    <row r="151" spans="1:2" ht="28.8">
      <c r="A151" s="115" t="s">
        <v>238</v>
      </c>
      <c r="B151" s="202" t="s">
        <v>448</v>
      </c>
    </row>
    <row r="152" spans="1:2">
      <c r="A152" s="138"/>
      <c r="B152" s="117" t="e">
        <f>'I.RANGE ANALYSIS'!K23</f>
        <v>#N/A</v>
      </c>
    </row>
    <row r="153" spans="1:2" ht="28.95" customHeight="1">
      <c r="A153" s="138"/>
      <c r="B153" s="117" t="e">
        <f>VLOOKUP(B152,A142:B151,2)</f>
        <v>#N/A</v>
      </c>
    </row>
    <row r="154" spans="1:2">
      <c r="A154" s="138"/>
      <c r="B154" s="128"/>
    </row>
    <row r="155" spans="1:2">
      <c r="A155" s="136" t="s">
        <v>572</v>
      </c>
      <c r="B155" s="123"/>
    </row>
    <row r="156" spans="1:2" ht="43.2">
      <c r="A156" s="113" t="s">
        <v>219</v>
      </c>
      <c r="B156" s="202" t="s">
        <v>450</v>
      </c>
    </row>
    <row r="157" spans="1:2" ht="43.2">
      <c r="A157" s="113" t="s">
        <v>220</v>
      </c>
      <c r="B157" s="202" t="s">
        <v>450</v>
      </c>
    </row>
    <row r="158" spans="1:2" ht="18">
      <c r="A158" s="113" t="s">
        <v>221</v>
      </c>
      <c r="B158" s="202" t="s">
        <v>451</v>
      </c>
    </row>
    <row r="159" spans="1:2" ht="28.8">
      <c r="A159" s="114" t="s">
        <v>222</v>
      </c>
      <c r="B159" s="203" t="s">
        <v>453</v>
      </c>
    </row>
    <row r="160" spans="1:2" ht="18">
      <c r="A160" s="114" t="s">
        <v>223</v>
      </c>
      <c r="B160" s="202" t="s">
        <v>452</v>
      </c>
    </row>
    <row r="161" spans="1:2" ht="18">
      <c r="A161" s="114" t="s">
        <v>224</v>
      </c>
      <c r="B161" s="203" t="s">
        <v>21</v>
      </c>
    </row>
    <row r="162" spans="1:2" ht="28.8">
      <c r="A162" s="115" t="s">
        <v>225</v>
      </c>
      <c r="B162" s="202" t="s">
        <v>455</v>
      </c>
    </row>
    <row r="163" spans="1:2" ht="28.8">
      <c r="A163" s="115" t="s">
        <v>226</v>
      </c>
      <c r="B163" s="202" t="s">
        <v>455</v>
      </c>
    </row>
    <row r="164" spans="1:2" ht="18">
      <c r="A164" s="115" t="s">
        <v>227</v>
      </c>
      <c r="B164" s="202" t="s">
        <v>454</v>
      </c>
    </row>
    <row r="165" spans="1:2" ht="18">
      <c r="A165" s="115" t="s">
        <v>228</v>
      </c>
      <c r="B165" s="202" t="s">
        <v>454</v>
      </c>
    </row>
    <row r="166" spans="1:2">
      <c r="A166" s="133"/>
      <c r="B166" s="117" t="e">
        <f>'I.RANGE ANALYSIS'!K24</f>
        <v>#N/A</v>
      </c>
    </row>
    <row r="167" spans="1:2" ht="46.2" customHeight="1">
      <c r="A167" s="133"/>
      <c r="B167" s="117" t="e">
        <f>VLOOKUP(B166,A156:B165,2)</f>
        <v>#N/A</v>
      </c>
    </row>
    <row r="168" spans="1:2">
      <c r="A168" s="133"/>
      <c r="B168" s="121"/>
    </row>
    <row r="169" spans="1:2" ht="28.8">
      <c r="A169" s="132" t="s">
        <v>583</v>
      </c>
      <c r="B169" s="112"/>
    </row>
    <row r="170" spans="1:2" ht="18">
      <c r="A170" s="113" t="s">
        <v>239</v>
      </c>
      <c r="B170" s="202" t="s">
        <v>469</v>
      </c>
    </row>
    <row r="171" spans="1:2" ht="18">
      <c r="A171" s="113" t="s">
        <v>240</v>
      </c>
      <c r="B171" s="202" t="s">
        <v>469</v>
      </c>
    </row>
    <row r="172" spans="1:2" ht="18">
      <c r="A172" s="113" t="s">
        <v>241</v>
      </c>
      <c r="B172" s="210" t="s">
        <v>470</v>
      </c>
    </row>
    <row r="173" spans="1:2" ht="18">
      <c r="A173" s="113" t="s">
        <v>242</v>
      </c>
      <c r="B173" s="210" t="s">
        <v>470</v>
      </c>
    </row>
    <row r="174" spans="1:2" ht="18">
      <c r="A174" s="114" t="s">
        <v>243</v>
      </c>
      <c r="B174" s="203" t="s">
        <v>471</v>
      </c>
    </row>
    <row r="175" spans="1:2" ht="28.8">
      <c r="A175" s="114" t="s">
        <v>244</v>
      </c>
      <c r="B175" s="204" t="s">
        <v>472</v>
      </c>
    </row>
    <row r="176" spans="1:2" ht="18">
      <c r="A176" s="114" t="s">
        <v>245</v>
      </c>
      <c r="B176" s="203" t="s">
        <v>26</v>
      </c>
    </row>
    <row r="177" spans="1:2" ht="18">
      <c r="A177" s="114" t="s">
        <v>246</v>
      </c>
      <c r="B177" s="203" t="s">
        <v>26</v>
      </c>
    </row>
    <row r="178" spans="1:2" ht="28.8">
      <c r="A178" s="115" t="s">
        <v>247</v>
      </c>
      <c r="B178" s="202" t="s">
        <v>474</v>
      </c>
    </row>
    <row r="179" spans="1:2" ht="18">
      <c r="A179" s="115" t="s">
        <v>248</v>
      </c>
      <c r="B179" s="202" t="s">
        <v>109</v>
      </c>
    </row>
    <row r="180" spans="1:2">
      <c r="A180" s="133"/>
      <c r="B180" s="117" t="e">
        <f>'I.RANGE ANALYSIS'!K27</f>
        <v>#N/A</v>
      </c>
    </row>
    <row r="181" spans="1:2" ht="28.2" customHeight="1">
      <c r="A181" s="133"/>
      <c r="B181" s="117" t="e">
        <f>VLOOKUP(B180,A170:B179,2)</f>
        <v>#N/A</v>
      </c>
    </row>
    <row r="182" spans="1:2">
      <c r="A182" s="133"/>
      <c r="B182" s="121"/>
    </row>
    <row r="183" spans="1:2" ht="28.8">
      <c r="A183" s="132" t="s">
        <v>584</v>
      </c>
      <c r="B183" s="112"/>
    </row>
    <row r="184" spans="1:2" ht="18">
      <c r="A184" s="113" t="s">
        <v>130</v>
      </c>
      <c r="B184" s="202" t="s">
        <v>475</v>
      </c>
    </row>
    <row r="185" spans="1:2" ht="18">
      <c r="A185" s="113" t="s">
        <v>249</v>
      </c>
      <c r="B185" s="202" t="s">
        <v>475</v>
      </c>
    </row>
    <row r="186" spans="1:2" ht="43.2">
      <c r="A186" s="113" t="s">
        <v>250</v>
      </c>
      <c r="B186" s="202" t="s">
        <v>476</v>
      </c>
    </row>
    <row r="187" spans="1:2" ht="43.2">
      <c r="A187" s="113" t="s">
        <v>251</v>
      </c>
      <c r="B187" s="202" t="s">
        <v>476</v>
      </c>
    </row>
    <row r="188" spans="1:2" ht="28.8">
      <c r="A188" s="114" t="s">
        <v>252</v>
      </c>
      <c r="B188" s="203" t="s">
        <v>480</v>
      </c>
    </row>
    <row r="189" spans="1:2" ht="28.8">
      <c r="A189" s="114" t="s">
        <v>253</v>
      </c>
      <c r="B189" s="203" t="s">
        <v>477</v>
      </c>
    </row>
    <row r="190" spans="1:2" ht="28.8">
      <c r="A190" s="114" t="s">
        <v>254</v>
      </c>
      <c r="B190" s="203" t="s">
        <v>481</v>
      </c>
    </row>
    <row r="191" spans="1:2" ht="28.8">
      <c r="A191" s="114" t="s">
        <v>255</v>
      </c>
      <c r="B191" s="203" t="s">
        <v>481</v>
      </c>
    </row>
    <row r="192" spans="1:2" ht="28.8">
      <c r="A192" s="115" t="s">
        <v>256</v>
      </c>
      <c r="B192" s="202" t="s">
        <v>478</v>
      </c>
    </row>
    <row r="193" spans="1:2" ht="28.8">
      <c r="A193" s="115" t="s">
        <v>257</v>
      </c>
      <c r="B193" s="202" t="s">
        <v>479</v>
      </c>
    </row>
    <row r="194" spans="1:2">
      <c r="A194" s="133"/>
      <c r="B194" s="117" t="e">
        <f>'I.RANGE ANALYSIS'!K28</f>
        <v>#N/A</v>
      </c>
    </row>
    <row r="195" spans="1:2" ht="42" customHeight="1">
      <c r="A195" s="133"/>
      <c r="B195" s="117" t="e">
        <f>VLOOKUP(B194,A184:B193,2)</f>
        <v>#N/A</v>
      </c>
    </row>
    <row r="196" spans="1:2">
      <c r="A196" s="133"/>
      <c r="B196" s="121"/>
    </row>
    <row r="197" spans="1:2">
      <c r="A197" s="129" t="s">
        <v>585</v>
      </c>
      <c r="B197" s="112"/>
    </row>
    <row r="198" spans="1:2" ht="18">
      <c r="A198" s="113" t="s">
        <v>239</v>
      </c>
      <c r="B198" s="202" t="s">
        <v>468</v>
      </c>
    </row>
    <row r="199" spans="1:2" ht="18">
      <c r="A199" s="113" t="s">
        <v>240</v>
      </c>
      <c r="B199" s="202" t="s">
        <v>468</v>
      </c>
    </row>
    <row r="200" spans="1:2" ht="18">
      <c r="A200" s="113" t="s">
        <v>241</v>
      </c>
      <c r="B200" s="202" t="s">
        <v>467</v>
      </c>
    </row>
    <row r="201" spans="1:2" ht="18">
      <c r="A201" s="113" t="s">
        <v>242</v>
      </c>
      <c r="B201" s="202" t="s">
        <v>467</v>
      </c>
    </row>
    <row r="202" spans="1:2" ht="18">
      <c r="A202" s="114" t="s">
        <v>243</v>
      </c>
      <c r="B202" s="204" t="s">
        <v>466</v>
      </c>
    </row>
    <row r="203" spans="1:2" ht="28.8">
      <c r="A203" s="114" t="s">
        <v>244</v>
      </c>
      <c r="B203" s="204" t="s">
        <v>473</v>
      </c>
    </row>
    <row r="204" spans="1:2" ht="18">
      <c r="A204" s="114" t="s">
        <v>245</v>
      </c>
      <c r="B204" s="203" t="s">
        <v>463</v>
      </c>
    </row>
    <row r="205" spans="1:2" ht="18">
      <c r="A205" s="115" t="s">
        <v>246</v>
      </c>
      <c r="B205" s="202" t="s">
        <v>464</v>
      </c>
    </row>
    <row r="206" spans="1:2" ht="28.8">
      <c r="A206" s="115" t="s">
        <v>247</v>
      </c>
      <c r="B206" s="202" t="s">
        <v>465</v>
      </c>
    </row>
    <row r="207" spans="1:2" ht="28.8">
      <c r="A207" s="115" t="s">
        <v>248</v>
      </c>
      <c r="B207" s="202" t="s">
        <v>465</v>
      </c>
    </row>
    <row r="208" spans="1:2">
      <c r="A208" s="139"/>
      <c r="B208" s="117" t="e">
        <f>'I.RANGE ANALYSIS'!K27</f>
        <v>#N/A</v>
      </c>
    </row>
    <row r="209" spans="1:2" ht="28.2" customHeight="1">
      <c r="A209" s="139"/>
      <c r="B209" s="117" t="e">
        <f>VLOOKUP(B208,A198:B207,2)</f>
        <v>#N/A</v>
      </c>
    </row>
    <row r="210" spans="1:2">
      <c r="A210" s="139"/>
      <c r="B210" s="121"/>
    </row>
    <row r="211" spans="1:2">
      <c r="A211" s="140" t="s">
        <v>586</v>
      </c>
      <c r="B211" s="123"/>
    </row>
    <row r="212" spans="1:2" ht="18">
      <c r="A212" s="113" t="s">
        <v>258</v>
      </c>
      <c r="B212" s="123" t="s">
        <v>483</v>
      </c>
    </row>
    <row r="213" spans="1:2" ht="18">
      <c r="A213" s="113" t="s">
        <v>259</v>
      </c>
      <c r="B213" s="123" t="s">
        <v>482</v>
      </c>
    </row>
    <row r="214" spans="1:2" ht="18">
      <c r="A214" s="114" t="s">
        <v>260</v>
      </c>
      <c r="B214" s="137" t="s">
        <v>485</v>
      </c>
    </row>
    <row r="215" spans="1:2" ht="18">
      <c r="A215" s="114" t="s">
        <v>261</v>
      </c>
      <c r="B215" s="137" t="s">
        <v>485</v>
      </c>
    </row>
    <row r="216" spans="1:2" ht="28.8">
      <c r="A216" s="114" t="s">
        <v>262</v>
      </c>
      <c r="B216" s="137" t="s">
        <v>487</v>
      </c>
    </row>
    <row r="217" spans="1:2" ht="18">
      <c r="A217" s="114" t="s">
        <v>263</v>
      </c>
      <c r="B217" s="137" t="s">
        <v>484</v>
      </c>
    </row>
    <row r="218" spans="1:2" ht="28.8">
      <c r="A218" s="115" t="s">
        <v>264</v>
      </c>
      <c r="B218" s="123" t="s">
        <v>488</v>
      </c>
    </row>
    <row r="219" spans="1:2" ht="28.8">
      <c r="A219" s="115" t="s">
        <v>265</v>
      </c>
      <c r="B219" s="123" t="s">
        <v>488</v>
      </c>
    </row>
    <row r="220" spans="1:2" ht="28.8">
      <c r="A220" s="115" t="s">
        <v>266</v>
      </c>
      <c r="B220" s="123" t="s">
        <v>486</v>
      </c>
    </row>
    <row r="221" spans="1:2" ht="28.8">
      <c r="A221" s="115" t="s">
        <v>267</v>
      </c>
      <c r="B221" s="123" t="s">
        <v>486</v>
      </c>
    </row>
    <row r="222" spans="1:2">
      <c r="A222" s="141"/>
      <c r="B222" s="117" t="e">
        <f>'I.RANGE ANALYSIS'!K29</f>
        <v>#N/A</v>
      </c>
    </row>
    <row r="223" spans="1:2" ht="29.4" customHeight="1">
      <c r="A223" s="141"/>
      <c r="B223" s="117" t="e">
        <f>VLOOKUP(B222,A212:B221,2)</f>
        <v>#N/A</v>
      </c>
    </row>
    <row r="224" spans="1:2">
      <c r="A224" s="141"/>
      <c r="B224" s="128"/>
    </row>
    <row r="225" spans="1:2" ht="28.8">
      <c r="A225" s="132" t="s">
        <v>587</v>
      </c>
      <c r="B225" s="112"/>
    </row>
    <row r="226" spans="1:2" ht="18">
      <c r="A226" s="113" t="s">
        <v>199</v>
      </c>
      <c r="B226" s="202" t="s">
        <v>494</v>
      </c>
    </row>
    <row r="227" spans="1:2" ht="18">
      <c r="A227" s="113" t="s">
        <v>200</v>
      </c>
      <c r="B227" s="202" t="s">
        <v>494</v>
      </c>
    </row>
    <row r="228" spans="1:2" ht="18">
      <c r="A228" s="113" t="s">
        <v>201</v>
      </c>
      <c r="B228" s="202" t="s">
        <v>490</v>
      </c>
    </row>
    <row r="229" spans="1:2" ht="18">
      <c r="A229" s="113" t="s">
        <v>202</v>
      </c>
      <c r="B229" s="202" t="s">
        <v>490</v>
      </c>
    </row>
    <row r="230" spans="1:2" ht="28.8">
      <c r="A230" s="114" t="s">
        <v>203</v>
      </c>
      <c r="B230" s="203" t="s">
        <v>489</v>
      </c>
    </row>
    <row r="231" spans="1:2" ht="18">
      <c r="A231" s="114" t="s">
        <v>204</v>
      </c>
      <c r="B231" s="203" t="s">
        <v>110</v>
      </c>
    </row>
    <row r="232" spans="1:2" ht="28.8">
      <c r="A232" s="114" t="s">
        <v>205</v>
      </c>
      <c r="B232" s="204" t="s">
        <v>491</v>
      </c>
    </row>
    <row r="233" spans="1:2" ht="18">
      <c r="A233" s="115" t="s">
        <v>206</v>
      </c>
      <c r="B233" s="202" t="s">
        <v>492</v>
      </c>
    </row>
    <row r="234" spans="1:2" ht="18">
      <c r="A234" s="115" t="s">
        <v>207</v>
      </c>
      <c r="B234" s="202" t="s">
        <v>492</v>
      </c>
    </row>
    <row r="235" spans="1:2" ht="18">
      <c r="A235" s="115" t="s">
        <v>208</v>
      </c>
      <c r="B235" s="202" t="s">
        <v>493</v>
      </c>
    </row>
    <row r="236" spans="1:2">
      <c r="A236" s="133"/>
      <c r="B236" s="117" t="e">
        <f>'I.RANGE ANALYSIS'!K19</f>
        <v>#N/A</v>
      </c>
    </row>
    <row r="237" spans="1:2" ht="28.95" customHeight="1">
      <c r="A237" s="133"/>
      <c r="B237" s="117" t="e">
        <f>VLOOKUP(B236,A226:B235,2)</f>
        <v>#N/A</v>
      </c>
    </row>
    <row r="238" spans="1:2">
      <c r="A238" s="133"/>
      <c r="B238" s="121"/>
    </row>
    <row r="239" spans="1:2">
      <c r="A239" s="129" t="s">
        <v>588</v>
      </c>
      <c r="B239" s="112"/>
    </row>
    <row r="240" spans="1:2" ht="18">
      <c r="A240" s="113" t="s">
        <v>334</v>
      </c>
      <c r="B240" s="202" t="s">
        <v>575</v>
      </c>
    </row>
    <row r="241" spans="1:2" ht="18">
      <c r="A241" s="113" t="s">
        <v>335</v>
      </c>
      <c r="B241" s="202" t="s">
        <v>573</v>
      </c>
    </row>
    <row r="242" spans="1:2" ht="18">
      <c r="A242" s="114" t="s">
        <v>336</v>
      </c>
      <c r="B242" s="203" t="s">
        <v>574</v>
      </c>
    </row>
    <row r="243" spans="1:2" ht="18">
      <c r="A243" s="114" t="s">
        <v>337</v>
      </c>
      <c r="B243" s="203" t="s">
        <v>574</v>
      </c>
    </row>
    <row r="244" spans="1:2" ht="18">
      <c r="A244" s="114" t="s">
        <v>338</v>
      </c>
      <c r="B244" s="203" t="s">
        <v>576</v>
      </c>
    </row>
    <row r="245" spans="1:2" ht="28.8">
      <c r="A245" s="114" t="s">
        <v>339</v>
      </c>
      <c r="B245" s="204" t="s">
        <v>577</v>
      </c>
    </row>
    <row r="246" spans="1:2" ht="28.8">
      <c r="A246" s="115" t="s">
        <v>340</v>
      </c>
      <c r="B246" s="202" t="s">
        <v>578</v>
      </c>
    </row>
    <row r="247" spans="1:2" ht="28.8">
      <c r="A247" s="115" t="s">
        <v>341</v>
      </c>
      <c r="B247" s="202" t="s">
        <v>578</v>
      </c>
    </row>
    <row r="248" spans="1:2" ht="28.8">
      <c r="A248" s="115" t="s">
        <v>342</v>
      </c>
      <c r="B248" s="202" t="s">
        <v>579</v>
      </c>
    </row>
    <row r="249" spans="1:2" ht="28.8">
      <c r="A249" s="115" t="s">
        <v>343</v>
      </c>
      <c r="B249" s="202" t="s">
        <v>579</v>
      </c>
    </row>
    <row r="250" spans="1:2">
      <c r="A250" s="139"/>
      <c r="B250" s="117" t="e">
        <f>'I.RANGE ANALYSIS'!K40</f>
        <v>#N/A</v>
      </c>
    </row>
    <row r="251" spans="1:2" ht="27.6" customHeight="1">
      <c r="A251" s="139"/>
      <c r="B251" s="117" t="e">
        <f>VLOOKUP(B250,A240:B249,2)</f>
        <v>#N/A</v>
      </c>
    </row>
    <row r="252" spans="1:2">
      <c r="A252" s="139"/>
      <c r="B252" s="121"/>
    </row>
    <row r="253" spans="1:2">
      <c r="A253" s="132" t="s">
        <v>589</v>
      </c>
      <c r="B253" s="112"/>
    </row>
    <row r="254" spans="1:2" ht="18">
      <c r="A254" s="113" t="s">
        <v>185</v>
      </c>
      <c r="B254" s="202" t="s">
        <v>426</v>
      </c>
    </row>
    <row r="255" spans="1:2" ht="28.8">
      <c r="A255" s="113" t="s">
        <v>186</v>
      </c>
      <c r="B255" s="202" t="s">
        <v>425</v>
      </c>
    </row>
    <row r="256" spans="1:2" ht="28.8">
      <c r="A256" s="113" t="s">
        <v>187</v>
      </c>
      <c r="B256" s="202" t="s">
        <v>425</v>
      </c>
    </row>
    <row r="257" spans="1:2" ht="18">
      <c r="A257" s="114" t="s">
        <v>188</v>
      </c>
      <c r="B257" s="203" t="s">
        <v>567</v>
      </c>
    </row>
    <row r="258" spans="1:2" ht="28.8">
      <c r="A258" s="114" t="s">
        <v>189</v>
      </c>
      <c r="B258" s="203" t="s">
        <v>569</v>
      </c>
    </row>
    <row r="259" spans="1:2" ht="28.8">
      <c r="A259" s="114" t="s">
        <v>190</v>
      </c>
      <c r="B259" s="203" t="s">
        <v>568</v>
      </c>
    </row>
    <row r="260" spans="1:2" ht="28.8">
      <c r="A260" s="115" t="s">
        <v>191</v>
      </c>
      <c r="B260" s="202" t="s">
        <v>571</v>
      </c>
    </row>
    <row r="261" spans="1:2" ht="28.8">
      <c r="A261" s="115" t="s">
        <v>192</v>
      </c>
      <c r="B261" s="202" t="s">
        <v>571</v>
      </c>
    </row>
    <row r="262" spans="1:2" ht="28.8">
      <c r="A262" s="115" t="s">
        <v>193</v>
      </c>
      <c r="B262" s="202" t="s">
        <v>570</v>
      </c>
    </row>
    <row r="263" spans="1:2" ht="28.8">
      <c r="A263" s="115" t="s">
        <v>194</v>
      </c>
      <c r="B263" s="202" t="s">
        <v>570</v>
      </c>
    </row>
    <row r="264" spans="1:2">
      <c r="A264" s="133"/>
      <c r="B264" s="117" t="e">
        <f>'I.RANGE ANALYSIS'!K18</f>
        <v>#N/A</v>
      </c>
    </row>
    <row r="265" spans="1:2" ht="28.95" customHeight="1">
      <c r="A265" s="133"/>
      <c r="B265" s="117" t="e">
        <f>VLOOKUP(B264,A254:B263,2)</f>
        <v>#N/A</v>
      </c>
    </row>
    <row r="266" spans="1:2">
      <c r="A266" s="133"/>
      <c r="B266" s="121"/>
    </row>
    <row r="267" spans="1:2">
      <c r="A267" s="130" t="s">
        <v>495</v>
      </c>
      <c r="B267" s="112"/>
    </row>
    <row r="268" spans="1:2" ht="18">
      <c r="A268" s="113" t="s">
        <v>268</v>
      </c>
      <c r="B268" s="202" t="s">
        <v>111</v>
      </c>
    </row>
    <row r="269" spans="1:2" ht="18">
      <c r="A269" s="113" t="s">
        <v>269</v>
      </c>
      <c r="B269" s="202" t="s">
        <v>111</v>
      </c>
    </row>
    <row r="270" spans="1:2" ht="28.8">
      <c r="A270" s="113" t="s">
        <v>270</v>
      </c>
      <c r="B270" s="202" t="s">
        <v>496</v>
      </c>
    </row>
    <row r="271" spans="1:2" ht="18">
      <c r="A271" s="114" t="s">
        <v>271</v>
      </c>
      <c r="B271" s="204" t="s">
        <v>499</v>
      </c>
    </row>
    <row r="272" spans="1:2" ht="18">
      <c r="A272" s="114" t="s">
        <v>272</v>
      </c>
      <c r="B272" s="204" t="s">
        <v>499</v>
      </c>
    </row>
    <row r="273" spans="1:2" ht="18">
      <c r="A273" s="114" t="s">
        <v>273</v>
      </c>
      <c r="B273" s="203" t="s">
        <v>497</v>
      </c>
    </row>
    <row r="274" spans="1:2" ht="28.8">
      <c r="A274" s="114" t="s">
        <v>274</v>
      </c>
      <c r="B274" s="203" t="s">
        <v>498</v>
      </c>
    </row>
    <row r="275" spans="1:2" ht="28.8">
      <c r="A275" s="115" t="s">
        <v>275</v>
      </c>
      <c r="B275" s="214" t="s">
        <v>500</v>
      </c>
    </row>
    <row r="276" spans="1:2" ht="28.8">
      <c r="A276" s="115" t="s">
        <v>276</v>
      </c>
      <c r="B276" s="214" t="s">
        <v>500</v>
      </c>
    </row>
    <row r="277" spans="1:2" ht="28.8">
      <c r="A277" s="115" t="s">
        <v>277</v>
      </c>
      <c r="B277" s="202" t="s">
        <v>501</v>
      </c>
    </row>
    <row r="278" spans="1:2">
      <c r="A278" s="134"/>
      <c r="B278" s="117" t="e">
        <f>'I.RANGE ANALYSIS'!K32</f>
        <v>#N/A</v>
      </c>
    </row>
    <row r="279" spans="1:2" ht="30" customHeight="1">
      <c r="A279" s="134"/>
      <c r="B279" s="117" t="e">
        <f>VLOOKUP(B278,A268:B277,2)</f>
        <v>#N/A</v>
      </c>
    </row>
    <row r="280" spans="1:2">
      <c r="A280" s="134"/>
      <c r="B280" s="121"/>
    </row>
    <row r="281" spans="1:2">
      <c r="A281" s="132" t="s">
        <v>602</v>
      </c>
      <c r="B281" s="112"/>
    </row>
    <row r="282" spans="1:2" ht="18">
      <c r="A282" s="113" t="s">
        <v>278</v>
      </c>
      <c r="B282" s="202" t="s">
        <v>113</v>
      </c>
    </row>
    <row r="283" spans="1:2" ht="18">
      <c r="A283" s="113" t="s">
        <v>279</v>
      </c>
      <c r="B283" s="202" t="s">
        <v>113</v>
      </c>
    </row>
    <row r="284" spans="1:2" ht="18">
      <c r="A284" s="113" t="s">
        <v>280</v>
      </c>
      <c r="B284" s="202" t="s">
        <v>502</v>
      </c>
    </row>
    <row r="285" spans="1:2" ht="28.8">
      <c r="A285" s="114" t="s">
        <v>281</v>
      </c>
      <c r="B285" s="203" t="s">
        <v>506</v>
      </c>
    </row>
    <row r="286" spans="1:2" ht="28.8">
      <c r="A286" s="114" t="s">
        <v>282</v>
      </c>
      <c r="B286" s="203" t="s">
        <v>518</v>
      </c>
    </row>
    <row r="287" spans="1:2" ht="28.8">
      <c r="A287" s="114" t="s">
        <v>283</v>
      </c>
      <c r="B287" s="203" t="s">
        <v>518</v>
      </c>
    </row>
    <row r="288" spans="1:2" ht="28.8">
      <c r="A288" s="114" t="s">
        <v>284</v>
      </c>
      <c r="B288" s="203" t="s">
        <v>519</v>
      </c>
    </row>
    <row r="289" spans="1:2" ht="28.8">
      <c r="A289" s="114" t="s">
        <v>285</v>
      </c>
      <c r="B289" s="203" t="s">
        <v>519</v>
      </c>
    </row>
    <row r="290" spans="1:2" ht="18">
      <c r="A290" s="115" t="s">
        <v>286</v>
      </c>
      <c r="B290" s="202" t="s">
        <v>114</v>
      </c>
    </row>
    <row r="291" spans="1:2" ht="18">
      <c r="A291" s="115" t="s">
        <v>287</v>
      </c>
      <c r="B291" s="202" t="s">
        <v>112</v>
      </c>
    </row>
    <row r="292" spans="1:2">
      <c r="A292" s="133"/>
      <c r="B292" s="117" t="e">
        <f>'I.RANGE ANALYSIS'!K33</f>
        <v>#N/A</v>
      </c>
    </row>
    <row r="293" spans="1:2" ht="29.4" customHeight="1">
      <c r="A293" s="133"/>
      <c r="B293" s="117" t="e">
        <f>VLOOKUP(B292,A282:B291,2)</f>
        <v>#N/A</v>
      </c>
    </row>
    <row r="294" spans="1:2">
      <c r="A294" s="133"/>
      <c r="B294" s="121"/>
    </row>
    <row r="295" spans="1:2">
      <c r="A295" s="130" t="s">
        <v>504</v>
      </c>
      <c r="B295" s="112"/>
    </row>
    <row r="296" spans="1:2" ht="18">
      <c r="A296" s="113" t="s">
        <v>288</v>
      </c>
      <c r="B296" s="202" t="s">
        <v>508</v>
      </c>
    </row>
    <row r="297" spans="1:2" ht="18">
      <c r="A297" s="113" t="s">
        <v>289</v>
      </c>
      <c r="B297" s="202" t="s">
        <v>508</v>
      </c>
    </row>
    <row r="298" spans="1:2" ht="18">
      <c r="A298" s="113" t="s">
        <v>290</v>
      </c>
      <c r="B298" s="202" t="s">
        <v>505</v>
      </c>
    </row>
    <row r="299" spans="1:2" ht="28.8">
      <c r="A299" s="114" t="s">
        <v>291</v>
      </c>
      <c r="B299" s="203" t="s">
        <v>503</v>
      </c>
    </row>
    <row r="300" spans="1:2" ht="18">
      <c r="A300" s="114" t="s">
        <v>292</v>
      </c>
      <c r="B300" s="204" t="s">
        <v>510</v>
      </c>
    </row>
    <row r="301" spans="1:2" ht="18">
      <c r="A301" s="114" t="s">
        <v>293</v>
      </c>
      <c r="B301" s="204" t="s">
        <v>510</v>
      </c>
    </row>
    <row r="302" spans="1:2" ht="18">
      <c r="A302" s="114" t="s">
        <v>294</v>
      </c>
      <c r="B302" s="203" t="s">
        <v>512</v>
      </c>
    </row>
    <row r="303" spans="1:2" ht="18">
      <c r="A303" s="114" t="s">
        <v>295</v>
      </c>
      <c r="B303" s="203" t="s">
        <v>512</v>
      </c>
    </row>
    <row r="304" spans="1:2" ht="18">
      <c r="A304" s="115" t="s">
        <v>296</v>
      </c>
      <c r="B304" s="202" t="s">
        <v>115</v>
      </c>
    </row>
    <row r="305" spans="1:2" ht="18">
      <c r="A305" s="115" t="s">
        <v>297</v>
      </c>
      <c r="B305" s="202" t="s">
        <v>400</v>
      </c>
    </row>
    <row r="306" spans="1:2">
      <c r="A306" s="134"/>
      <c r="B306" s="117" t="e">
        <f>'I.RANGE ANALYSIS'!K34</f>
        <v>#N/A</v>
      </c>
    </row>
    <row r="307" spans="1:2" ht="28.95" customHeight="1">
      <c r="A307" s="134"/>
      <c r="B307" s="117" t="e">
        <f>VLOOKUP(B306,A296:B305,2)</f>
        <v>#N/A</v>
      </c>
    </row>
    <row r="308" spans="1:2">
      <c r="A308" s="134"/>
      <c r="B308" s="121"/>
    </row>
    <row r="309" spans="1:2">
      <c r="A309" s="111" t="s">
        <v>507</v>
      </c>
      <c r="B309" s="112"/>
    </row>
    <row r="310" spans="1:2" ht="18">
      <c r="A310" s="113" t="s">
        <v>288</v>
      </c>
      <c r="B310" s="202" t="s">
        <v>116</v>
      </c>
    </row>
    <row r="311" spans="1:2" ht="18">
      <c r="A311" s="113" t="s">
        <v>289</v>
      </c>
      <c r="B311" s="202" t="s">
        <v>116</v>
      </c>
    </row>
    <row r="312" spans="1:2" ht="28.8">
      <c r="A312" s="113" t="s">
        <v>290</v>
      </c>
      <c r="B312" s="202" t="s">
        <v>509</v>
      </c>
    </row>
    <row r="313" spans="1:2" ht="18">
      <c r="A313" s="114" t="s">
        <v>291</v>
      </c>
      <c r="B313" s="203" t="s">
        <v>514</v>
      </c>
    </row>
    <row r="314" spans="1:2" ht="18">
      <c r="A314" s="114" t="s">
        <v>292</v>
      </c>
      <c r="B314" s="203" t="s">
        <v>515</v>
      </c>
    </row>
    <row r="315" spans="1:2" ht="18">
      <c r="A315" s="114" t="s">
        <v>293</v>
      </c>
      <c r="B315" s="204" t="s">
        <v>511</v>
      </c>
    </row>
    <row r="316" spans="1:2" ht="28.8">
      <c r="A316" s="115" t="s">
        <v>294</v>
      </c>
      <c r="B316" s="202" t="s">
        <v>513</v>
      </c>
    </row>
    <row r="317" spans="1:2" ht="28.8">
      <c r="A317" s="115" t="s">
        <v>295</v>
      </c>
      <c r="B317" s="202" t="s">
        <v>513</v>
      </c>
    </row>
    <row r="318" spans="1:2" ht="28.8">
      <c r="A318" s="115" t="s">
        <v>296</v>
      </c>
      <c r="B318" s="202" t="s">
        <v>398</v>
      </c>
    </row>
    <row r="319" spans="1:2" ht="28.8">
      <c r="A319" s="115" t="s">
        <v>297</v>
      </c>
      <c r="B319" s="202" t="s">
        <v>398</v>
      </c>
    </row>
    <row r="320" spans="1:2">
      <c r="A320" s="118"/>
      <c r="B320" s="117" t="e">
        <f>'I.RANGE ANALYSIS'!K34</f>
        <v>#N/A</v>
      </c>
    </row>
    <row r="321" spans="1:2" ht="33" customHeight="1">
      <c r="A321" s="118"/>
      <c r="B321" s="117" t="e">
        <f>VLOOKUP(B320,A310:B319,2)</f>
        <v>#N/A</v>
      </c>
    </row>
    <row r="322" spans="1:2">
      <c r="A322" s="118"/>
      <c r="B322" s="121"/>
    </row>
    <row r="323" spans="1:2">
      <c r="A323" s="130" t="s">
        <v>516</v>
      </c>
      <c r="B323" s="112"/>
    </row>
    <row r="324" spans="1:2" ht="18">
      <c r="A324" s="113" t="s">
        <v>278</v>
      </c>
      <c r="B324" s="202" t="s">
        <v>117</v>
      </c>
    </row>
    <row r="325" spans="1:2" ht="18">
      <c r="A325" s="113" t="s">
        <v>279</v>
      </c>
      <c r="B325" s="202" t="s">
        <v>117</v>
      </c>
    </row>
    <row r="326" spans="1:2" ht="18">
      <c r="A326" s="113" t="s">
        <v>280</v>
      </c>
      <c r="B326" s="202" t="s">
        <v>517</v>
      </c>
    </row>
    <row r="327" spans="1:2" ht="28.8">
      <c r="A327" s="114" t="s">
        <v>281</v>
      </c>
      <c r="B327" s="203" t="s">
        <v>118</v>
      </c>
    </row>
    <row r="328" spans="1:2" ht="18">
      <c r="A328" s="114" t="s">
        <v>282</v>
      </c>
      <c r="B328" s="203" t="s">
        <v>633</v>
      </c>
    </row>
    <row r="329" spans="1:2" ht="18">
      <c r="A329" s="114" t="s">
        <v>283</v>
      </c>
      <c r="B329" s="203" t="s">
        <v>633</v>
      </c>
    </row>
    <row r="330" spans="1:2" ht="18">
      <c r="A330" s="114" t="s">
        <v>284</v>
      </c>
      <c r="B330" s="203" t="s">
        <v>521</v>
      </c>
    </row>
    <row r="331" spans="1:2" ht="28.8">
      <c r="A331" s="115" t="s">
        <v>285</v>
      </c>
      <c r="B331" s="202" t="s">
        <v>520</v>
      </c>
    </row>
    <row r="332" spans="1:2" ht="28.8">
      <c r="A332" s="115" t="s">
        <v>286</v>
      </c>
      <c r="B332" s="202" t="s">
        <v>399</v>
      </c>
    </row>
    <row r="333" spans="1:2" ht="28.8">
      <c r="A333" s="115" t="s">
        <v>287</v>
      </c>
      <c r="B333" s="202" t="s">
        <v>399</v>
      </c>
    </row>
    <row r="334" spans="1:2">
      <c r="A334" s="134"/>
      <c r="B334" s="117" t="e">
        <f>'I.RANGE ANALYSIS'!K33</f>
        <v>#N/A</v>
      </c>
    </row>
    <row r="335" spans="1:2" ht="33" customHeight="1">
      <c r="A335" s="134"/>
      <c r="B335" s="117" t="e">
        <f>VLOOKUP(B334,A324:B333,2)</f>
        <v>#N/A</v>
      </c>
    </row>
    <row r="336" spans="1:2">
      <c r="A336" s="134"/>
      <c r="B336" s="121"/>
    </row>
    <row r="337" spans="1:2" ht="28.8">
      <c r="A337" s="142" t="s">
        <v>590</v>
      </c>
      <c r="B337" s="123"/>
    </row>
    <row r="338" spans="1:2" ht="18">
      <c r="A338" s="113" t="s">
        <v>128</v>
      </c>
      <c r="B338" s="123" t="s">
        <v>457</v>
      </c>
    </row>
    <row r="339" spans="1:2" ht="18">
      <c r="A339" s="113" t="s">
        <v>301</v>
      </c>
      <c r="B339" s="123" t="s">
        <v>456</v>
      </c>
    </row>
    <row r="340" spans="1:2" ht="18">
      <c r="A340" s="114" t="s">
        <v>302</v>
      </c>
      <c r="B340" s="137" t="s">
        <v>459</v>
      </c>
    </row>
    <row r="341" spans="1:2" ht="18">
      <c r="A341" s="114" t="s">
        <v>303</v>
      </c>
      <c r="B341" s="137" t="s">
        <v>459</v>
      </c>
    </row>
    <row r="342" spans="1:2" ht="28.8">
      <c r="A342" s="114" t="s">
        <v>304</v>
      </c>
      <c r="B342" s="137" t="s">
        <v>458</v>
      </c>
    </row>
    <row r="343" spans="1:2" ht="28.8">
      <c r="A343" s="114" t="s">
        <v>305</v>
      </c>
      <c r="B343" s="137" t="s">
        <v>458</v>
      </c>
    </row>
    <row r="344" spans="1:2" ht="28.8">
      <c r="A344" s="114" t="s">
        <v>306</v>
      </c>
      <c r="B344" s="137" t="s">
        <v>461</v>
      </c>
    </row>
    <row r="345" spans="1:2" ht="28.8">
      <c r="A345" s="114" t="s">
        <v>307</v>
      </c>
      <c r="B345" s="137" t="s">
        <v>461</v>
      </c>
    </row>
    <row r="346" spans="1:2" ht="28.8">
      <c r="A346" s="115" t="s">
        <v>308</v>
      </c>
      <c r="B346" s="123" t="s">
        <v>460</v>
      </c>
    </row>
    <row r="347" spans="1:2" ht="28.8">
      <c r="A347" s="115" t="s">
        <v>309</v>
      </c>
      <c r="B347" s="123" t="s">
        <v>462</v>
      </c>
    </row>
    <row r="348" spans="1:2">
      <c r="A348" s="143"/>
      <c r="B348" s="117" t="e">
        <f>'I.RANGE ANALYSIS'!K35</f>
        <v>#N/A</v>
      </c>
    </row>
    <row r="349" spans="1:2" ht="29.4" customHeight="1">
      <c r="A349" s="143"/>
      <c r="B349" s="117" t="e">
        <f>VLOOKUP(B348,A338:B347,2)</f>
        <v>#N/A</v>
      </c>
    </row>
    <row r="350" spans="1:2">
      <c r="A350" s="143"/>
      <c r="B350" s="128"/>
    </row>
    <row r="351" spans="1:2">
      <c r="A351" s="111" t="s">
        <v>591</v>
      </c>
      <c r="B351" s="112"/>
    </row>
    <row r="352" spans="1:2" ht="18">
      <c r="A352" s="113" t="s">
        <v>131</v>
      </c>
      <c r="B352" s="202" t="s">
        <v>592</v>
      </c>
    </row>
    <row r="353" spans="1:2" ht="18">
      <c r="A353" s="113" t="s">
        <v>310</v>
      </c>
      <c r="B353" s="202" t="s">
        <v>634</v>
      </c>
    </row>
    <row r="354" spans="1:2" ht="18">
      <c r="A354" s="114" t="s">
        <v>311</v>
      </c>
      <c r="B354" s="203" t="s">
        <v>593</v>
      </c>
    </row>
    <row r="355" spans="1:2" ht="18">
      <c r="A355" s="114" t="s">
        <v>312</v>
      </c>
      <c r="B355" s="203" t="s">
        <v>121</v>
      </c>
    </row>
    <row r="356" spans="1:2" ht="18">
      <c r="A356" s="114" t="s">
        <v>313</v>
      </c>
      <c r="B356" s="203" t="s">
        <v>594</v>
      </c>
    </row>
    <row r="357" spans="1:2" ht="18">
      <c r="A357" s="115" t="s">
        <v>314</v>
      </c>
      <c r="B357" s="202" t="s">
        <v>595</v>
      </c>
    </row>
    <row r="358" spans="1:2" ht="18">
      <c r="A358" s="115" t="s">
        <v>315</v>
      </c>
      <c r="B358" s="202" t="s">
        <v>595</v>
      </c>
    </row>
    <row r="359" spans="1:2" ht="28.8">
      <c r="A359" s="115" t="s">
        <v>316</v>
      </c>
      <c r="B359" s="202" t="s">
        <v>596</v>
      </c>
    </row>
    <row r="360" spans="1:2" ht="28.8">
      <c r="A360" s="115" t="s">
        <v>317</v>
      </c>
      <c r="B360" s="202" t="s">
        <v>596</v>
      </c>
    </row>
    <row r="361" spans="1:2" ht="28.8">
      <c r="A361" s="115" t="s">
        <v>318</v>
      </c>
      <c r="B361" s="202" t="s">
        <v>596</v>
      </c>
    </row>
    <row r="362" spans="1:2">
      <c r="A362" s="118"/>
      <c r="B362" s="117" t="e">
        <f>'I.RANGE ANALYSIS'!K38</f>
        <v>#N/A</v>
      </c>
    </row>
    <row r="363" spans="1:2" ht="28.2" customHeight="1">
      <c r="A363" s="118"/>
      <c r="B363" s="117" t="e">
        <f>VLOOKUP(B362,A352:B361,2)</f>
        <v>#N/A</v>
      </c>
    </row>
    <row r="364" spans="1:2">
      <c r="A364" s="118"/>
      <c r="B364" s="121"/>
    </row>
    <row r="365" spans="1:2">
      <c r="A365" s="111" t="s">
        <v>597</v>
      </c>
      <c r="B365" s="112"/>
    </row>
    <row r="366" spans="1:2" ht="28.8">
      <c r="A366" s="113" t="s">
        <v>131</v>
      </c>
      <c r="B366" s="202" t="s">
        <v>522</v>
      </c>
    </row>
    <row r="367" spans="1:2" ht="28.8">
      <c r="A367" s="113" t="s">
        <v>310</v>
      </c>
      <c r="B367" s="202" t="s">
        <v>523</v>
      </c>
    </row>
    <row r="368" spans="1:2" ht="18">
      <c r="A368" s="114" t="s">
        <v>311</v>
      </c>
      <c r="B368" s="203" t="s">
        <v>119</v>
      </c>
    </row>
    <row r="369" spans="1:2" ht="28.8">
      <c r="A369" s="114" t="s">
        <v>312</v>
      </c>
      <c r="B369" s="203" t="s">
        <v>529</v>
      </c>
    </row>
    <row r="370" spans="1:2" ht="18">
      <c r="A370" s="114" t="s">
        <v>313</v>
      </c>
      <c r="B370" s="203" t="s">
        <v>530</v>
      </c>
    </row>
    <row r="371" spans="1:2" ht="18">
      <c r="A371" s="114" t="s">
        <v>314</v>
      </c>
      <c r="B371" s="203" t="s">
        <v>530</v>
      </c>
    </row>
    <row r="372" spans="1:2" ht="18">
      <c r="A372" s="114" t="s">
        <v>315</v>
      </c>
      <c r="B372" s="203" t="s">
        <v>530</v>
      </c>
    </row>
    <row r="373" spans="1:2" ht="18">
      <c r="A373" s="115" t="s">
        <v>316</v>
      </c>
      <c r="B373" s="202" t="s">
        <v>531</v>
      </c>
    </row>
    <row r="374" spans="1:2" ht="18">
      <c r="A374" s="115" t="s">
        <v>317</v>
      </c>
      <c r="B374" s="202" t="s">
        <v>531</v>
      </c>
    </row>
    <row r="375" spans="1:2" ht="18">
      <c r="A375" s="115" t="s">
        <v>318</v>
      </c>
      <c r="B375" s="202" t="s">
        <v>120</v>
      </c>
    </row>
    <row r="376" spans="1:2">
      <c r="A376" s="118"/>
      <c r="B376" s="117" t="e">
        <f>'I.RANGE ANALYSIS'!K38</f>
        <v>#N/A</v>
      </c>
    </row>
    <row r="377" spans="1:2" ht="28.95" customHeight="1">
      <c r="A377" s="118"/>
      <c r="B377" s="117" t="e">
        <f>VLOOKUP(B376,A366:B375,2)</f>
        <v>#N/A</v>
      </c>
    </row>
    <row r="378" spans="1:2">
      <c r="A378" s="118"/>
      <c r="B378" s="121"/>
    </row>
    <row r="379" spans="1:2">
      <c r="A379" s="130" t="s">
        <v>598</v>
      </c>
      <c r="B379" s="112"/>
    </row>
    <row r="380" spans="1:2" ht="18">
      <c r="A380" s="113" t="s">
        <v>324</v>
      </c>
      <c r="B380" s="202" t="s">
        <v>524</v>
      </c>
    </row>
    <row r="381" spans="1:2" ht="28.8">
      <c r="A381" s="113" t="s">
        <v>325</v>
      </c>
      <c r="B381" s="202" t="s">
        <v>525</v>
      </c>
    </row>
    <row r="382" spans="1:2" ht="28.8">
      <c r="A382" s="114" t="s">
        <v>326</v>
      </c>
      <c r="B382" s="203" t="s">
        <v>532</v>
      </c>
    </row>
    <row r="383" spans="1:2" ht="28.8">
      <c r="A383" s="114" t="s">
        <v>327</v>
      </c>
      <c r="B383" s="203" t="s">
        <v>526</v>
      </c>
    </row>
    <row r="384" spans="1:2" ht="43.2">
      <c r="A384" s="114" t="s">
        <v>328</v>
      </c>
      <c r="B384" s="203" t="s">
        <v>53</v>
      </c>
    </row>
    <row r="385" spans="1:2" ht="43.2">
      <c r="A385" s="114" t="s">
        <v>329</v>
      </c>
      <c r="B385" s="203" t="s">
        <v>53</v>
      </c>
    </row>
    <row r="386" spans="1:2" ht="28.8">
      <c r="A386" s="115" t="s">
        <v>330</v>
      </c>
      <c r="B386" s="210" t="s">
        <v>527</v>
      </c>
    </row>
    <row r="387" spans="1:2" ht="28.8">
      <c r="A387" s="115" t="s">
        <v>331</v>
      </c>
      <c r="B387" s="210" t="s">
        <v>527</v>
      </c>
    </row>
    <row r="388" spans="1:2" ht="43.2">
      <c r="A388" s="115" t="s">
        <v>332</v>
      </c>
      <c r="B388" s="202" t="s">
        <v>528</v>
      </c>
    </row>
    <row r="389" spans="1:2" ht="43.2">
      <c r="A389" s="115" t="s">
        <v>333</v>
      </c>
      <c r="B389" s="202" t="s">
        <v>528</v>
      </c>
    </row>
    <row r="390" spans="1:2">
      <c r="A390" s="134"/>
      <c r="B390" s="117" t="e">
        <f>'I.RANGE ANALYSIS'!K39</f>
        <v>#N/A</v>
      </c>
    </row>
    <row r="391" spans="1:2" ht="43.2" customHeight="1">
      <c r="A391" s="134"/>
      <c r="B391" s="117" t="e">
        <f>VLOOKUP(B390,A380:B389,2)</f>
        <v>#N/A</v>
      </c>
    </row>
    <row r="392" spans="1:2">
      <c r="A392" s="134"/>
      <c r="B392" s="121"/>
    </row>
    <row r="393" spans="1:2">
      <c r="A393" s="130" t="s">
        <v>599</v>
      </c>
      <c r="B393" s="112"/>
    </row>
    <row r="394" spans="1:2" ht="18">
      <c r="A394" s="113" t="s">
        <v>334</v>
      </c>
      <c r="B394" s="202" t="s">
        <v>533</v>
      </c>
    </row>
    <row r="395" spans="1:2" ht="18">
      <c r="A395" s="113" t="s">
        <v>335</v>
      </c>
      <c r="B395" s="202" t="s">
        <v>535</v>
      </c>
    </row>
    <row r="396" spans="1:2" ht="28.8">
      <c r="A396" s="114" t="s">
        <v>336</v>
      </c>
      <c r="B396" s="203" t="s">
        <v>536</v>
      </c>
    </row>
    <row r="397" spans="1:2" ht="28.8">
      <c r="A397" s="114" t="s">
        <v>337</v>
      </c>
      <c r="B397" s="203" t="s">
        <v>536</v>
      </c>
    </row>
    <row r="398" spans="1:2" ht="18">
      <c r="A398" s="114" t="s">
        <v>338</v>
      </c>
      <c r="B398" s="203" t="s">
        <v>538</v>
      </c>
    </row>
    <row r="399" spans="1:2" ht="18">
      <c r="A399" s="114" t="s">
        <v>339</v>
      </c>
      <c r="B399" s="203" t="s">
        <v>538</v>
      </c>
    </row>
    <row r="400" spans="1:2" ht="18">
      <c r="A400" s="114" t="s">
        <v>340</v>
      </c>
      <c r="B400" s="204" t="s">
        <v>544</v>
      </c>
    </row>
    <row r="401" spans="1:2" ht="18">
      <c r="A401" s="115" t="s">
        <v>341</v>
      </c>
      <c r="B401" s="210" t="s">
        <v>540</v>
      </c>
    </row>
    <row r="402" spans="1:2" ht="28.8">
      <c r="A402" s="115" t="s">
        <v>342</v>
      </c>
      <c r="B402" s="202" t="s">
        <v>542</v>
      </c>
    </row>
    <row r="403" spans="1:2" ht="28.8">
      <c r="A403" s="115" t="s">
        <v>343</v>
      </c>
      <c r="B403" s="202" t="s">
        <v>542</v>
      </c>
    </row>
    <row r="404" spans="1:2">
      <c r="A404" s="134"/>
      <c r="B404" s="117" t="e">
        <f>'I.RANGE ANALYSIS'!K40</f>
        <v>#N/A</v>
      </c>
    </row>
    <row r="405" spans="1:2" ht="28.95" customHeight="1">
      <c r="A405" s="134"/>
      <c r="B405" s="117" t="e">
        <f>VLOOKUP(B404,A394:B403,2)</f>
        <v>#N/A</v>
      </c>
    </row>
    <row r="406" spans="1:2">
      <c r="A406" s="134"/>
      <c r="B406" s="121"/>
    </row>
    <row r="407" spans="1:2">
      <c r="A407" s="130" t="s">
        <v>600</v>
      </c>
      <c r="B407" s="112"/>
    </row>
    <row r="408" spans="1:2" ht="18">
      <c r="A408" s="113" t="s">
        <v>334</v>
      </c>
      <c r="B408" s="202" t="s">
        <v>543</v>
      </c>
    </row>
    <row r="409" spans="1:2" ht="18">
      <c r="A409" s="113" t="s">
        <v>335</v>
      </c>
      <c r="B409" s="202" t="s">
        <v>534</v>
      </c>
    </row>
    <row r="410" spans="1:2" ht="28.8">
      <c r="A410" s="114" t="s">
        <v>336</v>
      </c>
      <c r="B410" s="203" t="s">
        <v>537</v>
      </c>
    </row>
    <row r="411" spans="1:2" ht="28.8">
      <c r="A411" s="114" t="s">
        <v>337</v>
      </c>
      <c r="B411" s="203" t="s">
        <v>537</v>
      </c>
    </row>
    <row r="412" spans="1:2" ht="18">
      <c r="A412" s="114" t="s">
        <v>338</v>
      </c>
      <c r="B412" s="203" t="s">
        <v>539</v>
      </c>
    </row>
    <row r="413" spans="1:2" ht="18">
      <c r="A413" s="114" t="s">
        <v>339</v>
      </c>
      <c r="B413" s="203" t="s">
        <v>539</v>
      </c>
    </row>
    <row r="414" spans="1:2" ht="28.8">
      <c r="A414" s="114" t="s">
        <v>340</v>
      </c>
      <c r="B414" s="204" t="s">
        <v>541</v>
      </c>
    </row>
    <row r="415" spans="1:2" ht="28.8">
      <c r="A415" s="114" t="s">
        <v>341</v>
      </c>
      <c r="B415" s="204" t="s">
        <v>541</v>
      </c>
    </row>
    <row r="416" spans="1:2" ht="18">
      <c r="A416" s="115" t="s">
        <v>342</v>
      </c>
      <c r="B416" s="202" t="s">
        <v>545</v>
      </c>
    </row>
    <row r="417" spans="1:2" ht="28.8">
      <c r="A417" s="115" t="s">
        <v>343</v>
      </c>
      <c r="B417" s="202" t="s">
        <v>546</v>
      </c>
    </row>
    <row r="418" spans="1:2">
      <c r="A418" s="8"/>
      <c r="B418" s="117" t="e">
        <f>'I.RANGE ANALYSIS'!K40</f>
        <v>#N/A</v>
      </c>
    </row>
    <row r="419" spans="1:2" ht="29.4" customHeight="1">
      <c r="A419" s="8"/>
      <c r="B419" s="117" t="e">
        <f>VLOOKUP(B418,A408:B417,2)</f>
        <v>#N/A</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9"/>
  <sheetViews>
    <sheetView zoomScale="75" zoomScaleNormal="75" workbookViewId="0">
      <selection activeCell="D8" sqref="D8"/>
    </sheetView>
  </sheetViews>
  <sheetFormatPr defaultRowHeight="15.6"/>
  <cols>
    <col min="1" max="1" width="4.33203125" style="3" customWidth="1"/>
    <col min="2" max="2" width="112.5546875" style="3" customWidth="1"/>
    <col min="4" max="4" width="49.33203125" customWidth="1"/>
  </cols>
  <sheetData>
    <row r="1" spans="1:4">
      <c r="A1" s="88" t="s">
        <v>1</v>
      </c>
      <c r="B1" s="88"/>
    </row>
    <row r="2" spans="1:4" ht="62.4">
      <c r="A2" s="89" t="s">
        <v>144</v>
      </c>
      <c r="B2" s="90" t="s">
        <v>133</v>
      </c>
    </row>
    <row r="3" spans="1:4" ht="62.4">
      <c r="A3" s="89" t="s">
        <v>143</v>
      </c>
      <c r="B3" s="90" t="s">
        <v>133</v>
      </c>
    </row>
    <row r="4" spans="1:4" ht="62.4">
      <c r="A4" s="89" t="s">
        <v>142</v>
      </c>
      <c r="B4" s="90" t="s">
        <v>133</v>
      </c>
    </row>
    <row r="5" spans="1:4" ht="62.4">
      <c r="A5" s="89" t="s">
        <v>141</v>
      </c>
      <c r="B5" s="90" t="s">
        <v>133</v>
      </c>
    </row>
    <row r="6" spans="1:4" ht="62.4">
      <c r="A6" s="89" t="s">
        <v>140</v>
      </c>
      <c r="B6" s="90" t="s">
        <v>133</v>
      </c>
    </row>
    <row r="7" spans="1:4" ht="31.2">
      <c r="A7" s="91" t="s">
        <v>139</v>
      </c>
      <c r="B7" s="90" t="s">
        <v>0</v>
      </c>
    </row>
    <row r="8" spans="1:4" ht="31.2">
      <c r="A8" s="91" t="s">
        <v>138</v>
      </c>
      <c r="B8" s="90" t="s">
        <v>0</v>
      </c>
    </row>
    <row r="9" spans="1:4" ht="62.4">
      <c r="A9" s="92" t="s">
        <v>137</v>
      </c>
      <c r="B9" s="90" t="s">
        <v>134</v>
      </c>
    </row>
    <row r="10" spans="1:4" ht="62.4">
      <c r="A10" s="92" t="s">
        <v>136</v>
      </c>
      <c r="B10" s="90" t="s">
        <v>134</v>
      </c>
    </row>
    <row r="11" spans="1:4" ht="47.25" customHeight="1">
      <c r="A11" s="92" t="s">
        <v>135</v>
      </c>
      <c r="B11" s="90" t="s">
        <v>132</v>
      </c>
      <c r="D11" s="2"/>
    </row>
    <row r="12" spans="1:4">
      <c r="A12" s="93" t="s">
        <v>145</v>
      </c>
      <c r="B12" s="94" t="e">
        <f>'I.RANGE ANALYSIS'!K13</f>
        <v>#N/A</v>
      </c>
    </row>
    <row r="13" spans="1:4" ht="63.75" customHeight="1">
      <c r="A13" s="94"/>
      <c r="B13" s="95" t="e">
        <f>VLOOKUP(B12,A2:B11,2)</f>
        <v>#N/A</v>
      </c>
    </row>
    <row r="14" spans="1:4" s="1" customFormat="1">
      <c r="A14" s="96"/>
      <c r="B14" s="96"/>
    </row>
    <row r="15" spans="1:4">
      <c r="A15" s="88" t="s">
        <v>2</v>
      </c>
      <c r="B15" s="88"/>
    </row>
    <row r="16" spans="1:4" ht="62.4">
      <c r="A16" s="97" t="s">
        <v>155</v>
      </c>
      <c r="B16" s="90" t="s">
        <v>319</v>
      </c>
    </row>
    <row r="17" spans="1:2" ht="62.4">
      <c r="A17" s="97" t="s">
        <v>154</v>
      </c>
      <c r="B17" s="90" t="s">
        <v>320</v>
      </c>
    </row>
    <row r="18" spans="1:2" ht="62.4">
      <c r="A18" s="97" t="s">
        <v>153</v>
      </c>
      <c r="B18" s="90" t="s">
        <v>321</v>
      </c>
    </row>
    <row r="19" spans="1:2" ht="31.2">
      <c r="A19" s="98" t="s">
        <v>146</v>
      </c>
      <c r="B19" s="90" t="s">
        <v>7</v>
      </c>
    </row>
    <row r="20" spans="1:2" ht="31.2">
      <c r="A20" s="98" t="s">
        <v>152</v>
      </c>
      <c r="B20" s="90" t="s">
        <v>7</v>
      </c>
    </row>
    <row r="21" spans="1:2" ht="31.2">
      <c r="A21" s="99" t="s">
        <v>151</v>
      </c>
      <c r="B21" s="90" t="s">
        <v>7</v>
      </c>
    </row>
    <row r="22" spans="1:2" ht="31.2">
      <c r="A22" s="100" t="s">
        <v>150</v>
      </c>
      <c r="B22" s="90" t="s">
        <v>6</v>
      </c>
    </row>
    <row r="23" spans="1:2" ht="31.2">
      <c r="A23" s="101" t="s">
        <v>149</v>
      </c>
      <c r="B23" s="90" t="s">
        <v>6</v>
      </c>
    </row>
    <row r="24" spans="1:2" ht="62.4">
      <c r="A24" s="102" t="s">
        <v>148</v>
      </c>
      <c r="B24" s="90" t="s">
        <v>59</v>
      </c>
    </row>
    <row r="25" spans="1:2" ht="62.4">
      <c r="A25" s="92" t="s">
        <v>147</v>
      </c>
      <c r="B25" s="90" t="s">
        <v>59</v>
      </c>
    </row>
    <row r="26" spans="1:2">
      <c r="A26" s="103" t="s">
        <v>145</v>
      </c>
      <c r="B26" s="95" t="e">
        <f>'I.RANGE ANALYSIS'!K14</f>
        <v>#N/A</v>
      </c>
    </row>
    <row r="27" spans="1:2">
      <c r="A27" s="94"/>
      <c r="B27" s="95" t="e">
        <f>VLOOKUP(B26,A16:B25,2)</f>
        <v>#N/A</v>
      </c>
    </row>
    <row r="28" spans="1:2" s="1" customFormat="1">
      <c r="A28" s="96"/>
      <c r="B28" s="104"/>
    </row>
    <row r="29" spans="1:2">
      <c r="A29" s="88" t="s">
        <v>3</v>
      </c>
      <c r="B29" s="88"/>
    </row>
    <row r="30" spans="1:2" ht="46.8">
      <c r="A30" s="97" t="s">
        <v>156</v>
      </c>
      <c r="B30" s="90" t="s">
        <v>61</v>
      </c>
    </row>
    <row r="31" spans="1:2" ht="46.8">
      <c r="A31" s="97" t="s">
        <v>157</v>
      </c>
      <c r="B31" s="90" t="s">
        <v>61</v>
      </c>
    </row>
    <row r="32" spans="1:2" ht="46.8">
      <c r="A32" s="97" t="s">
        <v>158</v>
      </c>
      <c r="B32" s="90" t="s">
        <v>61</v>
      </c>
    </row>
    <row r="33" spans="1:2">
      <c r="A33" s="98" t="s">
        <v>159</v>
      </c>
      <c r="B33" s="90" t="s">
        <v>8</v>
      </c>
    </row>
    <row r="34" spans="1:2">
      <c r="A34" s="98" t="s">
        <v>160</v>
      </c>
      <c r="B34" s="90" t="s">
        <v>8</v>
      </c>
    </row>
    <row r="35" spans="1:2">
      <c r="A35" s="100" t="s">
        <v>161</v>
      </c>
      <c r="B35" s="90" t="s">
        <v>9</v>
      </c>
    </row>
    <row r="36" spans="1:2">
      <c r="A36" s="100" t="s">
        <v>162</v>
      </c>
      <c r="B36" s="90" t="s">
        <v>9</v>
      </c>
    </row>
    <row r="37" spans="1:2">
      <c r="A37" s="101" t="s">
        <v>163</v>
      </c>
      <c r="B37" s="90" t="s">
        <v>9</v>
      </c>
    </row>
    <row r="38" spans="1:2" ht="31.2">
      <c r="A38" s="102" t="s">
        <v>164</v>
      </c>
      <c r="B38" s="90" t="s">
        <v>60</v>
      </c>
    </row>
    <row r="39" spans="1:2" ht="31.2">
      <c r="A39" s="92" t="s">
        <v>165</v>
      </c>
      <c r="B39" s="90" t="s">
        <v>60</v>
      </c>
    </row>
    <row r="40" spans="1:2">
      <c r="A40" s="103" t="s">
        <v>145</v>
      </c>
      <c r="B40" s="95" t="e">
        <f>'I.RANGE ANALYSIS'!K15</f>
        <v>#N/A</v>
      </c>
    </row>
    <row r="41" spans="1:2" ht="44.25" customHeight="1">
      <c r="A41" s="103"/>
      <c r="B41" s="95" t="e">
        <f>VLOOKUP(B40,A30:B39,2)</f>
        <v>#N/A</v>
      </c>
    </row>
    <row r="42" spans="1:2">
      <c r="A42" s="88"/>
      <c r="B42" s="90"/>
    </row>
    <row r="43" spans="1:2">
      <c r="A43" s="88" t="s">
        <v>4</v>
      </c>
      <c r="B43" s="90"/>
    </row>
    <row r="44" spans="1:2" ht="46.8">
      <c r="A44" s="97" t="s">
        <v>166</v>
      </c>
      <c r="B44" s="90" t="s">
        <v>63</v>
      </c>
    </row>
    <row r="45" spans="1:2" ht="46.8">
      <c r="A45" s="97" t="s">
        <v>167</v>
      </c>
      <c r="B45" s="90" t="s">
        <v>63</v>
      </c>
    </row>
    <row r="46" spans="1:2" ht="46.8">
      <c r="A46" s="97" t="s">
        <v>168</v>
      </c>
      <c r="B46" s="90" t="s">
        <v>63</v>
      </c>
    </row>
    <row r="47" spans="1:2">
      <c r="A47" s="98" t="s">
        <v>169</v>
      </c>
      <c r="B47" s="90" t="s">
        <v>11</v>
      </c>
    </row>
    <row r="48" spans="1:2">
      <c r="A48" s="98" t="s">
        <v>170</v>
      </c>
      <c r="B48" s="90" t="s">
        <v>11</v>
      </c>
    </row>
    <row r="49" spans="1:2">
      <c r="A49" s="100" t="s">
        <v>171</v>
      </c>
      <c r="B49" s="90" t="s">
        <v>10</v>
      </c>
    </row>
    <row r="50" spans="1:2">
      <c r="A50" s="100" t="s">
        <v>172</v>
      </c>
      <c r="B50" s="90" t="s">
        <v>10</v>
      </c>
    </row>
    <row r="51" spans="1:2" ht="31.2">
      <c r="A51" s="92" t="s">
        <v>173</v>
      </c>
      <c r="B51" s="90" t="s">
        <v>62</v>
      </c>
    </row>
    <row r="52" spans="1:2" ht="31.2">
      <c r="A52" s="102" t="s">
        <v>174</v>
      </c>
      <c r="B52" s="90" t="s">
        <v>62</v>
      </c>
    </row>
    <row r="53" spans="1:2" ht="31.2">
      <c r="A53" s="92" t="s">
        <v>175</v>
      </c>
      <c r="B53" s="90" t="s">
        <v>62</v>
      </c>
    </row>
    <row r="54" spans="1:2">
      <c r="A54" s="94" t="s">
        <v>145</v>
      </c>
      <c r="B54" s="95" t="e">
        <f>'I.RANGE ANALYSIS'!K16</f>
        <v>#N/A</v>
      </c>
    </row>
    <row r="55" spans="1:2" ht="42.75" customHeight="1">
      <c r="A55" s="94"/>
      <c r="B55" s="95" t="e">
        <f>VLOOKUP(B54,A44:B53,2)</f>
        <v>#N/A</v>
      </c>
    </row>
    <row r="56" spans="1:2">
      <c r="A56" s="88"/>
      <c r="B56" s="90"/>
    </row>
    <row r="57" spans="1:2">
      <c r="A57" s="88" t="s">
        <v>5</v>
      </c>
      <c r="B57" s="90"/>
    </row>
    <row r="58" spans="1:2" ht="78">
      <c r="A58" s="97" t="s">
        <v>129</v>
      </c>
      <c r="B58" s="90" t="s">
        <v>65</v>
      </c>
    </row>
    <row r="59" spans="1:2" ht="78">
      <c r="A59" s="97" t="s">
        <v>176</v>
      </c>
      <c r="B59" s="90" t="s">
        <v>65</v>
      </c>
    </row>
    <row r="60" spans="1:2">
      <c r="A60" s="98" t="s">
        <v>177</v>
      </c>
      <c r="B60" s="90" t="s">
        <v>13</v>
      </c>
    </row>
    <row r="61" spans="1:2">
      <c r="A61" s="98" t="s">
        <v>178</v>
      </c>
      <c r="B61" s="90" t="s">
        <v>13</v>
      </c>
    </row>
    <row r="62" spans="1:2">
      <c r="A62" s="105" t="s">
        <v>179</v>
      </c>
      <c r="B62" s="90" t="s">
        <v>12</v>
      </c>
    </row>
    <row r="63" spans="1:2">
      <c r="A63" s="100" t="s">
        <v>180</v>
      </c>
      <c r="B63" s="90" t="s">
        <v>12</v>
      </c>
    </row>
    <row r="64" spans="1:2">
      <c r="A64" s="100" t="s">
        <v>181</v>
      </c>
      <c r="B64" s="90" t="s">
        <v>12</v>
      </c>
    </row>
    <row r="65" spans="1:2" ht="31.2">
      <c r="A65" s="92" t="s">
        <v>182</v>
      </c>
      <c r="B65" s="90" t="s">
        <v>64</v>
      </c>
    </row>
    <row r="66" spans="1:2" ht="31.2">
      <c r="A66" s="102" t="s">
        <v>183</v>
      </c>
      <c r="B66" s="90" t="s">
        <v>64</v>
      </c>
    </row>
    <row r="67" spans="1:2" ht="31.2">
      <c r="A67" s="92" t="s">
        <v>184</v>
      </c>
      <c r="B67" s="90" t="s">
        <v>64</v>
      </c>
    </row>
    <row r="68" spans="1:2">
      <c r="A68" s="94" t="s">
        <v>145</v>
      </c>
      <c r="B68" s="95" t="e">
        <f>'I.RANGE ANALYSIS'!K17</f>
        <v>#N/A</v>
      </c>
    </row>
    <row r="69" spans="1:2" ht="66" customHeight="1">
      <c r="A69" s="94"/>
      <c r="B69" s="95" t="e">
        <f>VLOOKUP(B68,A58:B67,2)</f>
        <v>#N/A</v>
      </c>
    </row>
    <row r="70" spans="1:2">
      <c r="A70" s="88"/>
      <c r="B70" s="90"/>
    </row>
    <row r="71" spans="1:2">
      <c r="A71" s="88" t="s">
        <v>14</v>
      </c>
      <c r="B71" s="90"/>
    </row>
    <row r="72" spans="1:2" ht="31.2">
      <c r="A72" s="97" t="s">
        <v>185</v>
      </c>
      <c r="B72" s="90" t="s">
        <v>70</v>
      </c>
    </row>
    <row r="73" spans="1:2" ht="31.2">
      <c r="A73" s="97" t="s">
        <v>186</v>
      </c>
      <c r="B73" s="90" t="s">
        <v>70</v>
      </c>
    </row>
    <row r="74" spans="1:2" ht="31.2">
      <c r="A74" s="97" t="s">
        <v>187</v>
      </c>
      <c r="B74" s="90" t="s">
        <v>70</v>
      </c>
    </row>
    <row r="75" spans="1:2" ht="31.2">
      <c r="A75" s="97" t="s">
        <v>188</v>
      </c>
      <c r="B75" s="90" t="s">
        <v>70</v>
      </c>
    </row>
    <row r="76" spans="1:2" ht="31.2">
      <c r="A76" s="98" t="s">
        <v>189</v>
      </c>
      <c r="B76" s="90" t="s">
        <v>67</v>
      </c>
    </row>
    <row r="77" spans="1:2" ht="31.2">
      <c r="A77" s="99" t="s">
        <v>190</v>
      </c>
      <c r="B77" s="90" t="s">
        <v>67</v>
      </c>
    </row>
    <row r="78" spans="1:2">
      <c r="A78" s="100" t="s">
        <v>191</v>
      </c>
      <c r="B78" s="90" t="s">
        <v>66</v>
      </c>
    </row>
    <row r="79" spans="1:2">
      <c r="A79" s="101" t="s">
        <v>192</v>
      </c>
      <c r="B79" s="90" t="s">
        <v>66</v>
      </c>
    </row>
    <row r="80" spans="1:2" ht="46.8">
      <c r="A80" s="102" t="s">
        <v>193</v>
      </c>
      <c r="B80" s="90" t="s">
        <v>69</v>
      </c>
    </row>
    <row r="81" spans="1:2" ht="46.8">
      <c r="A81" s="92" t="s">
        <v>194</v>
      </c>
      <c r="B81" s="90" t="s">
        <v>68</v>
      </c>
    </row>
    <row r="82" spans="1:2">
      <c r="A82" s="94" t="s">
        <v>145</v>
      </c>
      <c r="B82" s="95" t="e">
        <f>'I.RANGE ANALYSIS'!K18</f>
        <v>#N/A</v>
      </c>
    </row>
    <row r="83" spans="1:2" ht="32.25" customHeight="1">
      <c r="A83" s="94"/>
      <c r="B83" s="95" t="e">
        <f>VLOOKUP(B82,A72:B81,2)</f>
        <v>#N/A</v>
      </c>
    </row>
    <row r="84" spans="1:2">
      <c r="A84" s="88"/>
      <c r="B84" s="90"/>
    </row>
    <row r="85" spans="1:2">
      <c r="A85" s="88" t="s">
        <v>16</v>
      </c>
      <c r="B85" s="90"/>
    </row>
    <row r="86" spans="1:2" ht="46.8">
      <c r="A86" s="97" t="s">
        <v>199</v>
      </c>
      <c r="B86" s="90" t="s">
        <v>198</v>
      </c>
    </row>
    <row r="87" spans="1:2" ht="46.8">
      <c r="A87" s="97" t="s">
        <v>200</v>
      </c>
      <c r="B87" s="90" t="s">
        <v>197</v>
      </c>
    </row>
    <row r="88" spans="1:2" ht="46.8">
      <c r="A88" s="97" t="s">
        <v>201</v>
      </c>
      <c r="B88" s="90" t="s">
        <v>196</v>
      </c>
    </row>
    <row r="89" spans="1:2" ht="46.8">
      <c r="A89" s="97" t="s">
        <v>202</v>
      </c>
      <c r="B89" s="90" t="s">
        <v>195</v>
      </c>
    </row>
    <row r="90" spans="1:2">
      <c r="A90" s="98" t="s">
        <v>203</v>
      </c>
      <c r="B90" s="90" t="s">
        <v>15</v>
      </c>
    </row>
    <row r="91" spans="1:2">
      <c r="A91" s="99" t="s">
        <v>204</v>
      </c>
      <c r="B91" s="90" t="s">
        <v>15</v>
      </c>
    </row>
    <row r="92" spans="1:2">
      <c r="A92" s="99" t="s">
        <v>205</v>
      </c>
      <c r="B92" s="90" t="s">
        <v>15</v>
      </c>
    </row>
    <row r="93" spans="1:2" ht="31.2">
      <c r="A93" s="92" t="s">
        <v>206</v>
      </c>
      <c r="B93" s="90" t="s">
        <v>71</v>
      </c>
    </row>
    <row r="94" spans="1:2" ht="31.2">
      <c r="A94" s="102" t="s">
        <v>207</v>
      </c>
      <c r="B94" s="90" t="s">
        <v>71</v>
      </c>
    </row>
    <row r="95" spans="1:2" ht="31.2">
      <c r="A95" s="92" t="s">
        <v>208</v>
      </c>
      <c r="B95" s="90" t="s">
        <v>71</v>
      </c>
    </row>
    <row r="96" spans="1:2">
      <c r="A96" s="94" t="s">
        <v>145</v>
      </c>
      <c r="B96" s="95" t="e">
        <f>'I.RANGE ANALYSIS'!K19</f>
        <v>#N/A</v>
      </c>
    </row>
    <row r="97" spans="1:2" ht="31.5" customHeight="1">
      <c r="A97" s="94"/>
      <c r="B97" s="95" t="e">
        <f>VLOOKUP(B96,A86:B95,2)</f>
        <v>#N/A</v>
      </c>
    </row>
    <row r="98" spans="1:2">
      <c r="A98" s="88"/>
      <c r="B98" s="90"/>
    </row>
    <row r="99" spans="1:2">
      <c r="A99" s="88" t="s">
        <v>17</v>
      </c>
      <c r="B99" s="90"/>
    </row>
    <row r="100" spans="1:2" ht="31.2">
      <c r="A100" s="97" t="s">
        <v>209</v>
      </c>
      <c r="B100" s="90" t="s">
        <v>73</v>
      </c>
    </row>
    <row r="101" spans="1:2" ht="31.2">
      <c r="A101" s="97" t="s">
        <v>210</v>
      </c>
      <c r="B101" s="90" t="s">
        <v>73</v>
      </c>
    </row>
    <row r="102" spans="1:2" ht="31.2">
      <c r="A102" s="97" t="s">
        <v>211</v>
      </c>
      <c r="B102" s="90" t="s">
        <v>73</v>
      </c>
    </row>
    <row r="103" spans="1:2" ht="31.2">
      <c r="A103" s="98" t="s">
        <v>212</v>
      </c>
      <c r="B103" s="90" t="s">
        <v>18</v>
      </c>
    </row>
    <row r="104" spans="1:2" ht="31.2">
      <c r="A104" s="98" t="s">
        <v>213</v>
      </c>
      <c r="B104" s="90" t="s">
        <v>18</v>
      </c>
    </row>
    <row r="105" spans="1:2" ht="31.2">
      <c r="A105" s="99" t="s">
        <v>214</v>
      </c>
      <c r="B105" s="90" t="s">
        <v>18</v>
      </c>
    </row>
    <row r="106" spans="1:2" ht="31.2">
      <c r="A106" s="99" t="s">
        <v>215</v>
      </c>
      <c r="B106" s="90" t="s">
        <v>18</v>
      </c>
    </row>
    <row r="107" spans="1:2" ht="46.8">
      <c r="A107" s="92" t="s">
        <v>216</v>
      </c>
      <c r="B107" s="90" t="s">
        <v>72</v>
      </c>
    </row>
    <row r="108" spans="1:2" ht="46.8">
      <c r="A108" s="102" t="s">
        <v>217</v>
      </c>
      <c r="B108" s="90" t="s">
        <v>72</v>
      </c>
    </row>
    <row r="109" spans="1:2" ht="46.8">
      <c r="A109" s="92" t="s">
        <v>218</v>
      </c>
      <c r="B109" s="90" t="s">
        <v>72</v>
      </c>
    </row>
    <row r="110" spans="1:2">
      <c r="A110" s="94" t="s">
        <v>145</v>
      </c>
      <c r="B110" s="95" t="e">
        <f>'I.RANGE ANALYSIS'!K20</f>
        <v>#N/A</v>
      </c>
    </row>
    <row r="111" spans="1:2">
      <c r="A111" s="94"/>
      <c r="B111" s="95" t="e">
        <f>VLOOKUP(B110,A100:B109,2)</f>
        <v>#N/A</v>
      </c>
    </row>
    <row r="112" spans="1:2">
      <c r="A112" s="88"/>
      <c r="B112" s="90"/>
    </row>
    <row r="113" spans="1:2">
      <c r="A113" s="88" t="s">
        <v>22</v>
      </c>
      <c r="B113" s="90"/>
    </row>
    <row r="114" spans="1:2" ht="46.8">
      <c r="A114" s="97" t="s">
        <v>229</v>
      </c>
      <c r="B114" s="90" t="s">
        <v>77</v>
      </c>
    </row>
    <row r="115" spans="1:2" ht="46.8">
      <c r="A115" s="97" t="s">
        <v>230</v>
      </c>
      <c r="B115" s="90" t="s">
        <v>77</v>
      </c>
    </row>
    <row r="116" spans="1:2" ht="46.8">
      <c r="A116" s="97" t="s">
        <v>231</v>
      </c>
      <c r="B116" s="90" t="s">
        <v>77</v>
      </c>
    </row>
    <row r="117" spans="1:2" ht="46.8">
      <c r="A117" s="97" t="s">
        <v>232</v>
      </c>
      <c r="B117" s="90" t="s">
        <v>77</v>
      </c>
    </row>
    <row r="118" spans="1:2">
      <c r="A118" s="98" t="s">
        <v>233</v>
      </c>
      <c r="B118" s="90" t="s">
        <v>23</v>
      </c>
    </row>
    <row r="119" spans="1:2">
      <c r="A119" s="99" t="s">
        <v>234</v>
      </c>
      <c r="B119" s="90" t="s">
        <v>23</v>
      </c>
    </row>
    <row r="120" spans="1:2">
      <c r="A120" s="99" t="s">
        <v>235</v>
      </c>
      <c r="B120" s="90" t="s">
        <v>23</v>
      </c>
    </row>
    <row r="121" spans="1:2">
      <c r="A121" s="101" t="s">
        <v>236</v>
      </c>
      <c r="B121" s="90" t="s">
        <v>24</v>
      </c>
    </row>
    <row r="122" spans="1:2" ht="46.8">
      <c r="A122" s="102" t="s">
        <v>237</v>
      </c>
      <c r="B122" s="90" t="s">
        <v>76</v>
      </c>
    </row>
    <row r="123" spans="1:2" ht="46.8">
      <c r="A123" s="92" t="s">
        <v>238</v>
      </c>
      <c r="B123" s="90" t="s">
        <v>76</v>
      </c>
    </row>
    <row r="124" spans="1:2">
      <c r="A124" s="94" t="s">
        <v>145</v>
      </c>
      <c r="B124" s="95" t="e">
        <f>'I.RANGE ANALYSIS'!K23</f>
        <v>#N/A</v>
      </c>
    </row>
    <row r="125" spans="1:2">
      <c r="A125" s="94"/>
      <c r="B125" s="95" t="e">
        <f>VLOOKUP(B124,A114:B123,2)</f>
        <v>#N/A</v>
      </c>
    </row>
    <row r="126" spans="1:2">
      <c r="A126" s="88"/>
      <c r="B126" s="90"/>
    </row>
    <row r="127" spans="1:2">
      <c r="A127" s="88" t="s">
        <v>19</v>
      </c>
      <c r="B127" s="90"/>
    </row>
    <row r="128" spans="1:2" ht="62.4">
      <c r="A128" s="97" t="s">
        <v>219</v>
      </c>
      <c r="B128" s="90" t="s">
        <v>75</v>
      </c>
    </row>
    <row r="129" spans="1:2" ht="62.4">
      <c r="A129" s="97" t="s">
        <v>220</v>
      </c>
      <c r="B129" s="90" t="s">
        <v>75</v>
      </c>
    </row>
    <row r="130" spans="1:2" ht="62.4">
      <c r="A130" s="97" t="s">
        <v>221</v>
      </c>
      <c r="B130" s="90" t="s">
        <v>75</v>
      </c>
    </row>
    <row r="131" spans="1:2" ht="62.4">
      <c r="A131" s="97" t="s">
        <v>222</v>
      </c>
      <c r="B131" s="90" t="s">
        <v>75</v>
      </c>
    </row>
    <row r="132" spans="1:2">
      <c r="A132" s="98" t="s">
        <v>223</v>
      </c>
      <c r="B132" s="90" t="s">
        <v>21</v>
      </c>
    </row>
    <row r="133" spans="1:2">
      <c r="A133" s="99" t="s">
        <v>224</v>
      </c>
      <c r="B133" s="90" t="s">
        <v>21</v>
      </c>
    </row>
    <row r="134" spans="1:2">
      <c r="A134" s="100" t="s">
        <v>225</v>
      </c>
      <c r="B134" s="90" t="s">
        <v>20</v>
      </c>
    </row>
    <row r="135" spans="1:2">
      <c r="A135" s="101" t="s">
        <v>226</v>
      </c>
      <c r="B135" s="90" t="s">
        <v>20</v>
      </c>
    </row>
    <row r="136" spans="1:2" ht="46.8">
      <c r="A136" s="102" t="s">
        <v>227</v>
      </c>
      <c r="B136" s="90" t="s">
        <v>74</v>
      </c>
    </row>
    <row r="137" spans="1:2" ht="46.8">
      <c r="A137" s="92" t="s">
        <v>228</v>
      </c>
      <c r="B137" s="90" t="s">
        <v>74</v>
      </c>
    </row>
    <row r="138" spans="1:2">
      <c r="A138" s="94" t="s">
        <v>145</v>
      </c>
      <c r="B138" s="95" t="e">
        <f>'I.RANGE ANALYSIS'!K24</f>
        <v>#N/A</v>
      </c>
    </row>
    <row r="139" spans="1:2">
      <c r="A139" s="94"/>
      <c r="B139" s="95" t="e">
        <f>VLOOKUP(B138,A128:B137,2)</f>
        <v>#N/A</v>
      </c>
    </row>
    <row r="140" spans="1:2">
      <c r="A140" s="88"/>
      <c r="B140" s="90"/>
    </row>
    <row r="141" spans="1:2">
      <c r="A141" s="88" t="s">
        <v>25</v>
      </c>
      <c r="B141" s="88"/>
    </row>
    <row r="142" spans="1:2" ht="46.8">
      <c r="A142" s="97" t="s">
        <v>239</v>
      </c>
      <c r="B142" s="90" t="s">
        <v>79</v>
      </c>
    </row>
    <row r="143" spans="1:2" ht="46.8">
      <c r="A143" s="97" t="s">
        <v>240</v>
      </c>
      <c r="B143" s="90" t="s">
        <v>79</v>
      </c>
    </row>
    <row r="144" spans="1:2">
      <c r="A144" s="106" t="s">
        <v>241</v>
      </c>
      <c r="B144" s="90" t="s">
        <v>29</v>
      </c>
    </row>
    <row r="145" spans="1:2">
      <c r="A145" s="106" t="s">
        <v>242</v>
      </c>
      <c r="B145" s="90" t="s">
        <v>29</v>
      </c>
    </row>
    <row r="146" spans="1:2">
      <c r="A146" s="98" t="s">
        <v>243</v>
      </c>
      <c r="B146" s="90" t="s">
        <v>28</v>
      </c>
    </row>
    <row r="147" spans="1:2">
      <c r="A147" s="107" t="s">
        <v>244</v>
      </c>
      <c r="B147" s="90" t="s">
        <v>27</v>
      </c>
    </row>
    <row r="148" spans="1:2">
      <c r="A148" s="100" t="s">
        <v>245</v>
      </c>
      <c r="B148" s="90" t="s">
        <v>26</v>
      </c>
    </row>
    <row r="149" spans="1:2">
      <c r="A149" s="101" t="s">
        <v>246</v>
      </c>
      <c r="B149" s="90" t="s">
        <v>26</v>
      </c>
    </row>
    <row r="150" spans="1:2" ht="46.8">
      <c r="A150" s="102" t="s">
        <v>247</v>
      </c>
      <c r="B150" s="90" t="s">
        <v>78</v>
      </c>
    </row>
    <row r="151" spans="1:2" ht="46.8">
      <c r="A151" s="92" t="s">
        <v>248</v>
      </c>
      <c r="B151" s="90" t="s">
        <v>78</v>
      </c>
    </row>
    <row r="152" spans="1:2" s="1" customFormat="1">
      <c r="A152" s="103" t="s">
        <v>145</v>
      </c>
      <c r="B152" s="95" t="e">
        <f>'I.RANGE ANALYSIS'!K27</f>
        <v>#N/A</v>
      </c>
    </row>
    <row r="153" spans="1:2" s="1" customFormat="1">
      <c r="A153" s="103"/>
      <c r="B153" s="95" t="e">
        <f>VLOOKUP(B152,A142:B151,2)</f>
        <v>#N/A</v>
      </c>
    </row>
    <row r="154" spans="1:2">
      <c r="A154" s="88"/>
      <c r="B154" s="90"/>
    </row>
    <row r="155" spans="1:2">
      <c r="A155" s="88" t="s">
        <v>30</v>
      </c>
      <c r="B155" s="90"/>
    </row>
    <row r="156" spans="1:2" ht="31.2">
      <c r="A156" s="97" t="s">
        <v>130</v>
      </c>
      <c r="B156" s="90" t="s">
        <v>81</v>
      </c>
    </row>
    <row r="157" spans="1:2" ht="31.2">
      <c r="A157" s="97" t="s">
        <v>249</v>
      </c>
      <c r="B157" s="90" t="s">
        <v>81</v>
      </c>
    </row>
    <row r="158" spans="1:2" ht="46.8">
      <c r="A158" s="108" t="s">
        <v>250</v>
      </c>
      <c r="B158" s="90" t="s">
        <v>34</v>
      </c>
    </row>
    <row r="159" spans="1:2" ht="46.8">
      <c r="A159" s="108" t="s">
        <v>251</v>
      </c>
      <c r="B159" s="90" t="s">
        <v>34</v>
      </c>
    </row>
    <row r="160" spans="1:2" ht="31.2">
      <c r="A160" s="106" t="s">
        <v>252</v>
      </c>
      <c r="B160" s="90" t="s">
        <v>33</v>
      </c>
    </row>
    <row r="161" spans="1:2">
      <c r="A161" s="99" t="s">
        <v>253</v>
      </c>
      <c r="B161" s="90" t="s">
        <v>32</v>
      </c>
    </row>
    <row r="162" spans="1:2">
      <c r="A162" s="100" t="s">
        <v>254</v>
      </c>
      <c r="B162" s="90" t="s">
        <v>31</v>
      </c>
    </row>
    <row r="163" spans="1:2">
      <c r="A163" s="101" t="s">
        <v>255</v>
      </c>
      <c r="B163" s="90" t="s">
        <v>31</v>
      </c>
    </row>
    <row r="164" spans="1:2" ht="62.4">
      <c r="A164" s="102" t="s">
        <v>256</v>
      </c>
      <c r="B164" s="90" t="s">
        <v>80</v>
      </c>
    </row>
    <row r="165" spans="1:2" ht="62.4">
      <c r="A165" s="92" t="s">
        <v>257</v>
      </c>
      <c r="B165" s="90" t="s">
        <v>80</v>
      </c>
    </row>
    <row r="166" spans="1:2">
      <c r="A166" s="94" t="s">
        <v>145</v>
      </c>
      <c r="B166" s="95" t="e">
        <f>'I.RANGE ANALYSIS'!K28</f>
        <v>#N/A</v>
      </c>
    </row>
    <row r="167" spans="1:2">
      <c r="A167" s="94"/>
      <c r="B167" s="95" t="e">
        <f>VLOOKUP(B166,A156:B165,2)</f>
        <v>#N/A</v>
      </c>
    </row>
    <row r="168" spans="1:2">
      <c r="A168" s="88"/>
      <c r="B168" s="90"/>
    </row>
    <row r="169" spans="1:2">
      <c r="A169" s="88" t="s">
        <v>35</v>
      </c>
      <c r="B169" s="90"/>
    </row>
    <row r="170" spans="1:2" ht="46.8">
      <c r="A170" s="97" t="s">
        <v>258</v>
      </c>
      <c r="B170" s="90" t="s">
        <v>83</v>
      </c>
    </row>
    <row r="171" spans="1:2" ht="46.8">
      <c r="A171" s="97" t="s">
        <v>259</v>
      </c>
      <c r="B171" s="90" t="s">
        <v>83</v>
      </c>
    </row>
    <row r="172" spans="1:2">
      <c r="A172" s="109" t="s">
        <v>260</v>
      </c>
      <c r="B172" s="90" t="s">
        <v>38</v>
      </c>
    </row>
    <row r="173" spans="1:2">
      <c r="A173" s="109" t="s">
        <v>261</v>
      </c>
      <c r="B173" s="90" t="s">
        <v>38</v>
      </c>
    </row>
    <row r="174" spans="1:2">
      <c r="A174" s="98" t="s">
        <v>262</v>
      </c>
      <c r="B174" s="90" t="s">
        <v>37</v>
      </c>
    </row>
    <row r="175" spans="1:2">
      <c r="A175" s="99" t="s">
        <v>263</v>
      </c>
      <c r="B175" s="90" t="s">
        <v>37</v>
      </c>
    </row>
    <row r="176" spans="1:2" ht="31.2">
      <c r="A176" s="100" t="s">
        <v>264</v>
      </c>
      <c r="B176" s="90" t="s">
        <v>36</v>
      </c>
    </row>
    <row r="177" spans="1:2" ht="31.2">
      <c r="A177" s="101" t="s">
        <v>265</v>
      </c>
      <c r="B177" s="90" t="s">
        <v>36</v>
      </c>
    </row>
    <row r="178" spans="1:2" ht="62.4">
      <c r="A178" s="102" t="s">
        <v>266</v>
      </c>
      <c r="B178" s="90" t="s">
        <v>82</v>
      </c>
    </row>
    <row r="179" spans="1:2" ht="62.4">
      <c r="A179" s="92" t="s">
        <v>267</v>
      </c>
      <c r="B179" s="90" t="s">
        <v>82</v>
      </c>
    </row>
    <row r="180" spans="1:2">
      <c r="A180" s="103" t="s">
        <v>145</v>
      </c>
      <c r="B180" s="95" t="e">
        <f>'I.RANGE ANALYSIS'!K29</f>
        <v>#N/A</v>
      </c>
    </row>
    <row r="181" spans="1:2">
      <c r="A181" s="103"/>
      <c r="B181" s="95" t="e">
        <f>VLOOKUP(B180,A170:B179,2)</f>
        <v>#N/A</v>
      </c>
    </row>
    <row r="182" spans="1:2">
      <c r="A182" s="88"/>
      <c r="B182" s="90"/>
    </row>
    <row r="183" spans="1:2">
      <c r="A183" s="88" t="s">
        <v>39</v>
      </c>
      <c r="B183" s="90"/>
    </row>
    <row r="184" spans="1:2" ht="46.8">
      <c r="A184" s="97" t="s">
        <v>268</v>
      </c>
      <c r="B184" s="90" t="s">
        <v>85</v>
      </c>
    </row>
    <row r="185" spans="1:2" ht="46.8">
      <c r="A185" s="97" t="s">
        <v>269</v>
      </c>
      <c r="B185" s="90" t="s">
        <v>85</v>
      </c>
    </row>
    <row r="186" spans="1:2" ht="46.8">
      <c r="A186" s="97" t="s">
        <v>270</v>
      </c>
      <c r="B186" s="90" t="s">
        <v>85</v>
      </c>
    </row>
    <row r="187" spans="1:2">
      <c r="A187" s="98" t="s">
        <v>271</v>
      </c>
      <c r="B187" s="90" t="s">
        <v>40</v>
      </c>
    </row>
    <row r="188" spans="1:2">
      <c r="A188" s="98" t="s">
        <v>272</v>
      </c>
      <c r="B188" s="90" t="s">
        <v>40</v>
      </c>
    </row>
    <row r="189" spans="1:2" ht="46.8">
      <c r="A189" s="110" t="s">
        <v>273</v>
      </c>
      <c r="B189" s="90" t="s">
        <v>84</v>
      </c>
    </row>
    <row r="190" spans="1:2" ht="46.8">
      <c r="A190" s="110" t="s">
        <v>274</v>
      </c>
      <c r="B190" s="90" t="s">
        <v>84</v>
      </c>
    </row>
    <row r="191" spans="1:2" ht="46.8">
      <c r="A191" s="92" t="s">
        <v>275</v>
      </c>
      <c r="B191" s="90" t="s">
        <v>84</v>
      </c>
    </row>
    <row r="192" spans="1:2" ht="46.8">
      <c r="A192" s="102" t="s">
        <v>276</v>
      </c>
      <c r="B192" s="90" t="s">
        <v>84</v>
      </c>
    </row>
    <row r="193" spans="1:2" ht="46.8">
      <c r="A193" s="92" t="s">
        <v>277</v>
      </c>
      <c r="B193" s="90" t="s">
        <v>84</v>
      </c>
    </row>
    <row r="194" spans="1:2">
      <c r="A194" s="94" t="s">
        <v>145</v>
      </c>
      <c r="B194" s="95" t="e">
        <f>'I.RANGE ANALYSIS'!K32</f>
        <v>#N/A</v>
      </c>
    </row>
    <row r="195" spans="1:2">
      <c r="A195" s="94"/>
      <c r="B195" s="95" t="e">
        <f>VLOOKUP(B194,A184:B193,2)</f>
        <v>#N/A</v>
      </c>
    </row>
    <row r="196" spans="1:2">
      <c r="A196" s="88"/>
      <c r="B196" s="90"/>
    </row>
    <row r="197" spans="1:2">
      <c r="A197" s="88" t="s">
        <v>41</v>
      </c>
      <c r="B197" s="90"/>
    </row>
    <row r="198" spans="1:2" ht="31.2">
      <c r="A198" s="97" t="s">
        <v>278</v>
      </c>
      <c r="B198" s="90" t="s">
        <v>87</v>
      </c>
    </row>
    <row r="199" spans="1:2" ht="31.2">
      <c r="A199" s="97" t="s">
        <v>279</v>
      </c>
      <c r="B199" s="90" t="s">
        <v>87</v>
      </c>
    </row>
    <row r="200" spans="1:2" ht="31.2">
      <c r="A200" s="97" t="s">
        <v>280</v>
      </c>
      <c r="B200" s="90" t="s">
        <v>87</v>
      </c>
    </row>
    <row r="201" spans="1:2" ht="31.2">
      <c r="A201" s="98" t="s">
        <v>281</v>
      </c>
      <c r="B201" s="90" t="s">
        <v>42</v>
      </c>
    </row>
    <row r="202" spans="1:2" ht="31.2">
      <c r="A202" s="98" t="s">
        <v>282</v>
      </c>
      <c r="B202" s="90" t="s">
        <v>42</v>
      </c>
    </row>
    <row r="203" spans="1:2" ht="31.2">
      <c r="A203" s="99" t="s">
        <v>283</v>
      </c>
      <c r="B203" s="90" t="s">
        <v>42</v>
      </c>
    </row>
    <row r="204" spans="1:2" ht="62.4">
      <c r="A204" s="102" t="s">
        <v>284</v>
      </c>
      <c r="B204" s="90" t="s">
        <v>86</v>
      </c>
    </row>
    <row r="205" spans="1:2" ht="62.4">
      <c r="A205" s="92" t="s">
        <v>285</v>
      </c>
      <c r="B205" s="90" t="s">
        <v>86</v>
      </c>
    </row>
    <row r="206" spans="1:2" ht="62.4">
      <c r="A206" s="102" t="s">
        <v>286</v>
      </c>
      <c r="B206" s="90" t="s">
        <v>86</v>
      </c>
    </row>
    <row r="207" spans="1:2" ht="62.4">
      <c r="A207" s="92" t="s">
        <v>287</v>
      </c>
      <c r="B207" s="90" t="s">
        <v>86</v>
      </c>
    </row>
    <row r="208" spans="1:2">
      <c r="A208" s="94" t="s">
        <v>145</v>
      </c>
      <c r="B208" s="95" t="e">
        <f>'I.RANGE ANALYSIS'!K33</f>
        <v>#N/A</v>
      </c>
    </row>
    <row r="209" spans="1:2" ht="64.5" customHeight="1">
      <c r="A209" s="94"/>
      <c r="B209" s="95" t="e">
        <f>VLOOKUP(B208,A198:B207,2)</f>
        <v>#N/A</v>
      </c>
    </row>
    <row r="210" spans="1:2">
      <c r="A210" s="88"/>
      <c r="B210" s="90"/>
    </row>
    <row r="211" spans="1:2">
      <c r="A211" s="88" t="s">
        <v>43</v>
      </c>
      <c r="B211" s="90"/>
    </row>
    <row r="212" spans="1:2" ht="62.4">
      <c r="A212" s="97" t="s">
        <v>288</v>
      </c>
      <c r="B212" s="90" t="s">
        <v>89</v>
      </c>
    </row>
    <row r="213" spans="1:2" ht="62.4">
      <c r="A213" s="97" t="s">
        <v>289</v>
      </c>
      <c r="B213" s="90" t="s">
        <v>89</v>
      </c>
    </row>
    <row r="214" spans="1:2" ht="62.4">
      <c r="A214" s="97" t="s">
        <v>290</v>
      </c>
      <c r="B214" s="90" t="s">
        <v>89</v>
      </c>
    </row>
    <row r="215" spans="1:2">
      <c r="A215" s="98" t="s">
        <v>291</v>
      </c>
      <c r="B215" s="90" t="s">
        <v>44</v>
      </c>
    </row>
    <row r="216" spans="1:2">
      <c r="A216" s="98" t="s">
        <v>292</v>
      </c>
      <c r="B216" s="90" t="s">
        <v>44</v>
      </c>
    </row>
    <row r="217" spans="1:2">
      <c r="A217" s="99" t="s">
        <v>293</v>
      </c>
      <c r="B217" s="90" t="s">
        <v>44</v>
      </c>
    </row>
    <row r="218" spans="1:2" ht="62.4">
      <c r="A218" s="102" t="s">
        <v>294</v>
      </c>
      <c r="B218" s="90" t="s">
        <v>88</v>
      </c>
    </row>
    <row r="219" spans="1:2" ht="62.4">
      <c r="A219" s="92" t="s">
        <v>295</v>
      </c>
      <c r="B219" s="90" t="s">
        <v>88</v>
      </c>
    </row>
    <row r="220" spans="1:2" ht="62.4">
      <c r="A220" s="102" t="s">
        <v>296</v>
      </c>
      <c r="B220" s="90" t="s">
        <v>88</v>
      </c>
    </row>
    <row r="221" spans="1:2" ht="62.4">
      <c r="A221" s="92" t="s">
        <v>297</v>
      </c>
      <c r="B221" s="90" t="s">
        <v>88</v>
      </c>
    </row>
    <row r="222" spans="1:2">
      <c r="A222" s="94" t="s">
        <v>145</v>
      </c>
      <c r="B222" s="95" t="e">
        <f>'I.RANGE ANALYSIS'!K34</f>
        <v>#N/A</v>
      </c>
    </row>
    <row r="223" spans="1:2">
      <c r="A223" s="94"/>
      <c r="B223" s="95" t="e">
        <f>VLOOKUP(B222,A212:B221,2)</f>
        <v>#N/A</v>
      </c>
    </row>
    <row r="224" spans="1:2">
      <c r="A224" s="88"/>
      <c r="B224" s="90"/>
    </row>
    <row r="225" spans="1:2">
      <c r="A225" s="88" t="s">
        <v>45</v>
      </c>
      <c r="B225" s="90"/>
    </row>
    <row r="226" spans="1:2" ht="46.8">
      <c r="A226" s="97" t="s">
        <v>128</v>
      </c>
      <c r="B226" s="90" t="s">
        <v>90</v>
      </c>
    </row>
    <row r="227" spans="1:2" ht="46.8">
      <c r="A227" s="97" t="s">
        <v>301</v>
      </c>
      <c r="B227" s="90" t="s">
        <v>90</v>
      </c>
    </row>
    <row r="228" spans="1:2">
      <c r="A228" s="98" t="s">
        <v>302</v>
      </c>
      <c r="B228" s="90" t="s">
        <v>47</v>
      </c>
    </row>
    <row r="229" spans="1:2">
      <c r="A229" s="98" t="s">
        <v>303</v>
      </c>
      <c r="B229" s="90" t="s">
        <v>47</v>
      </c>
    </row>
    <row r="230" spans="1:2">
      <c r="A230" s="105" t="s">
        <v>304</v>
      </c>
      <c r="B230" s="90" t="s">
        <v>46</v>
      </c>
    </row>
    <row r="231" spans="1:2">
      <c r="A231" s="100" t="s">
        <v>305</v>
      </c>
      <c r="B231" s="90" t="s">
        <v>46</v>
      </c>
    </row>
    <row r="232" spans="1:2" ht="46.8">
      <c r="A232" s="102" t="s">
        <v>306</v>
      </c>
      <c r="B232" s="90" t="s">
        <v>300</v>
      </c>
    </row>
    <row r="233" spans="1:2" ht="46.8">
      <c r="A233" s="92" t="s">
        <v>307</v>
      </c>
      <c r="B233" s="90" t="s">
        <v>299</v>
      </c>
    </row>
    <row r="234" spans="1:2" ht="46.8">
      <c r="A234" s="102" t="s">
        <v>308</v>
      </c>
      <c r="B234" s="90" t="s">
        <v>298</v>
      </c>
    </row>
    <row r="235" spans="1:2" ht="46.8">
      <c r="A235" s="92" t="s">
        <v>309</v>
      </c>
      <c r="B235" s="90" t="s">
        <v>298</v>
      </c>
    </row>
    <row r="236" spans="1:2">
      <c r="A236" s="103" t="s">
        <v>145</v>
      </c>
      <c r="B236" s="95" t="e">
        <f>'I.RANGE ANALYSIS'!K35</f>
        <v>#N/A</v>
      </c>
    </row>
    <row r="237" spans="1:2">
      <c r="A237" s="103"/>
      <c r="B237" s="95" t="e">
        <f>VLOOKUP(B236,A226:B235,2)</f>
        <v>#N/A</v>
      </c>
    </row>
    <row r="238" spans="1:2">
      <c r="A238" s="88"/>
      <c r="B238" s="90"/>
    </row>
    <row r="239" spans="1:2">
      <c r="A239" s="88" t="s">
        <v>48</v>
      </c>
      <c r="B239" s="90"/>
    </row>
    <row r="240" spans="1:2" ht="46.8">
      <c r="A240" s="97" t="s">
        <v>131</v>
      </c>
      <c r="B240" s="90" t="s">
        <v>92</v>
      </c>
    </row>
    <row r="241" spans="1:2" ht="46.8">
      <c r="A241" s="97" t="s">
        <v>310</v>
      </c>
      <c r="B241" s="90" t="s">
        <v>92</v>
      </c>
    </row>
    <row r="242" spans="1:2">
      <c r="A242" s="98" t="s">
        <v>311</v>
      </c>
      <c r="B242" s="90" t="s">
        <v>50</v>
      </c>
    </row>
    <row r="243" spans="1:2">
      <c r="A243" s="98" t="s">
        <v>312</v>
      </c>
      <c r="B243" s="90" t="s">
        <v>50</v>
      </c>
    </row>
    <row r="244" spans="1:2">
      <c r="A244" s="105" t="s">
        <v>313</v>
      </c>
      <c r="B244" s="90" t="s">
        <v>49</v>
      </c>
    </row>
    <row r="245" spans="1:2">
      <c r="A245" s="100" t="s">
        <v>314</v>
      </c>
      <c r="B245" s="90" t="s">
        <v>49</v>
      </c>
    </row>
    <row r="246" spans="1:2">
      <c r="A246" s="100" t="s">
        <v>315</v>
      </c>
      <c r="B246" s="90" t="s">
        <v>49</v>
      </c>
    </row>
    <row r="247" spans="1:2" ht="46.8">
      <c r="A247" s="92" t="s">
        <v>316</v>
      </c>
      <c r="B247" s="90" t="s">
        <v>91</v>
      </c>
    </row>
    <row r="248" spans="1:2" ht="46.8">
      <c r="A248" s="102" t="s">
        <v>317</v>
      </c>
      <c r="B248" s="90" t="s">
        <v>91</v>
      </c>
    </row>
    <row r="249" spans="1:2" ht="46.8">
      <c r="A249" s="92" t="s">
        <v>318</v>
      </c>
      <c r="B249" s="90" t="s">
        <v>91</v>
      </c>
    </row>
    <row r="250" spans="1:2">
      <c r="A250" s="94" t="s">
        <v>145</v>
      </c>
      <c r="B250" s="95" t="e">
        <f>'I.RANGE ANALYSIS'!K38</f>
        <v>#N/A</v>
      </c>
    </row>
    <row r="251" spans="1:2">
      <c r="A251" s="94"/>
      <c r="B251" s="95" t="e">
        <f>VLOOKUP(B250,A240:B249,2)</f>
        <v>#N/A</v>
      </c>
    </row>
    <row r="252" spans="1:2">
      <c r="A252" s="88"/>
      <c r="B252" s="90"/>
    </row>
    <row r="253" spans="1:2">
      <c r="A253" s="88" t="s">
        <v>51</v>
      </c>
      <c r="B253" s="90"/>
    </row>
    <row r="254" spans="1:2" ht="46.8">
      <c r="A254" s="97" t="s">
        <v>324</v>
      </c>
      <c r="B254" s="90" t="s">
        <v>322</v>
      </c>
    </row>
    <row r="255" spans="1:2" ht="46.8">
      <c r="A255" s="97" t="s">
        <v>325</v>
      </c>
      <c r="B255" s="90" t="s">
        <v>323</v>
      </c>
    </row>
    <row r="256" spans="1:2" ht="31.2">
      <c r="A256" s="106" t="s">
        <v>326</v>
      </c>
      <c r="B256" s="90" t="s">
        <v>54</v>
      </c>
    </row>
    <row r="257" spans="1:2" ht="31.2">
      <c r="A257" s="106" t="s">
        <v>327</v>
      </c>
      <c r="B257" s="90" t="s">
        <v>54</v>
      </c>
    </row>
    <row r="258" spans="1:2" ht="31.2">
      <c r="A258" s="98" t="s">
        <v>328</v>
      </c>
      <c r="B258" s="90" t="s">
        <v>53</v>
      </c>
    </row>
    <row r="259" spans="1:2" ht="31.2">
      <c r="A259" s="99" t="s">
        <v>329</v>
      </c>
      <c r="B259" s="90" t="s">
        <v>53</v>
      </c>
    </row>
    <row r="260" spans="1:2">
      <c r="A260" s="100" t="s">
        <v>330</v>
      </c>
      <c r="B260" s="90" t="s">
        <v>52</v>
      </c>
    </row>
    <row r="261" spans="1:2">
      <c r="A261" s="101" t="s">
        <v>331</v>
      </c>
      <c r="B261" s="90" t="s">
        <v>52</v>
      </c>
    </row>
    <row r="262" spans="1:2" ht="46.8">
      <c r="A262" s="102" t="s">
        <v>332</v>
      </c>
      <c r="B262" s="90" t="s">
        <v>93</v>
      </c>
    </row>
    <row r="263" spans="1:2" ht="46.8">
      <c r="A263" s="92" t="s">
        <v>333</v>
      </c>
      <c r="B263" s="90" t="s">
        <v>93</v>
      </c>
    </row>
    <row r="264" spans="1:2">
      <c r="A264" s="94" t="s">
        <v>145</v>
      </c>
      <c r="B264" s="95" t="e">
        <f>'I.RANGE ANALYSIS'!K39</f>
        <v>#N/A</v>
      </c>
    </row>
    <row r="265" spans="1:2">
      <c r="A265" s="94"/>
      <c r="B265" s="95" t="e">
        <f>VLOOKUP(B264,A254:B263,2)</f>
        <v>#N/A</v>
      </c>
    </row>
    <row r="266" spans="1:2">
      <c r="A266" s="88"/>
      <c r="B266" s="90"/>
    </row>
    <row r="267" spans="1:2">
      <c r="A267" s="88" t="s">
        <v>55</v>
      </c>
      <c r="B267" s="90"/>
    </row>
    <row r="268" spans="1:2" ht="62.4">
      <c r="A268" s="97" t="s">
        <v>334</v>
      </c>
      <c r="B268" s="90" t="s">
        <v>95</v>
      </c>
    </row>
    <row r="269" spans="1:2" ht="62.4">
      <c r="A269" s="97" t="s">
        <v>335</v>
      </c>
      <c r="B269" s="90" t="s">
        <v>95</v>
      </c>
    </row>
    <row r="270" spans="1:2" ht="31.2">
      <c r="A270" s="106" t="s">
        <v>336</v>
      </c>
      <c r="B270" s="90" t="s">
        <v>58</v>
      </c>
    </row>
    <row r="271" spans="1:2" ht="31.2">
      <c r="A271" s="106" t="s">
        <v>337</v>
      </c>
      <c r="B271" s="90" t="s">
        <v>58</v>
      </c>
    </row>
    <row r="272" spans="1:2">
      <c r="A272" s="98" t="s">
        <v>338</v>
      </c>
      <c r="B272" s="90" t="s">
        <v>57</v>
      </c>
    </row>
    <row r="273" spans="1:2">
      <c r="A273" s="99" t="s">
        <v>339</v>
      </c>
      <c r="B273" s="90" t="s">
        <v>57</v>
      </c>
    </row>
    <row r="274" spans="1:2">
      <c r="A274" s="100" t="s">
        <v>340</v>
      </c>
      <c r="B274" s="90" t="s">
        <v>56</v>
      </c>
    </row>
    <row r="275" spans="1:2">
      <c r="A275" s="101" t="s">
        <v>341</v>
      </c>
      <c r="B275" s="90" t="s">
        <v>56</v>
      </c>
    </row>
    <row r="276" spans="1:2" ht="62.4">
      <c r="A276" s="102" t="s">
        <v>342</v>
      </c>
      <c r="B276" s="90" t="s">
        <v>94</v>
      </c>
    </row>
    <row r="277" spans="1:2" ht="46.5" customHeight="1">
      <c r="A277" s="92" t="s">
        <v>343</v>
      </c>
      <c r="B277" s="90" t="s">
        <v>94</v>
      </c>
    </row>
    <row r="278" spans="1:2">
      <c r="A278" s="94" t="s">
        <v>145</v>
      </c>
      <c r="B278" s="94" t="e">
        <f>'I.RANGE ANALYSIS'!K40</f>
        <v>#N/A</v>
      </c>
    </row>
    <row r="279" spans="1:2">
      <c r="A279" s="94"/>
      <c r="B279" s="95" t="e">
        <f>VLOOKUP(B278,A268:B277,2)</f>
        <v>#N/A</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G10" sqref="F10:G10"/>
    </sheetView>
  </sheetViews>
  <sheetFormatPr defaultRowHeight="14.4"/>
  <sheetData>
    <row r="1" spans="1:11" ht="15" thickBot="1"/>
    <row r="2" spans="1:11">
      <c r="A2" s="158"/>
      <c r="B2" s="158"/>
      <c r="C2" s="339"/>
      <c r="D2" s="340"/>
      <c r="E2" s="340"/>
      <c r="F2" s="340"/>
      <c r="G2" s="340"/>
      <c r="H2" s="340"/>
      <c r="I2" s="340"/>
      <c r="J2" s="340"/>
      <c r="K2" s="341"/>
    </row>
  </sheetData>
  <mergeCells count="1">
    <mergeCell ref="C2: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186"/>
  <sheetViews>
    <sheetView workbookViewId="0">
      <selection activeCell="B29" sqref="B29"/>
    </sheetView>
  </sheetViews>
  <sheetFormatPr defaultRowHeight="14.4"/>
  <cols>
    <col min="2" max="2" width="51.44140625" customWidth="1"/>
    <col min="3" max="3" width="10.6640625" customWidth="1"/>
    <col min="4" max="4" width="5.6640625" customWidth="1"/>
  </cols>
  <sheetData>
    <row r="4" spans="1:3">
      <c r="A4" s="219" t="s">
        <v>725</v>
      </c>
    </row>
    <row r="5" spans="1:3">
      <c r="A5" s="220"/>
    </row>
    <row r="6" spans="1:3">
      <c r="A6" s="220" t="s">
        <v>726</v>
      </c>
    </row>
    <row r="7" spans="1:3">
      <c r="A7" s="220" t="s">
        <v>727</v>
      </c>
    </row>
    <row r="8" spans="1:3">
      <c r="A8" s="220"/>
    </row>
    <row r="9" spans="1:3">
      <c r="A9" s="220" t="s">
        <v>728</v>
      </c>
    </row>
    <row r="10" spans="1:3">
      <c r="A10" s="220" t="s">
        <v>729</v>
      </c>
    </row>
    <row r="11" spans="1:3">
      <c r="A11" s="220"/>
    </row>
    <row r="12" spans="1:3" ht="30.6">
      <c r="A12" s="221"/>
      <c r="B12" s="222" t="s">
        <v>730</v>
      </c>
      <c r="C12" s="223" t="s">
        <v>731</v>
      </c>
    </row>
    <row r="13" spans="1:3">
      <c r="A13" s="224" t="s">
        <v>732</v>
      </c>
      <c r="B13" s="221" t="s">
        <v>733</v>
      </c>
      <c r="C13" s="155">
        <v>1</v>
      </c>
    </row>
    <row r="14" spans="1:3">
      <c r="A14" s="224" t="s">
        <v>734</v>
      </c>
      <c r="B14" s="221" t="s">
        <v>735</v>
      </c>
      <c r="C14" s="155"/>
    </row>
    <row r="15" spans="1:3">
      <c r="A15" s="220"/>
    </row>
    <row r="16" spans="1:3">
      <c r="A16" s="220"/>
    </row>
    <row r="17" spans="1:3">
      <c r="A17" s="220" t="s">
        <v>736</v>
      </c>
    </row>
    <row r="18" spans="1:3">
      <c r="A18" s="220"/>
    </row>
    <row r="19" spans="1:3" ht="30.6">
      <c r="A19" s="221"/>
      <c r="B19" s="222" t="s">
        <v>730</v>
      </c>
      <c r="C19" s="223" t="s">
        <v>731</v>
      </c>
    </row>
    <row r="20" spans="1:3">
      <c r="A20" s="224" t="s">
        <v>732</v>
      </c>
      <c r="B20" s="221" t="s">
        <v>733</v>
      </c>
      <c r="C20" s="155"/>
    </row>
    <row r="21" spans="1:3">
      <c r="A21" s="224" t="s">
        <v>734</v>
      </c>
      <c r="B21" s="221" t="s">
        <v>735</v>
      </c>
      <c r="C21" s="155">
        <v>1</v>
      </c>
    </row>
    <row r="22" spans="1:3">
      <c r="A22" s="220"/>
    </row>
    <row r="23" spans="1:3">
      <c r="A23" s="220"/>
    </row>
    <row r="24" spans="1:3">
      <c r="A24" s="220" t="s">
        <v>737</v>
      </c>
    </row>
    <row r="25" spans="1:3">
      <c r="A25" s="220"/>
    </row>
    <row r="26" spans="1:3">
      <c r="A26" s="219" t="s">
        <v>738</v>
      </c>
    </row>
    <row r="27" spans="1:3">
      <c r="A27" s="219" t="s">
        <v>739</v>
      </c>
    </row>
    <row r="28" spans="1:3">
      <c r="A28" s="219" t="s">
        <v>740</v>
      </c>
    </row>
    <row r="29" spans="1:3">
      <c r="B29" s="225"/>
    </row>
    <row r="30" spans="1:3">
      <c r="A30" s="219" t="s">
        <v>741</v>
      </c>
      <c r="B30" s="225"/>
    </row>
    <row r="31" spans="1:3">
      <c r="A31" s="219" t="s">
        <v>742</v>
      </c>
      <c r="B31" s="225"/>
    </row>
    <row r="32" spans="1:3">
      <c r="B32" s="225"/>
    </row>
    <row r="33" spans="2:2">
      <c r="B33" s="225"/>
    </row>
    <row r="34" spans="2:2">
      <c r="B34" s="225"/>
    </row>
    <row r="35" spans="2:2">
      <c r="B35" s="225"/>
    </row>
    <row r="36" spans="2:2">
      <c r="B36" s="225"/>
    </row>
    <row r="37" spans="2:2">
      <c r="B37" s="225"/>
    </row>
    <row r="38" spans="2:2">
      <c r="B38" s="225"/>
    </row>
    <row r="39" spans="2:2">
      <c r="B39" s="225"/>
    </row>
    <row r="40" spans="2:2">
      <c r="B40" s="225"/>
    </row>
    <row r="41" spans="2:2">
      <c r="B41" s="225"/>
    </row>
    <row r="42" spans="2:2">
      <c r="B42" s="225"/>
    </row>
    <row r="43" spans="2:2">
      <c r="B43" s="225"/>
    </row>
    <row r="44" spans="2:2">
      <c r="B44" s="225"/>
    </row>
    <row r="45" spans="2:2">
      <c r="B45" s="225"/>
    </row>
    <row r="46" spans="2:2">
      <c r="B46" s="225"/>
    </row>
    <row r="47" spans="2:2">
      <c r="B47" s="225"/>
    </row>
    <row r="48" spans="2:2">
      <c r="B48" s="225"/>
    </row>
    <row r="49" spans="2:2">
      <c r="B49" s="225"/>
    </row>
    <row r="50" spans="2:2">
      <c r="B50" s="225"/>
    </row>
    <row r="51" spans="2:2">
      <c r="B51" s="225"/>
    </row>
    <row r="52" spans="2:2">
      <c r="B52" s="225"/>
    </row>
    <row r="53" spans="2:2">
      <c r="B53" s="225"/>
    </row>
    <row r="54" spans="2:2">
      <c r="B54" s="225"/>
    </row>
    <row r="55" spans="2:2">
      <c r="B55" s="225"/>
    </row>
    <row r="56" spans="2:2">
      <c r="B56" s="225"/>
    </row>
    <row r="57" spans="2:2">
      <c r="B57" s="225"/>
    </row>
    <row r="58" spans="2:2">
      <c r="B58" s="225"/>
    </row>
    <row r="59" spans="2:2">
      <c r="B59" s="225"/>
    </row>
    <row r="60" spans="2:2">
      <c r="B60" s="225"/>
    </row>
    <row r="61" spans="2:2">
      <c r="B61" s="225"/>
    </row>
    <row r="62" spans="2:2">
      <c r="B62" s="225"/>
    </row>
    <row r="63" spans="2:2">
      <c r="B63" s="225"/>
    </row>
    <row r="64" spans="2:2">
      <c r="B64" s="225"/>
    </row>
    <row r="65" spans="2:2">
      <c r="B65" s="225"/>
    </row>
    <row r="66" spans="2:2">
      <c r="B66" s="225"/>
    </row>
    <row r="67" spans="2:2">
      <c r="B67" s="225"/>
    </row>
    <row r="68" spans="2:2">
      <c r="B68" s="225"/>
    </row>
    <row r="69" spans="2:2">
      <c r="B69" s="225"/>
    </row>
    <row r="70" spans="2:2">
      <c r="B70" s="225"/>
    </row>
    <row r="71" spans="2:2">
      <c r="B71" s="225"/>
    </row>
    <row r="72" spans="2:2">
      <c r="B72" s="225"/>
    </row>
    <row r="73" spans="2:2">
      <c r="B73" s="225"/>
    </row>
    <row r="74" spans="2:2">
      <c r="B74" s="225"/>
    </row>
    <row r="75" spans="2:2">
      <c r="B75" s="225"/>
    </row>
    <row r="76" spans="2:2">
      <c r="B76" s="225"/>
    </row>
    <row r="77" spans="2:2">
      <c r="B77" s="225"/>
    </row>
    <row r="78" spans="2:2">
      <c r="B78" s="225"/>
    </row>
    <row r="79" spans="2:2">
      <c r="B79" s="225"/>
    </row>
    <row r="80" spans="2:2">
      <c r="B80" s="225"/>
    </row>
    <row r="81" spans="2:2">
      <c r="B81" s="225"/>
    </row>
    <row r="82" spans="2:2">
      <c r="B82" s="225"/>
    </row>
    <row r="83" spans="2:2">
      <c r="B83" s="225"/>
    </row>
    <row r="84" spans="2:2">
      <c r="B84" s="225"/>
    </row>
    <row r="85" spans="2:2">
      <c r="B85" s="225"/>
    </row>
    <row r="86" spans="2:2">
      <c r="B86" s="225"/>
    </row>
    <row r="87" spans="2:2">
      <c r="B87" s="225"/>
    </row>
    <row r="88" spans="2:2">
      <c r="B88" s="225"/>
    </row>
    <row r="89" spans="2:2">
      <c r="B89" s="225"/>
    </row>
    <row r="90" spans="2:2">
      <c r="B90" s="225"/>
    </row>
    <row r="91" spans="2:2">
      <c r="B91" s="225"/>
    </row>
    <row r="92" spans="2:2">
      <c r="B92" s="225"/>
    </row>
    <row r="93" spans="2:2">
      <c r="B93" s="225"/>
    </row>
    <row r="94" spans="2:2">
      <c r="B94" s="225"/>
    </row>
    <row r="95" spans="2:2">
      <c r="B95" s="225"/>
    </row>
    <row r="96" spans="2:2">
      <c r="B96" s="225"/>
    </row>
    <row r="97" spans="2:2">
      <c r="B97" s="225"/>
    </row>
    <row r="98" spans="2:2">
      <c r="B98" s="225"/>
    </row>
    <row r="99" spans="2:2">
      <c r="B99" s="225"/>
    </row>
    <row r="100" spans="2:2">
      <c r="B100" s="225"/>
    </row>
    <row r="101" spans="2:2">
      <c r="B101" s="225"/>
    </row>
    <row r="102" spans="2:2">
      <c r="B102" s="225"/>
    </row>
    <row r="103" spans="2:2">
      <c r="B103" s="225"/>
    </row>
    <row r="104" spans="2:2">
      <c r="B104" s="225"/>
    </row>
    <row r="105" spans="2:2">
      <c r="B105" s="225"/>
    </row>
    <row r="106" spans="2:2">
      <c r="B106" s="225"/>
    </row>
    <row r="107" spans="2:2">
      <c r="B107" s="225"/>
    </row>
    <row r="108" spans="2:2">
      <c r="B108" s="225"/>
    </row>
    <row r="109" spans="2:2">
      <c r="B109" s="225"/>
    </row>
    <row r="110" spans="2:2">
      <c r="B110" s="225"/>
    </row>
    <row r="111" spans="2:2">
      <c r="B111" s="225"/>
    </row>
    <row r="112" spans="2:2">
      <c r="B112" s="225"/>
    </row>
    <row r="113" spans="2:2">
      <c r="B113" s="225"/>
    </row>
    <row r="114" spans="2:2">
      <c r="B114" s="225"/>
    </row>
    <row r="115" spans="2:2">
      <c r="B115" s="225"/>
    </row>
    <row r="116" spans="2:2">
      <c r="B116" s="225"/>
    </row>
    <row r="117" spans="2:2">
      <c r="B117" s="225"/>
    </row>
    <row r="118" spans="2:2">
      <c r="B118" s="225"/>
    </row>
    <row r="119" spans="2:2">
      <c r="B119" s="225"/>
    </row>
    <row r="120" spans="2:2">
      <c r="B120" s="225"/>
    </row>
    <row r="121" spans="2:2">
      <c r="B121" s="225"/>
    </row>
    <row r="122" spans="2:2">
      <c r="B122" s="225"/>
    </row>
    <row r="123" spans="2:2">
      <c r="B123" s="225"/>
    </row>
    <row r="124" spans="2:2">
      <c r="B124" s="225"/>
    </row>
    <row r="125" spans="2:2">
      <c r="B125" s="225"/>
    </row>
    <row r="126" spans="2:2">
      <c r="B126" s="225"/>
    </row>
    <row r="127" spans="2:2">
      <c r="B127" s="225"/>
    </row>
    <row r="128" spans="2:2">
      <c r="B128" s="225"/>
    </row>
    <row r="129" spans="2:2">
      <c r="B129" s="225"/>
    </row>
    <row r="130" spans="2:2">
      <c r="B130" s="225"/>
    </row>
    <row r="131" spans="2:2">
      <c r="B131" s="225"/>
    </row>
    <row r="132" spans="2:2">
      <c r="B132" s="225"/>
    </row>
    <row r="133" spans="2:2">
      <c r="B133" s="225"/>
    </row>
    <row r="134" spans="2:2">
      <c r="B134" s="225"/>
    </row>
    <row r="135" spans="2:2">
      <c r="B135" s="225"/>
    </row>
    <row r="136" spans="2:2">
      <c r="B136" s="225"/>
    </row>
    <row r="137" spans="2:2">
      <c r="B137" s="225"/>
    </row>
    <row r="138" spans="2:2">
      <c r="B138" s="225"/>
    </row>
    <row r="139" spans="2:2">
      <c r="B139" s="225"/>
    </row>
    <row r="140" spans="2:2">
      <c r="B140" s="225"/>
    </row>
    <row r="141" spans="2:2">
      <c r="B141" s="225"/>
    </row>
    <row r="142" spans="2:2">
      <c r="B142" s="225"/>
    </row>
    <row r="143" spans="2:2">
      <c r="B143" s="225"/>
    </row>
    <row r="144" spans="2:2">
      <c r="B144" s="225"/>
    </row>
    <row r="145" spans="2:2">
      <c r="B145" s="225"/>
    </row>
    <row r="146" spans="2:2">
      <c r="B146" s="225"/>
    </row>
    <row r="147" spans="2:2">
      <c r="B147" s="225"/>
    </row>
    <row r="148" spans="2:2">
      <c r="B148" s="225"/>
    </row>
    <row r="149" spans="2:2">
      <c r="B149" s="225"/>
    </row>
    <row r="150" spans="2:2">
      <c r="B150" s="225"/>
    </row>
    <row r="151" spans="2:2">
      <c r="B151" s="225"/>
    </row>
    <row r="152" spans="2:2">
      <c r="B152" s="225"/>
    </row>
    <row r="153" spans="2:2">
      <c r="B153" s="225"/>
    </row>
    <row r="154" spans="2:2">
      <c r="B154" s="225"/>
    </row>
    <row r="155" spans="2:2">
      <c r="B155" s="225"/>
    </row>
    <row r="156" spans="2:2">
      <c r="B156" s="225"/>
    </row>
    <row r="157" spans="2:2">
      <c r="B157" s="225"/>
    </row>
    <row r="158" spans="2:2">
      <c r="B158" s="225"/>
    </row>
    <row r="159" spans="2:2">
      <c r="B159" s="225"/>
    </row>
    <row r="160" spans="2:2">
      <c r="B160" s="225"/>
    </row>
    <row r="161" spans="2:2">
      <c r="B161" s="225"/>
    </row>
    <row r="162" spans="2:2">
      <c r="B162" s="225"/>
    </row>
    <row r="163" spans="2:2">
      <c r="B163" s="225"/>
    </row>
    <row r="164" spans="2:2">
      <c r="B164" s="225"/>
    </row>
    <row r="165" spans="2:2">
      <c r="B165" s="225"/>
    </row>
    <row r="166" spans="2:2">
      <c r="B166" s="225"/>
    </row>
    <row r="167" spans="2:2">
      <c r="B167" s="225"/>
    </row>
    <row r="168" spans="2:2">
      <c r="B168" s="225"/>
    </row>
    <row r="169" spans="2:2">
      <c r="B169" s="225"/>
    </row>
    <row r="170" spans="2:2">
      <c r="B170" s="225"/>
    </row>
    <row r="171" spans="2:2">
      <c r="B171" s="225"/>
    </row>
    <row r="172" spans="2:2">
      <c r="B172" s="225"/>
    </row>
    <row r="173" spans="2:2">
      <c r="B173" s="225"/>
    </row>
    <row r="174" spans="2:2">
      <c r="B174" s="225"/>
    </row>
    <row r="175" spans="2:2">
      <c r="B175" s="225"/>
    </row>
    <row r="176" spans="2:2">
      <c r="B176" s="225"/>
    </row>
    <row r="177" spans="2:2">
      <c r="B177" s="225"/>
    </row>
    <row r="178" spans="2:2">
      <c r="B178" s="225"/>
    </row>
    <row r="179" spans="2:2">
      <c r="B179" s="225"/>
    </row>
    <row r="180" spans="2:2">
      <c r="B180" s="225"/>
    </row>
    <row r="181" spans="2:2">
      <c r="B181" s="225"/>
    </row>
    <row r="182" spans="2:2">
      <c r="B182" s="225"/>
    </row>
    <row r="183" spans="2:2">
      <c r="B183" s="225"/>
    </row>
    <row r="184" spans="2:2">
      <c r="B184" s="225"/>
    </row>
    <row r="185" spans="2:2">
      <c r="B185" s="225"/>
    </row>
    <row r="186" spans="2:2">
      <c r="B186" s="2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6"/>
  <sheetViews>
    <sheetView topLeftCell="A210" workbookViewId="0">
      <selection activeCell="F237" sqref="F237"/>
    </sheetView>
  </sheetViews>
  <sheetFormatPr defaultRowHeight="14.4"/>
  <cols>
    <col min="1" max="2" width="4.33203125" style="285" customWidth="1"/>
    <col min="3" max="3" width="77.33203125" customWidth="1"/>
    <col min="4" max="4" width="12.109375" customWidth="1"/>
  </cols>
  <sheetData>
    <row r="1" spans="1:4">
      <c r="A1" s="283" t="s">
        <v>743</v>
      </c>
      <c r="B1" s="284"/>
      <c r="C1" s="226"/>
    </row>
    <row r="2" spans="1:4" ht="37.200000000000003" customHeight="1" thickBot="1">
      <c r="A2" s="284"/>
      <c r="B2" s="284"/>
      <c r="C2" s="227" t="s">
        <v>730</v>
      </c>
      <c r="D2" s="223" t="s">
        <v>731</v>
      </c>
    </row>
    <row r="3" spans="1:4" ht="15" thickBot="1">
      <c r="A3" s="282" t="s">
        <v>924</v>
      </c>
      <c r="B3" s="282" t="s">
        <v>744</v>
      </c>
      <c r="C3" s="228" t="s">
        <v>745</v>
      </c>
      <c r="D3" s="229" t="e">
        <f>IF(VLOOKUP(A3,'1. NAMA PESERTA'!$D$4:$E93,2,0)=B3,1,IF(VLOOKUP(A3,'1. NAMA PESERTA'!$D$4:$E93,2,0)=B3,0)*0)</f>
        <v>#N/A</v>
      </c>
    </row>
    <row r="4" spans="1:4">
      <c r="A4" s="288" t="s">
        <v>924</v>
      </c>
      <c r="B4" s="286" t="s">
        <v>746</v>
      </c>
      <c r="C4" s="228" t="s">
        <v>747</v>
      </c>
      <c r="D4" s="229" t="e">
        <f>IF(VLOOKUP(A4,'1. NAMA PESERTA'!$D$4:$E94,2,0)=B4,1,IF(VLOOKUP(A4,'1. NAMA PESERTA'!$D$4:$E94,2,0)=B4,0)*0)</f>
        <v>#N/A</v>
      </c>
    </row>
    <row r="5" spans="1:4" ht="15" thickBot="1">
      <c r="A5" s="282"/>
      <c r="B5" s="282"/>
      <c r="C5" s="226"/>
      <c r="D5" s="226"/>
    </row>
    <row r="6" spans="1:4" ht="15" thickBot="1">
      <c r="A6" s="282" t="s">
        <v>925</v>
      </c>
      <c r="B6" s="282" t="s">
        <v>744</v>
      </c>
      <c r="C6" s="228" t="s">
        <v>748</v>
      </c>
      <c r="D6" s="229" t="e">
        <f>IF(VLOOKUP(A6,'1. NAMA PESERTA'!$D$4:$E96,2,0)=B6,1,IF(VLOOKUP(A6,'1. NAMA PESERTA'!$D$4:$E96,2,0)=B6,0)*0)</f>
        <v>#N/A</v>
      </c>
    </row>
    <row r="7" spans="1:4">
      <c r="A7" s="288" t="s">
        <v>925</v>
      </c>
      <c r="B7" s="286" t="s">
        <v>746</v>
      </c>
      <c r="C7" s="228" t="s">
        <v>749</v>
      </c>
      <c r="D7" s="229" t="e">
        <f>IF(VLOOKUP(A7,'1. NAMA PESERTA'!$D$4:$E97,2,0)=B7,1,IF(VLOOKUP(A7,'1. NAMA PESERTA'!$D$4:$E97,2,0)=B7,0)*0)</f>
        <v>#N/A</v>
      </c>
    </row>
    <row r="8" spans="1:4" ht="15" thickBot="1">
      <c r="A8" s="282"/>
      <c r="B8" s="282"/>
      <c r="C8" s="226"/>
      <c r="D8" s="226"/>
    </row>
    <row r="9" spans="1:4" ht="15" thickBot="1">
      <c r="A9" s="282" t="s">
        <v>926</v>
      </c>
      <c r="B9" s="282" t="s">
        <v>744</v>
      </c>
      <c r="C9" s="228" t="s">
        <v>750</v>
      </c>
      <c r="D9" s="229" t="e">
        <f>IF(VLOOKUP(A9,'1. NAMA PESERTA'!$D$4:$E99,2,0)=B9,1,IF(VLOOKUP(A9,'1. NAMA PESERTA'!$D$4:$E99,2,0)=B9,0)*0)</f>
        <v>#N/A</v>
      </c>
    </row>
    <row r="10" spans="1:4">
      <c r="A10" s="288" t="s">
        <v>926</v>
      </c>
      <c r="B10" s="286" t="s">
        <v>746</v>
      </c>
      <c r="C10" s="228" t="s">
        <v>751</v>
      </c>
      <c r="D10" s="229" t="e">
        <f>IF(VLOOKUP(A10,'1. NAMA PESERTA'!$D$4:$E100,2,0)=B10,1,IF(VLOOKUP(A10,'1. NAMA PESERTA'!$D$4:$E100,2,0)=B10,0)*0)</f>
        <v>#N/A</v>
      </c>
    </row>
    <row r="11" spans="1:4" ht="15" thickBot="1">
      <c r="A11" s="282"/>
      <c r="B11" s="282"/>
      <c r="C11" s="226"/>
      <c r="D11" s="226"/>
    </row>
    <row r="12" spans="1:4" ht="15" thickBot="1">
      <c r="A12" s="282" t="s">
        <v>927</v>
      </c>
      <c r="B12" s="282" t="s">
        <v>744</v>
      </c>
      <c r="C12" s="228" t="s">
        <v>752</v>
      </c>
      <c r="D12" s="229" t="e">
        <f>IF(VLOOKUP(A12,'1. NAMA PESERTA'!$D$4:$E102,2,0)=B12,1,IF(VLOOKUP(A12,'1. NAMA PESERTA'!$D$4:$E102,2,0)=B12,0)*0)</f>
        <v>#N/A</v>
      </c>
    </row>
    <row r="13" spans="1:4">
      <c r="A13" s="288" t="s">
        <v>927</v>
      </c>
      <c r="B13" s="286" t="s">
        <v>746</v>
      </c>
      <c r="C13" s="228" t="s">
        <v>753</v>
      </c>
      <c r="D13" s="229" t="e">
        <f>IF(VLOOKUP(A13,'1. NAMA PESERTA'!$D$4:$E103,2,0)=B13,1,IF(VLOOKUP(A13,'1. NAMA PESERTA'!$D$4:$E103,2,0)=B13,0)*0)</f>
        <v>#N/A</v>
      </c>
    </row>
    <row r="14" spans="1:4" ht="15" thickBot="1">
      <c r="A14" s="282"/>
      <c r="B14" s="282"/>
      <c r="C14" s="226"/>
      <c r="D14" s="226"/>
    </row>
    <row r="15" spans="1:4" ht="15" thickBot="1">
      <c r="A15" s="282" t="s">
        <v>928</v>
      </c>
      <c r="B15" s="282" t="s">
        <v>744</v>
      </c>
      <c r="C15" s="228" t="s">
        <v>754</v>
      </c>
      <c r="D15" s="229" t="e">
        <f>IF(VLOOKUP(A15,'1. NAMA PESERTA'!$D$4:$E105,2,0)=B15,1,IF(VLOOKUP(A15,'1. NAMA PESERTA'!$D$4:$E105,2,0)=B15,0)*0)</f>
        <v>#N/A</v>
      </c>
    </row>
    <row r="16" spans="1:4">
      <c r="A16" s="288" t="s">
        <v>928</v>
      </c>
      <c r="B16" s="286" t="s">
        <v>746</v>
      </c>
      <c r="C16" s="228" t="s">
        <v>755</v>
      </c>
      <c r="D16" s="229" t="e">
        <f>IF(VLOOKUP(A16,'1. NAMA PESERTA'!$D$4:$E106,2,0)=B16,1,IF(VLOOKUP(A16,'1. NAMA PESERTA'!$D$4:$E106,2,0)=B16,0)*0)</f>
        <v>#N/A</v>
      </c>
    </row>
    <row r="17" spans="1:4" ht="15" thickBot="1">
      <c r="A17" s="282"/>
      <c r="B17" s="282"/>
      <c r="C17" s="226"/>
      <c r="D17" s="226"/>
    </row>
    <row r="18" spans="1:4" ht="15" thickBot="1">
      <c r="A18" s="282" t="s">
        <v>929</v>
      </c>
      <c r="B18" s="282" t="s">
        <v>744</v>
      </c>
      <c r="C18" s="228" t="s">
        <v>756</v>
      </c>
      <c r="D18" s="229" t="e">
        <f>IF(VLOOKUP(A18,'1. NAMA PESERTA'!$D$4:$E108,2,0)=B18,1,IF(VLOOKUP(A18,'1. NAMA PESERTA'!$D$4:$E108,2,0)=B18,0)*0)</f>
        <v>#N/A</v>
      </c>
    </row>
    <row r="19" spans="1:4">
      <c r="A19" s="288" t="s">
        <v>929</v>
      </c>
      <c r="B19" s="286" t="s">
        <v>746</v>
      </c>
      <c r="C19" s="228" t="s">
        <v>757</v>
      </c>
      <c r="D19" s="229" t="e">
        <f>IF(VLOOKUP(A19,'1. NAMA PESERTA'!$D$4:$E109,2,0)=B19,1,IF(VLOOKUP(A19,'1. NAMA PESERTA'!$D$4:$E109,2,0)=B19,0)*0)</f>
        <v>#N/A</v>
      </c>
    </row>
    <row r="20" spans="1:4" ht="15" thickBot="1">
      <c r="A20" s="282"/>
      <c r="B20" s="282"/>
      <c r="C20" s="226"/>
      <c r="D20" s="226"/>
    </row>
    <row r="21" spans="1:4" ht="15" thickBot="1">
      <c r="A21" s="282" t="s">
        <v>930</v>
      </c>
      <c r="B21" s="282" t="s">
        <v>744</v>
      </c>
      <c r="C21" s="228" t="s">
        <v>758</v>
      </c>
      <c r="D21" s="229" t="e">
        <f>IF(VLOOKUP(A21,'1. NAMA PESERTA'!$D$4:$E111,2,0)=B21,1,IF(VLOOKUP(A21,'1. NAMA PESERTA'!$D$4:$E111,2,0)=B21,0)*0)</f>
        <v>#N/A</v>
      </c>
    </row>
    <row r="22" spans="1:4">
      <c r="A22" s="288" t="s">
        <v>930</v>
      </c>
      <c r="B22" s="286" t="s">
        <v>746</v>
      </c>
      <c r="C22" s="228" t="s">
        <v>759</v>
      </c>
      <c r="D22" s="229" t="e">
        <f>IF(VLOOKUP(A22,'1. NAMA PESERTA'!$D$4:$E112,2,0)=B22,1,IF(VLOOKUP(A22,'1. NAMA PESERTA'!$D$4:$E112,2,0)=B22,0)*0)</f>
        <v>#N/A</v>
      </c>
    </row>
    <row r="23" spans="1:4" ht="15" thickBot="1">
      <c r="A23" s="282"/>
      <c r="B23" s="282"/>
      <c r="C23" s="226"/>
      <c r="D23" s="226"/>
    </row>
    <row r="24" spans="1:4" ht="15" thickBot="1">
      <c r="A24" s="282" t="s">
        <v>931</v>
      </c>
      <c r="B24" s="282" t="s">
        <v>744</v>
      </c>
      <c r="C24" s="228" t="s">
        <v>760</v>
      </c>
      <c r="D24" s="229" t="e">
        <f>IF(VLOOKUP(A24,'1. NAMA PESERTA'!$D$4:$E114,2,0)=B24,1,IF(VLOOKUP(A24,'1. NAMA PESERTA'!$D$4:$E114,2,0)=B24,0)*0)</f>
        <v>#N/A</v>
      </c>
    </row>
    <row r="25" spans="1:4">
      <c r="A25" s="288" t="s">
        <v>931</v>
      </c>
      <c r="B25" s="286" t="s">
        <v>746</v>
      </c>
      <c r="C25" s="228" t="s">
        <v>761</v>
      </c>
      <c r="D25" s="229" t="e">
        <f>IF(VLOOKUP(A25,'1. NAMA PESERTA'!$D$4:$E115,2,0)=B25,1,IF(VLOOKUP(A25,'1. NAMA PESERTA'!$D$4:$E115,2,0)=B25,0)*0)</f>
        <v>#N/A</v>
      </c>
    </row>
    <row r="26" spans="1:4" ht="15" thickBot="1">
      <c r="A26" s="282"/>
      <c r="B26" s="282"/>
      <c r="C26" s="226"/>
      <c r="D26" s="226"/>
    </row>
    <row r="27" spans="1:4" ht="15" thickBot="1">
      <c r="A27" s="282" t="s">
        <v>932</v>
      </c>
      <c r="B27" s="282" t="s">
        <v>744</v>
      </c>
      <c r="C27" s="228" t="s">
        <v>762</v>
      </c>
      <c r="D27" s="229" t="e">
        <f>IF(VLOOKUP(A27,'1. NAMA PESERTA'!$D$4:$E117,2,0)=B27,1,IF(VLOOKUP(A27,'1. NAMA PESERTA'!$D$4:$E117,2,0)=B27,0)*0)</f>
        <v>#N/A</v>
      </c>
    </row>
    <row r="28" spans="1:4">
      <c r="A28" s="288" t="s">
        <v>932</v>
      </c>
      <c r="B28" s="286" t="s">
        <v>746</v>
      </c>
      <c r="C28" s="228" t="s">
        <v>763</v>
      </c>
      <c r="D28" s="229" t="e">
        <f>IF(VLOOKUP(A28,'1. NAMA PESERTA'!$D$4:$E118,2,0)=B28,1,IF(VLOOKUP(A28,'1. NAMA PESERTA'!$D$4:$E118,2,0)=B28,0)*0)</f>
        <v>#N/A</v>
      </c>
    </row>
    <row r="29" spans="1:4" ht="15" thickBot="1">
      <c r="A29" s="282"/>
      <c r="B29" s="282"/>
      <c r="C29" s="226"/>
      <c r="D29" s="226"/>
    </row>
    <row r="30" spans="1:4" ht="15" thickBot="1">
      <c r="A30" s="282" t="s">
        <v>933</v>
      </c>
      <c r="B30" s="282" t="s">
        <v>744</v>
      </c>
      <c r="C30" s="228" t="s">
        <v>764</v>
      </c>
      <c r="D30" s="229" t="e">
        <f>IF(VLOOKUP(A30,'1. NAMA PESERTA'!$D$4:$E120,2,0)=B30,1,IF(VLOOKUP(A30,'1. NAMA PESERTA'!$D$4:$E120,2,0)=B30,0)*0)</f>
        <v>#N/A</v>
      </c>
    </row>
    <row r="31" spans="1:4">
      <c r="A31" s="288" t="s">
        <v>933</v>
      </c>
      <c r="B31" s="286" t="s">
        <v>746</v>
      </c>
      <c r="C31" s="228" t="s">
        <v>765</v>
      </c>
      <c r="D31" s="229" t="e">
        <f>IF(VLOOKUP(A31,'1. NAMA PESERTA'!$D$4:$E121,2,0)=B31,1,IF(VLOOKUP(A31,'1. NAMA PESERTA'!$D$4:$E121,2,0)=B31,0)*0)</f>
        <v>#N/A</v>
      </c>
    </row>
    <row r="32" spans="1:4" ht="15" thickBot="1">
      <c r="A32" s="282"/>
      <c r="B32" s="282"/>
      <c r="C32" s="226"/>
      <c r="D32" s="226"/>
    </row>
    <row r="33" spans="1:4" ht="15" thickBot="1">
      <c r="A33" s="282" t="s">
        <v>934</v>
      </c>
      <c r="B33" s="282" t="s">
        <v>744</v>
      </c>
      <c r="C33" s="228" t="s">
        <v>766</v>
      </c>
      <c r="D33" s="229" t="e">
        <f>IF(VLOOKUP(A33,'1. NAMA PESERTA'!$D$4:$E123,2,0)=B33,1,IF(VLOOKUP(A33,'1. NAMA PESERTA'!$D$4:$E123,2,0)=B33,0)*0)</f>
        <v>#N/A</v>
      </c>
    </row>
    <row r="34" spans="1:4">
      <c r="A34" s="288" t="s">
        <v>934</v>
      </c>
      <c r="B34" s="286" t="s">
        <v>746</v>
      </c>
      <c r="C34" s="228" t="s">
        <v>767</v>
      </c>
      <c r="D34" s="229" t="e">
        <f>IF(VLOOKUP(A34,'1. NAMA PESERTA'!$D$4:$E124,2,0)=B34,1,IF(VLOOKUP(A34,'1. NAMA PESERTA'!$D$4:$E124,2,0)=B34,0)*0)</f>
        <v>#N/A</v>
      </c>
    </row>
    <row r="35" spans="1:4" ht="15" thickBot="1">
      <c r="A35" s="282"/>
      <c r="B35" s="282"/>
      <c r="C35" s="226"/>
      <c r="D35" s="226"/>
    </row>
    <row r="36" spans="1:4" ht="15" thickBot="1">
      <c r="A36" s="282" t="s">
        <v>935</v>
      </c>
      <c r="B36" s="282" t="s">
        <v>744</v>
      </c>
      <c r="C36" s="228" t="s">
        <v>768</v>
      </c>
      <c r="D36" s="229" t="e">
        <f>IF(VLOOKUP(A36,'1. NAMA PESERTA'!$D$4:$E126,2,0)=B36,1,IF(VLOOKUP(A36,'1. NAMA PESERTA'!$D$4:$E126,2,0)=B36,0)*0)</f>
        <v>#N/A</v>
      </c>
    </row>
    <row r="37" spans="1:4">
      <c r="A37" s="288" t="s">
        <v>935</v>
      </c>
      <c r="B37" s="286" t="s">
        <v>746</v>
      </c>
      <c r="C37" s="228" t="s">
        <v>769</v>
      </c>
      <c r="D37" s="229" t="e">
        <f>IF(VLOOKUP(A37,'1. NAMA PESERTA'!$D$4:$E127,2,0)=B37,1,IF(VLOOKUP(A37,'1. NAMA PESERTA'!$D$4:$E127,2,0)=B37,0)*0)</f>
        <v>#N/A</v>
      </c>
    </row>
    <row r="38" spans="1:4" ht="15" thickBot="1">
      <c r="A38" s="282"/>
      <c r="B38" s="282"/>
      <c r="C38" s="226"/>
      <c r="D38" s="226"/>
    </row>
    <row r="39" spans="1:4" ht="15" thickBot="1">
      <c r="A39" s="282" t="s">
        <v>936</v>
      </c>
      <c r="B39" s="282" t="s">
        <v>744</v>
      </c>
      <c r="C39" s="228" t="s">
        <v>770</v>
      </c>
      <c r="D39" s="229" t="e">
        <f>IF(VLOOKUP(A39,'1. NAMA PESERTA'!$D$4:$E129,2,0)=B39,1,IF(VLOOKUP(A39,'1. NAMA PESERTA'!$D$4:$E129,2,0)=B39,0)*0)</f>
        <v>#N/A</v>
      </c>
    </row>
    <row r="40" spans="1:4">
      <c r="A40" s="288" t="s">
        <v>936</v>
      </c>
      <c r="B40" s="286" t="s">
        <v>746</v>
      </c>
      <c r="C40" s="228" t="s">
        <v>771</v>
      </c>
      <c r="D40" s="229" t="e">
        <f>IF(VLOOKUP(A40,'1. NAMA PESERTA'!$D$4:$E130,2,0)=B40,1,IF(VLOOKUP(A40,'1. NAMA PESERTA'!$D$4:$E130,2,0)=B40,0)*0)</f>
        <v>#N/A</v>
      </c>
    </row>
    <row r="41" spans="1:4" ht="15" thickBot="1">
      <c r="A41" s="282"/>
      <c r="B41" s="282"/>
      <c r="C41" s="226"/>
      <c r="D41" s="226"/>
    </row>
    <row r="42" spans="1:4" ht="15" thickBot="1">
      <c r="A42" s="282" t="s">
        <v>937</v>
      </c>
      <c r="B42" s="282" t="s">
        <v>744</v>
      </c>
      <c r="C42" s="228" t="s">
        <v>772</v>
      </c>
      <c r="D42" s="229" t="e">
        <f>IF(VLOOKUP(A42,'1. NAMA PESERTA'!$D$4:$E132,2,0)=B42,1,IF(VLOOKUP(A42,'1. NAMA PESERTA'!$D$4:$E132,2,0)=B42,0)*0)</f>
        <v>#N/A</v>
      </c>
    </row>
    <row r="43" spans="1:4">
      <c r="A43" s="288" t="s">
        <v>937</v>
      </c>
      <c r="B43" s="286" t="s">
        <v>746</v>
      </c>
      <c r="C43" s="228" t="s">
        <v>773</v>
      </c>
      <c r="D43" s="229" t="e">
        <f>IF(VLOOKUP(A43,'1. NAMA PESERTA'!$D$4:$E133,2,0)=B43,1,IF(VLOOKUP(A43,'1. NAMA PESERTA'!$D$4:$E133,2,0)=B43,0)*0)</f>
        <v>#N/A</v>
      </c>
    </row>
    <row r="44" spans="1:4" ht="15" thickBot="1">
      <c r="A44" s="282"/>
      <c r="B44" s="282"/>
      <c r="C44" s="226"/>
      <c r="D44" s="226"/>
    </row>
    <row r="45" spans="1:4" ht="15" thickBot="1">
      <c r="A45" s="282" t="s">
        <v>938</v>
      </c>
      <c r="B45" s="282" t="s">
        <v>744</v>
      </c>
      <c r="C45" s="228" t="s">
        <v>774</v>
      </c>
      <c r="D45" s="229" t="e">
        <f>IF(VLOOKUP(A45,'1. NAMA PESERTA'!$D$4:$E135,2,0)=B45,1,IF(VLOOKUP(A45,'1. NAMA PESERTA'!$D$4:$E135,2,0)=B45,0)*0)</f>
        <v>#N/A</v>
      </c>
    </row>
    <row r="46" spans="1:4">
      <c r="A46" s="288" t="s">
        <v>938</v>
      </c>
      <c r="B46" s="286" t="s">
        <v>746</v>
      </c>
      <c r="C46" s="228" t="s">
        <v>775</v>
      </c>
      <c r="D46" s="229" t="e">
        <f>IF(VLOOKUP(A46,'1. NAMA PESERTA'!$D$4:$E136,2,0)=B46,1,IF(VLOOKUP(A46,'1. NAMA PESERTA'!$D$4:$E136,2,0)=B46,0)*0)</f>
        <v>#N/A</v>
      </c>
    </row>
    <row r="47" spans="1:4" ht="15" thickBot="1">
      <c r="A47" s="282"/>
      <c r="B47" s="282"/>
      <c r="C47" s="226"/>
      <c r="D47" s="226"/>
    </row>
    <row r="48" spans="1:4" ht="15" thickBot="1">
      <c r="A48" s="282" t="s">
        <v>939</v>
      </c>
      <c r="B48" s="282" t="s">
        <v>744</v>
      </c>
      <c r="C48" s="228" t="s">
        <v>776</v>
      </c>
      <c r="D48" s="229" t="e">
        <f>IF(VLOOKUP(A48,'1. NAMA PESERTA'!$D$4:$E138,2,0)=B48,1,IF(VLOOKUP(A48,'1. NAMA PESERTA'!$D$4:$E138,2,0)=B48,0)*0)</f>
        <v>#N/A</v>
      </c>
    </row>
    <row r="49" spans="1:4">
      <c r="A49" s="288" t="s">
        <v>939</v>
      </c>
      <c r="B49" s="286" t="s">
        <v>746</v>
      </c>
      <c r="C49" s="228" t="s">
        <v>777</v>
      </c>
      <c r="D49" s="229" t="e">
        <f>IF(VLOOKUP(A49,'1. NAMA PESERTA'!$D$4:$E139,2,0)=B49,1,IF(VLOOKUP(A49,'1. NAMA PESERTA'!$D$4:$E139,2,0)=B49,0)*0)</f>
        <v>#N/A</v>
      </c>
    </row>
    <row r="50" spans="1:4" ht="15" thickBot="1">
      <c r="A50" s="282"/>
      <c r="B50" s="282"/>
      <c r="C50" s="226"/>
      <c r="D50" s="226"/>
    </row>
    <row r="51" spans="1:4" ht="15" thickBot="1">
      <c r="A51" s="282" t="s">
        <v>940</v>
      </c>
      <c r="B51" s="282" t="s">
        <v>744</v>
      </c>
      <c r="C51" s="228" t="s">
        <v>778</v>
      </c>
      <c r="D51" s="229" t="e">
        <f>IF(VLOOKUP(A51,'1. NAMA PESERTA'!$D$4:$E141,2,0)=B51,1,IF(VLOOKUP(A51,'1. NAMA PESERTA'!$D$4:$E141,2,0)=B51,0)*0)</f>
        <v>#N/A</v>
      </c>
    </row>
    <row r="52" spans="1:4">
      <c r="A52" s="288" t="s">
        <v>940</v>
      </c>
      <c r="B52" s="286" t="s">
        <v>746</v>
      </c>
      <c r="C52" s="228" t="s">
        <v>779</v>
      </c>
      <c r="D52" s="229" t="e">
        <f>IF(VLOOKUP(A52,'1. NAMA PESERTA'!$D$4:$E142,2,0)=B52,1,IF(VLOOKUP(A52,'1. NAMA PESERTA'!$D$4:$E142,2,0)=B52,0)*0)</f>
        <v>#N/A</v>
      </c>
    </row>
    <row r="53" spans="1:4" ht="15" thickBot="1">
      <c r="A53" s="282"/>
      <c r="B53" s="282"/>
      <c r="C53" s="226"/>
      <c r="D53" s="226"/>
    </row>
    <row r="54" spans="1:4" ht="15" thickBot="1">
      <c r="A54" s="282" t="s">
        <v>941</v>
      </c>
      <c r="B54" s="282" t="s">
        <v>744</v>
      </c>
      <c r="C54" s="228" t="s">
        <v>780</v>
      </c>
      <c r="D54" s="229" t="e">
        <f>IF(VLOOKUP(A54,'1. NAMA PESERTA'!$D$4:$E144,2,0)=B54,1,IF(VLOOKUP(A54,'1. NAMA PESERTA'!$D$4:$E144,2,0)=B54,0)*0)</f>
        <v>#N/A</v>
      </c>
    </row>
    <row r="55" spans="1:4">
      <c r="A55" s="288" t="s">
        <v>941</v>
      </c>
      <c r="B55" s="286" t="s">
        <v>746</v>
      </c>
      <c r="C55" s="228" t="s">
        <v>781</v>
      </c>
      <c r="D55" s="229" t="e">
        <f>IF(VLOOKUP(A55,'1. NAMA PESERTA'!$D$4:$E145,2,0)=B55,1,IF(VLOOKUP(A55,'1. NAMA PESERTA'!$D$4:$E145,2,0)=B55,0)*0)</f>
        <v>#N/A</v>
      </c>
    </row>
    <row r="56" spans="1:4" ht="15" thickBot="1">
      <c r="A56" s="282"/>
      <c r="B56" s="282"/>
      <c r="C56" s="226"/>
      <c r="D56" s="226"/>
    </row>
    <row r="57" spans="1:4" ht="15" thickBot="1">
      <c r="A57" s="282" t="s">
        <v>942</v>
      </c>
      <c r="B57" s="282" t="s">
        <v>744</v>
      </c>
      <c r="C57" s="228" t="s">
        <v>782</v>
      </c>
      <c r="D57" s="229" t="e">
        <f>IF(VLOOKUP(A57,'1. NAMA PESERTA'!$D$4:$E147,2,0)=B57,1,IF(VLOOKUP(A57,'1. NAMA PESERTA'!$D$4:$E147,2,0)=B57,0)*0)</f>
        <v>#N/A</v>
      </c>
    </row>
    <row r="58" spans="1:4">
      <c r="A58" s="288" t="s">
        <v>942</v>
      </c>
      <c r="B58" s="286" t="s">
        <v>746</v>
      </c>
      <c r="C58" s="228" t="s">
        <v>783</v>
      </c>
      <c r="D58" s="229" t="e">
        <f>IF(VLOOKUP(A58,'1. NAMA PESERTA'!$D$4:$E148,2,0)=B58,1,IF(VLOOKUP(A58,'1. NAMA PESERTA'!$D$4:$E148,2,0)=B58,0)*0)</f>
        <v>#N/A</v>
      </c>
    </row>
    <row r="59" spans="1:4" ht="15" thickBot="1">
      <c r="A59" s="282"/>
      <c r="B59" s="282"/>
      <c r="C59" s="226"/>
      <c r="D59" s="226"/>
    </row>
    <row r="60" spans="1:4" ht="15" thickBot="1">
      <c r="A60" s="282" t="s">
        <v>943</v>
      </c>
      <c r="B60" s="282" t="s">
        <v>744</v>
      </c>
      <c r="C60" s="228" t="s">
        <v>784</v>
      </c>
      <c r="D60" s="229" t="e">
        <f>IF(VLOOKUP(A60,'1. NAMA PESERTA'!$D$4:$E150,2,0)=B60,1,IF(VLOOKUP(A60,'1. NAMA PESERTA'!$D$4:$E150,2,0)=B60,0)*0)</f>
        <v>#N/A</v>
      </c>
    </row>
    <row r="61" spans="1:4">
      <c r="A61" s="288" t="s">
        <v>943</v>
      </c>
      <c r="B61" s="286" t="s">
        <v>746</v>
      </c>
      <c r="C61" s="228" t="s">
        <v>785</v>
      </c>
      <c r="D61" s="229" t="e">
        <f>IF(VLOOKUP(A61,'1. NAMA PESERTA'!$D$4:$E151,2,0)=B61,1,IF(VLOOKUP(A61,'1. NAMA PESERTA'!$D$4:$E151,2,0)=B61,0)*0)</f>
        <v>#N/A</v>
      </c>
    </row>
    <row r="62" spans="1:4" ht="15" thickBot="1">
      <c r="A62" s="282"/>
      <c r="B62" s="282"/>
      <c r="C62" s="226"/>
      <c r="D62" s="226"/>
    </row>
    <row r="63" spans="1:4" ht="15" thickBot="1">
      <c r="A63" s="282" t="s">
        <v>944</v>
      </c>
      <c r="B63" s="282" t="s">
        <v>744</v>
      </c>
      <c r="C63" s="228" t="s">
        <v>786</v>
      </c>
      <c r="D63" s="229" t="e">
        <f>IF(VLOOKUP(A63,'1. NAMA PESERTA'!$D$4:$E153,2,0)=B63,1,IF(VLOOKUP(A63,'1. NAMA PESERTA'!$D$4:$E153,2,0)=B63,0)*0)</f>
        <v>#N/A</v>
      </c>
    </row>
    <row r="64" spans="1:4">
      <c r="A64" s="288" t="s">
        <v>944</v>
      </c>
      <c r="B64" s="286" t="s">
        <v>746</v>
      </c>
      <c r="C64" s="228" t="s">
        <v>787</v>
      </c>
      <c r="D64" s="229" t="e">
        <f>IF(VLOOKUP(A64,'1. NAMA PESERTA'!$D$4:$E154,2,0)=B64,1,IF(VLOOKUP(A64,'1. NAMA PESERTA'!$D$4:$E154,2,0)=B64,0)*0)</f>
        <v>#N/A</v>
      </c>
    </row>
    <row r="65" spans="1:4" ht="15" thickBot="1">
      <c r="A65" s="282"/>
      <c r="B65" s="282"/>
      <c r="C65" s="226"/>
      <c r="D65" s="226"/>
    </row>
    <row r="66" spans="1:4" ht="15" thickBot="1">
      <c r="A66" s="282" t="s">
        <v>945</v>
      </c>
      <c r="B66" s="282" t="s">
        <v>744</v>
      </c>
      <c r="C66" s="228" t="s">
        <v>788</v>
      </c>
      <c r="D66" s="229" t="e">
        <f>IF(VLOOKUP(A66,'1. NAMA PESERTA'!$D$4:$E156,2,0)=B66,1,IF(VLOOKUP(A66,'1. NAMA PESERTA'!$D$4:$E156,2,0)=B66,0)*0)</f>
        <v>#N/A</v>
      </c>
    </row>
    <row r="67" spans="1:4">
      <c r="A67" s="288" t="s">
        <v>945</v>
      </c>
      <c r="B67" s="286" t="s">
        <v>746</v>
      </c>
      <c r="C67" s="228" t="s">
        <v>789</v>
      </c>
      <c r="D67" s="229" t="e">
        <f>IF(VLOOKUP(A67,'1. NAMA PESERTA'!$D$4:$E157,2,0)=B67,1,IF(VLOOKUP(A67,'1. NAMA PESERTA'!$D$4:$E157,2,0)=B67,0)*0)</f>
        <v>#N/A</v>
      </c>
    </row>
    <row r="68" spans="1:4" ht="15" thickBot="1">
      <c r="A68" s="282"/>
      <c r="B68" s="282"/>
      <c r="C68" s="226"/>
      <c r="D68" s="226"/>
    </row>
    <row r="69" spans="1:4" ht="15" thickBot="1">
      <c r="A69" s="282" t="s">
        <v>946</v>
      </c>
      <c r="B69" s="282" t="s">
        <v>744</v>
      </c>
      <c r="C69" s="228" t="s">
        <v>790</v>
      </c>
      <c r="D69" s="229" t="e">
        <f>IF(VLOOKUP(A69,'1. NAMA PESERTA'!$D$4:$E159,2,0)=B69,1,IF(VLOOKUP(A69,'1. NAMA PESERTA'!$D$4:$E159,2,0)=B69,0)*0)</f>
        <v>#N/A</v>
      </c>
    </row>
    <row r="70" spans="1:4">
      <c r="A70" s="288" t="s">
        <v>946</v>
      </c>
      <c r="B70" s="286" t="s">
        <v>746</v>
      </c>
      <c r="C70" s="228" t="s">
        <v>791</v>
      </c>
      <c r="D70" s="229" t="e">
        <f>IF(VLOOKUP(A70,'1. NAMA PESERTA'!$D$4:$E160,2,0)=B70,1,IF(VLOOKUP(A70,'1. NAMA PESERTA'!$D$4:$E160,2,0)=B70,0)*0)</f>
        <v>#N/A</v>
      </c>
    </row>
    <row r="71" spans="1:4" ht="15" thickBot="1">
      <c r="A71" s="282"/>
      <c r="B71" s="282"/>
      <c r="C71" s="226"/>
      <c r="D71" s="226"/>
    </row>
    <row r="72" spans="1:4" ht="15" thickBot="1">
      <c r="A72" s="282" t="s">
        <v>947</v>
      </c>
      <c r="B72" s="282" t="s">
        <v>744</v>
      </c>
      <c r="C72" s="228" t="s">
        <v>792</v>
      </c>
      <c r="D72" s="229" t="e">
        <f>IF(VLOOKUP(A72,'1. NAMA PESERTA'!$D$4:$E162,2,0)=B72,1,IF(VLOOKUP(A72,'1. NAMA PESERTA'!$D$4:$E162,2,0)=B72,0)*0)</f>
        <v>#N/A</v>
      </c>
    </row>
    <row r="73" spans="1:4">
      <c r="A73" s="288" t="s">
        <v>947</v>
      </c>
      <c r="B73" s="286" t="s">
        <v>746</v>
      </c>
      <c r="C73" s="228" t="s">
        <v>793</v>
      </c>
      <c r="D73" s="229" t="e">
        <f>IF(VLOOKUP(A73,'1. NAMA PESERTA'!$D$4:$E163,2,0)=B73,1,IF(VLOOKUP(A73,'1. NAMA PESERTA'!$D$4:$E163,2,0)=B73,0)*0)</f>
        <v>#N/A</v>
      </c>
    </row>
    <row r="74" spans="1:4" ht="15" thickBot="1">
      <c r="A74" s="282"/>
      <c r="B74" s="282"/>
      <c r="C74" s="226"/>
      <c r="D74" s="226"/>
    </row>
    <row r="75" spans="1:4" ht="15" thickBot="1">
      <c r="A75" s="282" t="s">
        <v>948</v>
      </c>
      <c r="B75" s="282" t="s">
        <v>744</v>
      </c>
      <c r="C75" s="228" t="s">
        <v>794</v>
      </c>
      <c r="D75" s="229" t="e">
        <f>IF(VLOOKUP(A75,'1. NAMA PESERTA'!$D$4:$E165,2,0)=B75,1,IF(VLOOKUP(A75,'1. NAMA PESERTA'!$D$4:$E165,2,0)=B75,0)*0)</f>
        <v>#N/A</v>
      </c>
    </row>
    <row r="76" spans="1:4">
      <c r="A76" s="288" t="s">
        <v>948</v>
      </c>
      <c r="B76" s="286" t="s">
        <v>746</v>
      </c>
      <c r="C76" s="228" t="s">
        <v>795</v>
      </c>
      <c r="D76" s="229" t="e">
        <f>IF(VLOOKUP(A76,'1. NAMA PESERTA'!$D$4:$E166,2,0)=B76,1,IF(VLOOKUP(A76,'1. NAMA PESERTA'!$D$4:$E166,2,0)=B76,0)*0)</f>
        <v>#N/A</v>
      </c>
    </row>
    <row r="77" spans="1:4" ht="15" thickBot="1">
      <c r="A77" s="282"/>
      <c r="B77" s="282"/>
      <c r="C77" s="226"/>
      <c r="D77" s="226"/>
    </row>
    <row r="78" spans="1:4" ht="15" thickBot="1">
      <c r="A78" s="282" t="s">
        <v>949</v>
      </c>
      <c r="B78" s="282" t="s">
        <v>744</v>
      </c>
      <c r="C78" s="228" t="s">
        <v>756</v>
      </c>
      <c r="D78" s="229" t="e">
        <f>IF(VLOOKUP(A78,'1. NAMA PESERTA'!$D$4:$E168,2,0)=B78,1,IF(VLOOKUP(A78,'1. NAMA PESERTA'!$D$4:$E168,2,0)=B78,0)*0)</f>
        <v>#N/A</v>
      </c>
    </row>
    <row r="79" spans="1:4">
      <c r="A79" s="288" t="s">
        <v>949</v>
      </c>
      <c r="B79" s="286" t="s">
        <v>746</v>
      </c>
      <c r="C79" s="228" t="s">
        <v>796</v>
      </c>
      <c r="D79" s="229" t="e">
        <f>IF(VLOOKUP(A79,'1. NAMA PESERTA'!$D$4:$E169,2,0)=B79,1,IF(VLOOKUP(A79,'1. NAMA PESERTA'!$D$4:$E169,2,0)=B79,0)*0)</f>
        <v>#N/A</v>
      </c>
    </row>
    <row r="80" spans="1:4" ht="15" thickBot="1">
      <c r="A80" s="282"/>
      <c r="B80" s="282"/>
      <c r="C80" s="226"/>
      <c r="D80" s="226"/>
    </row>
    <row r="81" spans="1:4" ht="15" thickBot="1">
      <c r="A81" s="282" t="s">
        <v>950</v>
      </c>
      <c r="B81" s="282" t="s">
        <v>744</v>
      </c>
      <c r="C81" s="228" t="s">
        <v>761</v>
      </c>
      <c r="D81" s="229" t="e">
        <f>IF(VLOOKUP(A81,'1. NAMA PESERTA'!$D$4:$E171,2,0)=B81,1,IF(VLOOKUP(A81,'1. NAMA PESERTA'!$D$4:$E171,2,0)=B81,0)*0)</f>
        <v>#N/A</v>
      </c>
    </row>
    <row r="82" spans="1:4">
      <c r="A82" s="288" t="s">
        <v>950</v>
      </c>
      <c r="B82" s="286" t="s">
        <v>746</v>
      </c>
      <c r="C82" s="228" t="s">
        <v>797</v>
      </c>
      <c r="D82" s="229" t="e">
        <f>IF(VLOOKUP(A82,'1. NAMA PESERTA'!$D$4:$E172,2,0)=B82,1,IF(VLOOKUP(A82,'1. NAMA PESERTA'!$D$4:$E172,2,0)=B82,0)*0)</f>
        <v>#N/A</v>
      </c>
    </row>
    <row r="83" spans="1:4" ht="15" thickBot="1">
      <c r="A83" s="282"/>
      <c r="B83" s="282"/>
      <c r="C83" s="226"/>
      <c r="D83" s="226"/>
    </row>
    <row r="84" spans="1:4" ht="15" thickBot="1">
      <c r="A84" s="282" t="s">
        <v>951</v>
      </c>
      <c r="B84" s="282" t="s">
        <v>744</v>
      </c>
      <c r="C84" s="228" t="s">
        <v>798</v>
      </c>
      <c r="D84" s="229" t="e">
        <f>IF(VLOOKUP(A84,'1. NAMA PESERTA'!$D$4:$E174,2,0)=B84,1,IF(VLOOKUP(A84,'1. NAMA PESERTA'!$D$4:$E174,2,0)=B84,0)*0)</f>
        <v>#N/A</v>
      </c>
    </row>
    <row r="85" spans="1:4">
      <c r="A85" s="288" t="s">
        <v>951</v>
      </c>
      <c r="B85" s="286" t="s">
        <v>746</v>
      </c>
      <c r="C85" s="228" t="s">
        <v>799</v>
      </c>
      <c r="D85" s="229" t="e">
        <f>IF(VLOOKUP(A85,'1. NAMA PESERTA'!$D$4:$E175,2,0)=B85,1,IF(VLOOKUP(A85,'1. NAMA PESERTA'!$D$4:$E175,2,0)=B85,0)*0)</f>
        <v>#N/A</v>
      </c>
    </row>
    <row r="86" spans="1:4" ht="15" thickBot="1">
      <c r="A86" s="282"/>
      <c r="B86" s="282"/>
      <c r="C86" s="226"/>
      <c r="D86" s="226"/>
    </row>
    <row r="87" spans="1:4" ht="15" thickBot="1">
      <c r="A87" s="282" t="s">
        <v>952</v>
      </c>
      <c r="B87" s="282" t="s">
        <v>744</v>
      </c>
      <c r="C87" s="228" t="s">
        <v>800</v>
      </c>
      <c r="D87" s="229" t="e">
        <f>IF(VLOOKUP(A87,'1. NAMA PESERTA'!$D$4:$E177,2,0)=B87,1,IF(VLOOKUP(A87,'1. NAMA PESERTA'!$D$4:$E177,2,0)=B87,0)*0)</f>
        <v>#N/A</v>
      </c>
    </row>
    <row r="88" spans="1:4">
      <c r="A88" s="288" t="s">
        <v>952</v>
      </c>
      <c r="B88" s="286" t="s">
        <v>746</v>
      </c>
      <c r="C88" s="228" t="s">
        <v>801</v>
      </c>
      <c r="D88" s="229" t="e">
        <f>IF(VLOOKUP(A88,'1. NAMA PESERTA'!$D$4:$E178,2,0)=B88,1,IF(VLOOKUP(A88,'1. NAMA PESERTA'!$D$4:$E178,2,0)=B88,0)*0)</f>
        <v>#N/A</v>
      </c>
    </row>
    <row r="89" spans="1:4" ht="15" thickBot="1">
      <c r="A89" s="282"/>
      <c r="B89" s="282"/>
      <c r="C89" s="226"/>
      <c r="D89" s="226"/>
    </row>
    <row r="90" spans="1:4" ht="15" thickBot="1">
      <c r="A90" s="282" t="s">
        <v>953</v>
      </c>
      <c r="B90" s="282" t="s">
        <v>744</v>
      </c>
      <c r="C90" s="228" t="s">
        <v>802</v>
      </c>
      <c r="D90" s="229" t="e">
        <f>IF(VLOOKUP(A90,'1. NAMA PESERTA'!$D$4:$E180,2,0)=B90,1,IF(VLOOKUP(A90,'1. NAMA PESERTA'!$D$4:$E180,2,0)=B90,0)*0)</f>
        <v>#N/A</v>
      </c>
    </row>
    <row r="91" spans="1:4">
      <c r="A91" s="288" t="s">
        <v>953</v>
      </c>
      <c r="B91" s="286" t="s">
        <v>746</v>
      </c>
      <c r="C91" s="228" t="s">
        <v>803</v>
      </c>
      <c r="D91" s="229" t="e">
        <f>IF(VLOOKUP(A91,'1. NAMA PESERTA'!$D$4:$E181,2,0)=B91,1,IF(VLOOKUP(A91,'1. NAMA PESERTA'!$D$4:$E181,2,0)=B91,0)*0)</f>
        <v>#N/A</v>
      </c>
    </row>
    <row r="92" spans="1:4" ht="15" thickBot="1">
      <c r="A92" s="282"/>
      <c r="B92" s="282"/>
      <c r="C92" s="226"/>
      <c r="D92" s="226"/>
    </row>
    <row r="93" spans="1:4" ht="15" thickBot="1">
      <c r="A93" s="282" t="s">
        <v>954</v>
      </c>
      <c r="B93" s="282" t="s">
        <v>744</v>
      </c>
      <c r="C93" s="228" t="s">
        <v>804</v>
      </c>
      <c r="D93" s="229" t="e">
        <f>IF(VLOOKUP(A93,'1. NAMA PESERTA'!$D$4:$E183,2,0)=B93,1,IF(VLOOKUP(A93,'1. NAMA PESERTA'!$D$4:$E183,2,0)=B93,0)*0)</f>
        <v>#N/A</v>
      </c>
    </row>
    <row r="94" spans="1:4">
      <c r="A94" s="288" t="s">
        <v>954</v>
      </c>
      <c r="B94" s="286" t="s">
        <v>746</v>
      </c>
      <c r="C94" s="228" t="s">
        <v>805</v>
      </c>
      <c r="D94" s="229" t="e">
        <f>IF(VLOOKUP(A94,'1. NAMA PESERTA'!$D$4:$E184,2,0)=B94,1,IF(VLOOKUP(A94,'1. NAMA PESERTA'!$D$4:$E184,2,0)=B94,0)*0)</f>
        <v>#N/A</v>
      </c>
    </row>
    <row r="95" spans="1:4" ht="15" thickBot="1">
      <c r="A95" s="282"/>
      <c r="B95" s="282"/>
      <c r="C95" s="226"/>
      <c r="D95" s="226"/>
    </row>
    <row r="96" spans="1:4" ht="15" thickBot="1">
      <c r="A96" s="282" t="s">
        <v>955</v>
      </c>
      <c r="B96" s="282" t="s">
        <v>744</v>
      </c>
      <c r="C96" s="228" t="s">
        <v>806</v>
      </c>
      <c r="D96" s="229" t="e">
        <f>IF(VLOOKUP(A96,'1. NAMA PESERTA'!$D$4:$E186,2,0)=B96,1,IF(VLOOKUP(A96,'1. NAMA PESERTA'!$D$4:$E186,2,0)=B96,0)*0)</f>
        <v>#N/A</v>
      </c>
    </row>
    <row r="97" spans="1:4">
      <c r="A97" s="288" t="s">
        <v>955</v>
      </c>
      <c r="B97" s="286" t="s">
        <v>746</v>
      </c>
      <c r="C97" s="228" t="s">
        <v>807</v>
      </c>
      <c r="D97" s="229" t="e">
        <f>IF(VLOOKUP(A97,'1. NAMA PESERTA'!$D$4:$E187,2,0)=B97,1,IF(VLOOKUP(A97,'1. NAMA PESERTA'!$D$4:$E187,2,0)=B97,0)*0)</f>
        <v>#N/A</v>
      </c>
    </row>
    <row r="98" spans="1:4" ht="15" thickBot="1">
      <c r="A98" s="282"/>
      <c r="B98" s="282"/>
      <c r="C98" s="226"/>
      <c r="D98" s="226"/>
    </row>
    <row r="99" spans="1:4" ht="15" thickBot="1">
      <c r="A99" s="282" t="s">
        <v>956</v>
      </c>
      <c r="B99" s="282" t="s">
        <v>744</v>
      </c>
      <c r="C99" s="228" t="s">
        <v>808</v>
      </c>
      <c r="D99" s="229" t="e">
        <f>IF(VLOOKUP(A99,'1. NAMA PESERTA'!$D$4:$E189,2,0)=B99,1,IF(VLOOKUP(A99,'1. NAMA PESERTA'!$D$4:$E189,2,0)=B99,0)*0)</f>
        <v>#N/A</v>
      </c>
    </row>
    <row r="100" spans="1:4">
      <c r="A100" s="288" t="s">
        <v>956</v>
      </c>
      <c r="B100" s="286" t="s">
        <v>746</v>
      </c>
      <c r="C100" s="228" t="s">
        <v>809</v>
      </c>
      <c r="D100" s="229" t="e">
        <f>IF(VLOOKUP(A100,'1. NAMA PESERTA'!$D$4:$E190,2,0)=B100,1,IF(VLOOKUP(A100,'1. NAMA PESERTA'!$D$4:$E190,2,0)=B100,0)*0)</f>
        <v>#N/A</v>
      </c>
    </row>
    <row r="101" spans="1:4" ht="15" thickBot="1">
      <c r="A101" s="282"/>
      <c r="B101" s="282"/>
      <c r="C101" s="226"/>
      <c r="D101" s="226"/>
    </row>
    <row r="102" spans="1:4" ht="15" thickBot="1">
      <c r="A102" s="282" t="s">
        <v>957</v>
      </c>
      <c r="B102" s="282" t="s">
        <v>744</v>
      </c>
      <c r="C102" s="228" t="s">
        <v>810</v>
      </c>
      <c r="D102" s="229" t="e">
        <f>IF(VLOOKUP(A102,'1. NAMA PESERTA'!$D$4:$E192,2,0)=B102,1,IF(VLOOKUP(A102,'1. NAMA PESERTA'!$D$4:$E192,2,0)=B102,0)*0)</f>
        <v>#N/A</v>
      </c>
    </row>
    <row r="103" spans="1:4">
      <c r="A103" s="288" t="s">
        <v>957</v>
      </c>
      <c r="B103" s="286" t="s">
        <v>746</v>
      </c>
      <c r="C103" s="228" t="s">
        <v>811</v>
      </c>
      <c r="D103" s="229" t="e">
        <f>IF(VLOOKUP(A103,'1. NAMA PESERTA'!$D$4:$E193,2,0)=B103,1,IF(VLOOKUP(A103,'1. NAMA PESERTA'!$D$4:$E193,2,0)=B103,0)*0)</f>
        <v>#N/A</v>
      </c>
    </row>
    <row r="104" spans="1:4" ht="15" thickBot="1">
      <c r="A104" s="282"/>
      <c r="B104" s="282"/>
      <c r="C104" s="226"/>
      <c r="D104" s="226"/>
    </row>
    <row r="105" spans="1:4" ht="15" thickBot="1">
      <c r="A105" s="282" t="s">
        <v>958</v>
      </c>
      <c r="B105" s="282" t="s">
        <v>744</v>
      </c>
      <c r="C105" s="228" t="s">
        <v>812</v>
      </c>
      <c r="D105" s="229" t="e">
        <f>IF(VLOOKUP(A105,'1. NAMA PESERTA'!$D$4:$E195,2,0)=B105,1,IF(VLOOKUP(A105,'1. NAMA PESERTA'!$D$4:$E195,2,0)=B105,0)*0)</f>
        <v>#N/A</v>
      </c>
    </row>
    <row r="106" spans="1:4">
      <c r="A106" s="288" t="s">
        <v>958</v>
      </c>
      <c r="B106" s="286" t="s">
        <v>746</v>
      </c>
      <c r="C106" s="228" t="s">
        <v>813</v>
      </c>
      <c r="D106" s="229" t="e">
        <f>IF(VLOOKUP(A106,'1. NAMA PESERTA'!$D$4:$E196,2,0)=B106,1,IF(VLOOKUP(A106,'1. NAMA PESERTA'!$D$4:$E196,2,0)=B106,0)*0)</f>
        <v>#N/A</v>
      </c>
    </row>
    <row r="107" spans="1:4" ht="15" thickBot="1">
      <c r="A107" s="282"/>
      <c r="B107" s="282"/>
      <c r="C107" s="226"/>
      <c r="D107" s="226"/>
    </row>
    <row r="108" spans="1:4" ht="15" thickBot="1">
      <c r="A108" s="282" t="s">
        <v>959</v>
      </c>
      <c r="B108" s="282" t="s">
        <v>744</v>
      </c>
      <c r="C108" s="228" t="s">
        <v>814</v>
      </c>
      <c r="D108" s="229" t="e">
        <f>IF(VLOOKUP(A108,'1. NAMA PESERTA'!$D$4:$E198,2,0)=B108,1,IF(VLOOKUP(A108,'1. NAMA PESERTA'!$D$4:$E198,2,0)=B108,0)*0)</f>
        <v>#N/A</v>
      </c>
    </row>
    <row r="109" spans="1:4">
      <c r="A109" s="288" t="s">
        <v>959</v>
      </c>
      <c r="B109" s="286" t="s">
        <v>746</v>
      </c>
      <c r="C109" s="228" t="s">
        <v>815</v>
      </c>
      <c r="D109" s="229" t="e">
        <f>IF(VLOOKUP(A109,'1. NAMA PESERTA'!$D$4:$E199,2,0)=B109,1,IF(VLOOKUP(A109,'1. NAMA PESERTA'!$D$4:$E199,2,0)=B109,0)*0)</f>
        <v>#N/A</v>
      </c>
    </row>
    <row r="110" spans="1:4" ht="15" thickBot="1">
      <c r="A110" s="282"/>
      <c r="B110" s="282"/>
      <c r="C110" s="226"/>
      <c r="D110" s="226"/>
    </row>
    <row r="111" spans="1:4" ht="15" thickBot="1">
      <c r="A111" s="282" t="s">
        <v>960</v>
      </c>
      <c r="B111" s="282" t="s">
        <v>744</v>
      </c>
      <c r="C111" s="228" t="s">
        <v>816</v>
      </c>
      <c r="D111" s="229" t="e">
        <f>IF(VLOOKUP(A111,'1. NAMA PESERTA'!$D$4:$E201,2,0)=B111,1,IF(VLOOKUP(A111,'1. NAMA PESERTA'!$D$4:$E201,2,0)=B111,0)*0)</f>
        <v>#N/A</v>
      </c>
    </row>
    <row r="112" spans="1:4">
      <c r="A112" s="288" t="s">
        <v>960</v>
      </c>
      <c r="B112" s="286" t="s">
        <v>746</v>
      </c>
      <c r="C112" s="228" t="s">
        <v>817</v>
      </c>
      <c r="D112" s="229" t="e">
        <f>IF(VLOOKUP(A112,'1. NAMA PESERTA'!$D$4:$E202,2,0)=B112,1,IF(VLOOKUP(A112,'1. NAMA PESERTA'!$D$4:$E202,2,0)=B112,0)*0)</f>
        <v>#N/A</v>
      </c>
    </row>
    <row r="113" spans="1:4" ht="15" thickBot="1">
      <c r="A113" s="282"/>
      <c r="B113" s="282"/>
      <c r="C113" s="226"/>
      <c r="D113" s="226"/>
    </row>
    <row r="114" spans="1:4" ht="15" thickBot="1">
      <c r="A114" s="282" t="s">
        <v>961</v>
      </c>
      <c r="B114" s="282" t="s">
        <v>744</v>
      </c>
      <c r="C114" s="228" t="s">
        <v>818</v>
      </c>
      <c r="D114" s="229" t="e">
        <f>IF(VLOOKUP(A114,'1. NAMA PESERTA'!$D$4:$E204,2,0)=B114,1,IF(VLOOKUP(A114,'1. NAMA PESERTA'!$D$4:$E204,2,0)=B114,0)*0)</f>
        <v>#N/A</v>
      </c>
    </row>
    <row r="115" spans="1:4">
      <c r="A115" s="288" t="s">
        <v>961</v>
      </c>
      <c r="B115" s="286" t="s">
        <v>746</v>
      </c>
      <c r="C115" s="228" t="s">
        <v>819</v>
      </c>
      <c r="D115" s="229" t="e">
        <f>IF(VLOOKUP(A115,'1. NAMA PESERTA'!$D$4:$E205,2,0)=B115,1,IF(VLOOKUP(A115,'1. NAMA PESERTA'!$D$4:$E205,2,0)=B115,0)*0)</f>
        <v>#N/A</v>
      </c>
    </row>
    <row r="116" spans="1:4" ht="15" thickBot="1">
      <c r="A116" s="282"/>
      <c r="B116" s="282"/>
      <c r="C116" s="226"/>
      <c r="D116" s="226"/>
    </row>
    <row r="117" spans="1:4" ht="15" thickBot="1">
      <c r="A117" s="282" t="s">
        <v>962</v>
      </c>
      <c r="B117" s="282" t="s">
        <v>744</v>
      </c>
      <c r="C117" s="228" t="s">
        <v>782</v>
      </c>
      <c r="D117" s="229" t="e">
        <f>IF(VLOOKUP(A117,'1. NAMA PESERTA'!$D$4:$E207,2,0)=B117,1,IF(VLOOKUP(A117,'1. NAMA PESERTA'!$D$4:$E207,2,0)=B117,0)*0)</f>
        <v>#N/A</v>
      </c>
    </row>
    <row r="118" spans="1:4">
      <c r="A118" s="288" t="s">
        <v>962</v>
      </c>
      <c r="B118" s="286" t="s">
        <v>746</v>
      </c>
      <c r="C118" s="228" t="s">
        <v>820</v>
      </c>
      <c r="D118" s="229" t="e">
        <f>IF(VLOOKUP(A118,'1. NAMA PESERTA'!$D$4:$E208,2,0)=B118,1,IF(VLOOKUP(A118,'1. NAMA PESERTA'!$D$4:$E208,2,0)=B118,0)*0)</f>
        <v>#N/A</v>
      </c>
    </row>
    <row r="119" spans="1:4" ht="15" thickBot="1">
      <c r="A119" s="282"/>
      <c r="B119" s="282"/>
      <c r="C119" s="226"/>
      <c r="D119" s="226"/>
    </row>
    <row r="120" spans="1:4" ht="15" thickBot="1">
      <c r="A120" s="282" t="s">
        <v>963</v>
      </c>
      <c r="B120" s="282" t="s">
        <v>744</v>
      </c>
      <c r="C120" s="228" t="s">
        <v>821</v>
      </c>
      <c r="D120" s="229" t="e">
        <f>IF(VLOOKUP(A120,'1. NAMA PESERTA'!$D$4:$E210,2,0)=B120,1,IF(VLOOKUP(A120,'1. NAMA PESERTA'!$D$4:$E210,2,0)=B120,0)*0)</f>
        <v>#N/A</v>
      </c>
    </row>
    <row r="121" spans="1:4">
      <c r="A121" s="288" t="s">
        <v>963</v>
      </c>
      <c r="B121" s="286" t="s">
        <v>746</v>
      </c>
      <c r="C121" s="228" t="s">
        <v>822</v>
      </c>
      <c r="D121" s="229" t="e">
        <f>IF(VLOOKUP(A121,'1. NAMA PESERTA'!$D$4:$E211,2,0)=B121,1,IF(VLOOKUP(A121,'1. NAMA PESERTA'!$D$4:$E211,2,0)=B121,0)*0)</f>
        <v>#N/A</v>
      </c>
    </row>
    <row r="122" spans="1:4" ht="15" thickBot="1">
      <c r="A122" s="282"/>
      <c r="B122" s="282"/>
      <c r="C122" s="226"/>
      <c r="D122" s="226"/>
    </row>
    <row r="123" spans="1:4" ht="15" thickBot="1">
      <c r="A123" s="282" t="s">
        <v>964</v>
      </c>
      <c r="B123" s="282" t="s">
        <v>744</v>
      </c>
      <c r="C123" s="228" t="s">
        <v>766</v>
      </c>
      <c r="D123" s="229" t="e">
        <f>IF(VLOOKUP(A123,'1. NAMA PESERTA'!$D$4:$E213,2,0)=B123,1,IF(VLOOKUP(A123,'1. NAMA PESERTA'!$D$4:$E213,2,0)=B123,0)*0)</f>
        <v>#N/A</v>
      </c>
    </row>
    <row r="124" spans="1:4">
      <c r="A124" s="288" t="s">
        <v>964</v>
      </c>
      <c r="B124" s="286" t="s">
        <v>746</v>
      </c>
      <c r="C124" s="228" t="s">
        <v>823</v>
      </c>
      <c r="D124" s="229" t="e">
        <f>IF(VLOOKUP(A124,'1. NAMA PESERTA'!$D$4:$E214,2,0)=B124,1,IF(VLOOKUP(A124,'1. NAMA PESERTA'!$D$4:$E214,2,0)=B124,0)*0)</f>
        <v>#N/A</v>
      </c>
    </row>
    <row r="125" spans="1:4" ht="15" thickBot="1">
      <c r="A125" s="282"/>
      <c r="B125" s="282"/>
      <c r="C125" s="226"/>
      <c r="D125" s="226"/>
    </row>
    <row r="126" spans="1:4" ht="15" thickBot="1">
      <c r="A126" s="282" t="s">
        <v>965</v>
      </c>
      <c r="B126" s="282" t="s">
        <v>744</v>
      </c>
      <c r="C126" s="228" t="s">
        <v>824</v>
      </c>
      <c r="D126" s="229" t="e">
        <f>IF(VLOOKUP(A126,'1. NAMA PESERTA'!$D$4:$E216,2,0)=B126,1,IF(VLOOKUP(A126,'1. NAMA PESERTA'!$D$4:$E216,2,0)=B126,0)*0)</f>
        <v>#N/A</v>
      </c>
    </row>
    <row r="127" spans="1:4">
      <c r="A127" s="288" t="s">
        <v>965</v>
      </c>
      <c r="B127" s="286" t="s">
        <v>746</v>
      </c>
      <c r="C127" s="228" t="s">
        <v>825</v>
      </c>
      <c r="D127" s="229" t="e">
        <f>IF(VLOOKUP(A127,'1. NAMA PESERTA'!$D$4:$E217,2,0)=B127,1,IF(VLOOKUP(A127,'1. NAMA PESERTA'!$D$4:$E217,2,0)=B127,0)*0)</f>
        <v>#N/A</v>
      </c>
    </row>
    <row r="128" spans="1:4" ht="15" thickBot="1">
      <c r="A128" s="282"/>
      <c r="B128" s="282"/>
      <c r="C128" s="226"/>
      <c r="D128" s="226"/>
    </row>
    <row r="129" spans="1:4" ht="15" thickBot="1">
      <c r="A129" s="282" t="s">
        <v>966</v>
      </c>
      <c r="B129" s="282" t="s">
        <v>744</v>
      </c>
      <c r="C129" s="228" t="s">
        <v>826</v>
      </c>
      <c r="D129" s="229" t="e">
        <f>IF(VLOOKUP(A129,'1. NAMA PESERTA'!$D$4:$E219,2,0)=B129,1,IF(VLOOKUP(A129,'1. NAMA PESERTA'!$D$4:$E219,2,0)=B129,0)*0)</f>
        <v>#N/A</v>
      </c>
    </row>
    <row r="130" spans="1:4">
      <c r="A130" s="288" t="s">
        <v>966</v>
      </c>
      <c r="B130" s="286" t="s">
        <v>746</v>
      </c>
      <c r="C130" s="228" t="s">
        <v>827</v>
      </c>
      <c r="D130" s="229" t="e">
        <f>IF(VLOOKUP(A130,'1. NAMA PESERTA'!$D$4:$E220,2,0)=B130,1,IF(VLOOKUP(A130,'1. NAMA PESERTA'!$D$4:$E220,2,0)=B130,0)*0)</f>
        <v>#N/A</v>
      </c>
    </row>
    <row r="131" spans="1:4" ht="15" thickBot="1">
      <c r="A131" s="282"/>
      <c r="B131" s="282"/>
      <c r="C131" s="226"/>
      <c r="D131" s="226"/>
    </row>
    <row r="132" spans="1:4" ht="15" thickBot="1">
      <c r="A132" s="282" t="s">
        <v>967</v>
      </c>
      <c r="B132" s="282" t="s">
        <v>744</v>
      </c>
      <c r="C132" s="228" t="s">
        <v>828</v>
      </c>
      <c r="D132" s="229" t="e">
        <f>IF(VLOOKUP(A132,'1. NAMA PESERTA'!$D$4:$E222,2,0)=B132,1,IF(VLOOKUP(A132,'1. NAMA PESERTA'!$D$4:$E222,2,0)=B132,0)*0)</f>
        <v>#N/A</v>
      </c>
    </row>
    <row r="133" spans="1:4">
      <c r="A133" s="288" t="s">
        <v>967</v>
      </c>
      <c r="B133" s="286" t="s">
        <v>746</v>
      </c>
      <c r="C133" s="228" t="s">
        <v>829</v>
      </c>
      <c r="D133" s="229" t="e">
        <f>IF(VLOOKUP(A133,'1. NAMA PESERTA'!$D$4:$E223,2,0)=B133,1,IF(VLOOKUP(A133,'1. NAMA PESERTA'!$D$4:$E223,2,0)=B133,0)*0)</f>
        <v>#N/A</v>
      </c>
    </row>
    <row r="134" spans="1:4" ht="15" thickBot="1">
      <c r="A134" s="282"/>
      <c r="B134" s="282"/>
      <c r="C134" s="226"/>
      <c r="D134" s="226"/>
    </row>
    <row r="135" spans="1:4" ht="15" thickBot="1">
      <c r="A135" s="282" t="s">
        <v>968</v>
      </c>
      <c r="B135" s="282" t="s">
        <v>744</v>
      </c>
      <c r="C135" s="228" t="s">
        <v>830</v>
      </c>
      <c r="D135" s="229" t="e">
        <f>IF(VLOOKUP(A135,'1. NAMA PESERTA'!$D$4:$E225,2,0)=B135,1,IF(VLOOKUP(A135,'1. NAMA PESERTA'!$D$4:$E225,2,0)=B135,0)*0)</f>
        <v>#N/A</v>
      </c>
    </row>
    <row r="136" spans="1:4">
      <c r="A136" s="288" t="s">
        <v>968</v>
      </c>
      <c r="B136" s="286" t="s">
        <v>746</v>
      </c>
      <c r="C136" s="228" t="s">
        <v>831</v>
      </c>
      <c r="D136" s="229" t="e">
        <f>IF(VLOOKUP(A136,'1. NAMA PESERTA'!$D$4:$E226,2,0)=B136,1,IF(VLOOKUP(A136,'1. NAMA PESERTA'!$D$4:$E226,2,0)=B136,0)*0)</f>
        <v>#N/A</v>
      </c>
    </row>
    <row r="137" spans="1:4" ht="15" thickBot="1">
      <c r="A137" s="282"/>
      <c r="B137" s="282"/>
      <c r="C137" s="226"/>
      <c r="D137" s="226"/>
    </row>
    <row r="138" spans="1:4" ht="15" thickBot="1">
      <c r="A138" s="282" t="s">
        <v>969</v>
      </c>
      <c r="B138" s="282" t="s">
        <v>744</v>
      </c>
      <c r="C138" s="228" t="s">
        <v>832</v>
      </c>
      <c r="D138" s="229" t="e">
        <f>IF(VLOOKUP(A138,'1. NAMA PESERTA'!$D$4:$E228,2,0)=B138,1,IF(VLOOKUP(A138,'1. NAMA PESERTA'!$D$4:$E228,2,0)=B138,0)*0)</f>
        <v>#N/A</v>
      </c>
    </row>
    <row r="139" spans="1:4">
      <c r="A139" s="288" t="s">
        <v>969</v>
      </c>
      <c r="B139" s="286" t="s">
        <v>746</v>
      </c>
      <c r="C139" s="228" t="s">
        <v>833</v>
      </c>
      <c r="D139" s="229" t="e">
        <f>IF(VLOOKUP(A139,'1. NAMA PESERTA'!$D$4:$E229,2,0)=B139,1,IF(VLOOKUP(A139,'1. NAMA PESERTA'!$D$4:$E229,2,0)=B139,0)*0)</f>
        <v>#N/A</v>
      </c>
    </row>
    <row r="140" spans="1:4" ht="15" thickBot="1">
      <c r="A140" s="282"/>
      <c r="B140" s="282"/>
      <c r="C140" s="226"/>
      <c r="D140" s="226"/>
    </row>
    <row r="141" spans="1:4" ht="15" thickBot="1">
      <c r="A141" s="282" t="s">
        <v>970</v>
      </c>
      <c r="B141" s="282" t="s">
        <v>744</v>
      </c>
      <c r="C141" s="228" t="s">
        <v>834</v>
      </c>
      <c r="D141" s="229" t="e">
        <f>IF(VLOOKUP(A141,'1. NAMA PESERTA'!$D$4:$E231,2,0)=B141,1,IF(VLOOKUP(A141,'1. NAMA PESERTA'!$D$4:$E231,2,0)=B141,0)*0)</f>
        <v>#N/A</v>
      </c>
    </row>
    <row r="142" spans="1:4">
      <c r="A142" s="288" t="s">
        <v>970</v>
      </c>
      <c r="B142" s="286" t="s">
        <v>746</v>
      </c>
      <c r="C142" s="228" t="s">
        <v>835</v>
      </c>
      <c r="D142" s="229" t="e">
        <f>IF(VLOOKUP(A142,'1. NAMA PESERTA'!$D$4:$E232,2,0)=B142,1,IF(VLOOKUP(A142,'1. NAMA PESERTA'!$D$4:$E232,2,0)=B142,0)*0)</f>
        <v>#N/A</v>
      </c>
    </row>
    <row r="143" spans="1:4" ht="15" thickBot="1">
      <c r="A143" s="282"/>
      <c r="B143" s="282"/>
      <c r="C143" s="226"/>
      <c r="D143" s="226"/>
    </row>
    <row r="144" spans="1:4" ht="15" thickBot="1">
      <c r="A144" s="282" t="s">
        <v>971</v>
      </c>
      <c r="B144" s="282" t="s">
        <v>744</v>
      </c>
      <c r="C144" s="228" t="s">
        <v>836</v>
      </c>
      <c r="D144" s="229" t="e">
        <f>IF(VLOOKUP(A144,'1. NAMA PESERTA'!$D$4:$E234,2,0)=B144,1,IF(VLOOKUP(A144,'1. NAMA PESERTA'!$D$4:$E234,2,0)=B144,0)*0)</f>
        <v>#N/A</v>
      </c>
    </row>
    <row r="145" spans="1:4">
      <c r="A145" s="288" t="s">
        <v>971</v>
      </c>
      <c r="B145" s="286" t="s">
        <v>746</v>
      </c>
      <c r="C145" s="228" t="s">
        <v>837</v>
      </c>
      <c r="D145" s="229" t="e">
        <f>IF(VLOOKUP(A145,'1. NAMA PESERTA'!$D$4:$E235,2,0)=B145,1,IF(VLOOKUP(A145,'1. NAMA PESERTA'!$D$4:$E235,2,0)=B145,0)*0)</f>
        <v>#N/A</v>
      </c>
    </row>
    <row r="146" spans="1:4" ht="15" thickBot="1">
      <c r="A146" s="282"/>
      <c r="B146" s="282"/>
      <c r="C146" s="226"/>
      <c r="D146" s="226"/>
    </row>
    <row r="147" spans="1:4" ht="15" thickBot="1">
      <c r="A147" s="282" t="s">
        <v>972</v>
      </c>
      <c r="B147" s="282" t="s">
        <v>744</v>
      </c>
      <c r="C147" s="228" t="s">
        <v>838</v>
      </c>
      <c r="D147" s="229" t="e">
        <f>IF(VLOOKUP(A147,'1. NAMA PESERTA'!$D$4:$E237,2,0)=B147,1,IF(VLOOKUP(A147,'1. NAMA PESERTA'!$D$4:$E237,2,0)=B147,0)*0)</f>
        <v>#N/A</v>
      </c>
    </row>
    <row r="148" spans="1:4">
      <c r="A148" s="282" t="s">
        <v>972</v>
      </c>
      <c r="B148" s="286" t="s">
        <v>746</v>
      </c>
      <c r="C148" s="228" t="s">
        <v>819</v>
      </c>
      <c r="D148" s="229" t="e">
        <f>IF(VLOOKUP(A148,'1. NAMA PESERTA'!$D$4:$E238,2,0)=B148,1,IF(VLOOKUP(A148,'1. NAMA PESERTA'!$D$4:$E238,2,0)=B148,0)*0)</f>
        <v>#N/A</v>
      </c>
    </row>
    <row r="149" spans="1:4" ht="15" thickBot="1">
      <c r="A149" s="282"/>
      <c r="B149" s="282"/>
      <c r="C149" s="226"/>
      <c r="D149" s="226"/>
    </row>
    <row r="150" spans="1:4" ht="15" thickBot="1">
      <c r="A150" s="282" t="s">
        <v>973</v>
      </c>
      <c r="B150" s="282" t="s">
        <v>744</v>
      </c>
      <c r="C150" s="228" t="s">
        <v>839</v>
      </c>
      <c r="D150" s="229" t="e">
        <f>IF(VLOOKUP(A150,'1. NAMA PESERTA'!$D$4:$E240,2,0)=B150,1,IF(VLOOKUP(A150,'1. NAMA PESERTA'!$D$4:$E240,2,0)=B150,0)*0)</f>
        <v>#N/A</v>
      </c>
    </row>
    <row r="151" spans="1:4">
      <c r="A151" s="288" t="s">
        <v>973</v>
      </c>
      <c r="B151" s="286" t="s">
        <v>746</v>
      </c>
      <c r="C151" s="228" t="s">
        <v>840</v>
      </c>
      <c r="D151" s="229" t="e">
        <f>IF(VLOOKUP(A151,'1. NAMA PESERTA'!$D$4:$E241,2,0)=B151,1,IF(VLOOKUP(A151,'1. NAMA PESERTA'!$D$4:$E241,2,0)=B151,0)*0)</f>
        <v>#N/A</v>
      </c>
    </row>
    <row r="152" spans="1:4" ht="15" thickBot="1">
      <c r="A152" s="282"/>
      <c r="B152" s="282"/>
      <c r="C152" s="226"/>
      <c r="D152" s="226"/>
    </row>
    <row r="153" spans="1:4" ht="15" thickBot="1">
      <c r="A153" s="282" t="s">
        <v>974</v>
      </c>
      <c r="B153" s="282" t="s">
        <v>744</v>
      </c>
      <c r="C153" s="228" t="s">
        <v>841</v>
      </c>
      <c r="D153" s="229" t="e">
        <f>IF(VLOOKUP(A153,'1. NAMA PESERTA'!$D$4:$E243,2,0)=B153,1,IF(VLOOKUP(A153,'1. NAMA PESERTA'!$D$4:$E243,2,0)=B153,0)*0)</f>
        <v>#N/A</v>
      </c>
    </row>
    <row r="154" spans="1:4">
      <c r="A154" s="288" t="s">
        <v>974</v>
      </c>
      <c r="B154" s="286" t="s">
        <v>746</v>
      </c>
      <c r="C154" s="228" t="s">
        <v>842</v>
      </c>
      <c r="D154" s="229" t="e">
        <f>IF(VLOOKUP(A154,'1. NAMA PESERTA'!$D$4:$E244,2,0)=B154,1,IF(VLOOKUP(A154,'1. NAMA PESERTA'!$D$4:$E244,2,0)=B154,0)*0)</f>
        <v>#N/A</v>
      </c>
    </row>
    <row r="155" spans="1:4" ht="15" thickBot="1">
      <c r="A155" s="282"/>
      <c r="B155" s="282"/>
      <c r="C155" s="226"/>
      <c r="D155" s="226"/>
    </row>
    <row r="156" spans="1:4" ht="15" thickBot="1">
      <c r="A156" s="282" t="s">
        <v>975</v>
      </c>
      <c r="B156" s="282" t="s">
        <v>744</v>
      </c>
      <c r="C156" s="228" t="s">
        <v>843</v>
      </c>
      <c r="D156" s="229" t="e">
        <f>IF(VLOOKUP(A156,'1. NAMA PESERTA'!$D$4:$E246,2,0)=B156,1,IF(VLOOKUP(A156,'1. NAMA PESERTA'!$D$4:$E246,2,0)=B156,0)*0)</f>
        <v>#N/A</v>
      </c>
    </row>
    <row r="157" spans="1:4">
      <c r="A157" s="288" t="s">
        <v>975</v>
      </c>
      <c r="B157" s="286" t="s">
        <v>746</v>
      </c>
      <c r="C157" s="228" t="s">
        <v>844</v>
      </c>
      <c r="D157" s="229" t="e">
        <f>IF(VLOOKUP(A157,'1. NAMA PESERTA'!$D$4:$E247,2,0)=B157,1,IF(VLOOKUP(A157,'1. NAMA PESERTA'!$D$4:$E247,2,0)=B157,0)*0)</f>
        <v>#N/A</v>
      </c>
    </row>
    <row r="158" spans="1:4" ht="15" thickBot="1">
      <c r="A158" s="282"/>
      <c r="B158" s="282"/>
      <c r="C158" s="226"/>
      <c r="D158" s="226"/>
    </row>
    <row r="159" spans="1:4" ht="15" thickBot="1">
      <c r="A159" s="282" t="s">
        <v>976</v>
      </c>
      <c r="B159" s="282" t="s">
        <v>744</v>
      </c>
      <c r="C159" s="228" t="s">
        <v>845</v>
      </c>
      <c r="D159" s="229" t="e">
        <f>IF(VLOOKUP(A159,'1. NAMA PESERTA'!$D$4:$E249,2,0)=B159,1,IF(VLOOKUP(A159,'1. NAMA PESERTA'!$D$4:$E249,2,0)=B159,0)*0)</f>
        <v>#N/A</v>
      </c>
    </row>
    <row r="160" spans="1:4">
      <c r="A160" s="288" t="s">
        <v>976</v>
      </c>
      <c r="B160" s="286" t="s">
        <v>746</v>
      </c>
      <c r="C160" s="228" t="s">
        <v>846</v>
      </c>
      <c r="D160" s="229" t="e">
        <f>IF(VLOOKUP(A160,'1. NAMA PESERTA'!$D$4:$E250,2,0)=B160,1,IF(VLOOKUP(A160,'1. NAMA PESERTA'!$D$4:$E250,2,0)=B160,0)*0)</f>
        <v>#N/A</v>
      </c>
    </row>
    <row r="161" spans="1:4" ht="15" thickBot="1">
      <c r="A161" s="282"/>
      <c r="B161" s="282"/>
      <c r="C161" s="226"/>
      <c r="D161" s="226"/>
    </row>
    <row r="162" spans="1:4" ht="15" thickBot="1">
      <c r="A162" s="282" t="s">
        <v>977</v>
      </c>
      <c r="B162" s="282" t="s">
        <v>744</v>
      </c>
      <c r="C162" s="228" t="s">
        <v>847</v>
      </c>
      <c r="D162" s="229" t="e">
        <f>IF(VLOOKUP(A162,'1. NAMA PESERTA'!$D$4:$E252,2,0)=B162,1,IF(VLOOKUP(A162,'1. NAMA PESERTA'!$D$4:$E252,2,0)=B162,0)*0)</f>
        <v>#N/A</v>
      </c>
    </row>
    <row r="163" spans="1:4">
      <c r="A163" s="288" t="s">
        <v>977</v>
      </c>
      <c r="B163" s="286" t="s">
        <v>746</v>
      </c>
      <c r="C163" s="228" t="s">
        <v>848</v>
      </c>
      <c r="D163" s="229" t="e">
        <f>IF(VLOOKUP(A163,'1. NAMA PESERTA'!$D$4:$E253,2,0)=B163,1,IF(VLOOKUP(A163,'1. NAMA PESERTA'!$D$4:$E253,2,0)=B163,0)*0)</f>
        <v>#N/A</v>
      </c>
    </row>
    <row r="164" spans="1:4" ht="15" thickBot="1">
      <c r="A164" s="282"/>
      <c r="B164" s="282"/>
      <c r="C164" s="226"/>
      <c r="D164" s="226"/>
    </row>
    <row r="165" spans="1:4" ht="15" thickBot="1">
      <c r="A165" s="282" t="s">
        <v>978</v>
      </c>
      <c r="B165" s="282" t="s">
        <v>744</v>
      </c>
      <c r="C165" s="228" t="s">
        <v>849</v>
      </c>
      <c r="D165" s="229" t="e">
        <f>IF(VLOOKUP(A165,'1. NAMA PESERTA'!$D$4:$E255,2,0)=B165,1,IF(VLOOKUP(A165,'1. NAMA PESERTA'!$D$4:$E255,2,0)=B165,0)*0)</f>
        <v>#N/A</v>
      </c>
    </row>
    <row r="166" spans="1:4">
      <c r="A166" s="288" t="s">
        <v>978</v>
      </c>
      <c r="B166" s="286" t="s">
        <v>746</v>
      </c>
      <c r="C166" s="228" t="s">
        <v>850</v>
      </c>
      <c r="D166" s="229" t="e">
        <f>IF(VLOOKUP(A166,'1. NAMA PESERTA'!$D$4:$E256,2,0)=B166,1,IF(VLOOKUP(A166,'1. NAMA PESERTA'!$D$4:$E256,2,0)=B166,0)*0)</f>
        <v>#N/A</v>
      </c>
    </row>
    <row r="167" spans="1:4" ht="15" thickBot="1">
      <c r="A167" s="282"/>
      <c r="B167" s="282"/>
      <c r="C167" s="226"/>
      <c r="D167" s="226"/>
    </row>
    <row r="168" spans="1:4" ht="15" thickBot="1">
      <c r="A168" s="282" t="s">
        <v>979</v>
      </c>
      <c r="B168" s="282" t="s">
        <v>744</v>
      </c>
      <c r="C168" s="228" t="s">
        <v>851</v>
      </c>
      <c r="D168" s="229" t="e">
        <f>IF(VLOOKUP(A168,'1. NAMA PESERTA'!$D$4:$E258,2,0)=B168,1,IF(VLOOKUP(A168,'1. NAMA PESERTA'!$D$4:$E258,2,0)=B168,0)*0)</f>
        <v>#N/A</v>
      </c>
    </row>
    <row r="169" spans="1:4">
      <c r="A169" s="288" t="s">
        <v>979</v>
      </c>
      <c r="B169" s="286" t="s">
        <v>746</v>
      </c>
      <c r="C169" s="228" t="s">
        <v>852</v>
      </c>
      <c r="D169" s="229" t="e">
        <f>IF(VLOOKUP(A169,'1. NAMA PESERTA'!$D$4:$E259,2,0)=B169,1,IF(VLOOKUP(A169,'1. NAMA PESERTA'!$D$4:$E259,2,0)=B169,0)*0)</f>
        <v>#N/A</v>
      </c>
    </row>
    <row r="170" spans="1:4" ht="15" thickBot="1">
      <c r="A170" s="282"/>
      <c r="B170" s="282"/>
      <c r="C170" s="226"/>
      <c r="D170" s="226"/>
    </row>
    <row r="171" spans="1:4" ht="15" thickBot="1">
      <c r="A171" s="282" t="s">
        <v>980</v>
      </c>
      <c r="B171" s="282" t="s">
        <v>744</v>
      </c>
      <c r="C171" s="228" t="s">
        <v>853</v>
      </c>
      <c r="D171" s="229" t="e">
        <f>IF(VLOOKUP(A171,'1. NAMA PESERTA'!$D$4:$E261,2,0)=B171,1,IF(VLOOKUP(A171,'1. NAMA PESERTA'!$D$4:$E261,2,0)=B171,0)*0)</f>
        <v>#N/A</v>
      </c>
    </row>
    <row r="172" spans="1:4">
      <c r="A172" s="288" t="s">
        <v>980</v>
      </c>
      <c r="B172" s="286" t="s">
        <v>746</v>
      </c>
      <c r="C172" s="228" t="s">
        <v>854</v>
      </c>
      <c r="D172" s="229" t="e">
        <f>IF(VLOOKUP(A172,'1. NAMA PESERTA'!$D$4:$E262,2,0)=B172,1,IF(VLOOKUP(A172,'1. NAMA PESERTA'!$D$4:$E262,2,0)=B172,0)*0)</f>
        <v>#N/A</v>
      </c>
    </row>
    <row r="173" spans="1:4" ht="15" thickBot="1">
      <c r="A173" s="282"/>
      <c r="B173" s="282"/>
      <c r="C173" s="226"/>
      <c r="D173" s="226"/>
    </row>
    <row r="174" spans="1:4" ht="15" thickBot="1">
      <c r="A174" s="282" t="s">
        <v>981</v>
      </c>
      <c r="B174" s="282" t="s">
        <v>744</v>
      </c>
      <c r="C174" s="228" t="s">
        <v>855</v>
      </c>
      <c r="D174" s="229" t="e">
        <f>IF(VLOOKUP(A174,'1. NAMA PESERTA'!$D$4:$E264,2,0)=B174,1,IF(VLOOKUP(A174,'1. NAMA PESERTA'!$D$4:$E264,2,0)=B174,0)*0)</f>
        <v>#N/A</v>
      </c>
    </row>
    <row r="175" spans="1:4">
      <c r="A175" s="288" t="s">
        <v>981</v>
      </c>
      <c r="B175" s="286" t="s">
        <v>746</v>
      </c>
      <c r="C175" s="228" t="s">
        <v>856</v>
      </c>
      <c r="D175" s="229" t="e">
        <f>IF(VLOOKUP(A175,'1. NAMA PESERTA'!$D$4:$E265,2,0)=B175,1,IF(VLOOKUP(A175,'1. NAMA PESERTA'!$D$4:$E265,2,0)=B175,0)*0)</f>
        <v>#N/A</v>
      </c>
    </row>
    <row r="176" spans="1:4" ht="15" thickBot="1">
      <c r="A176" s="282"/>
      <c r="B176" s="282"/>
      <c r="C176" s="226"/>
      <c r="D176" s="226"/>
    </row>
    <row r="177" spans="1:4" ht="15" thickBot="1">
      <c r="A177" s="282" t="s">
        <v>982</v>
      </c>
      <c r="B177" s="282" t="s">
        <v>744</v>
      </c>
      <c r="C177" s="228" t="s">
        <v>857</v>
      </c>
      <c r="D177" s="229" t="e">
        <f>IF(VLOOKUP(A177,'1. NAMA PESERTA'!$D$4:$E267,2,0)=B177,1,IF(VLOOKUP(A177,'1. NAMA PESERTA'!$D$4:$E267,2,0)=B177,0)*0)</f>
        <v>#N/A</v>
      </c>
    </row>
    <row r="178" spans="1:4">
      <c r="A178" s="288" t="s">
        <v>982</v>
      </c>
      <c r="B178" s="286" t="s">
        <v>746</v>
      </c>
      <c r="C178" s="228" t="s">
        <v>817</v>
      </c>
      <c r="D178" s="229" t="e">
        <f>IF(VLOOKUP(A178,'1. NAMA PESERTA'!$D$4:$E268,2,0)=B178,1,IF(VLOOKUP(A178,'1. NAMA PESERTA'!$D$4:$E268,2,0)=B178,0)*0)</f>
        <v>#N/A</v>
      </c>
    </row>
    <row r="179" spans="1:4" ht="15" thickBot="1">
      <c r="A179" s="282"/>
      <c r="B179" s="282"/>
      <c r="C179" s="226"/>
      <c r="D179" s="226"/>
    </row>
    <row r="180" spans="1:4" ht="15" thickBot="1">
      <c r="A180" s="282" t="s">
        <v>983</v>
      </c>
      <c r="B180" s="282" t="s">
        <v>744</v>
      </c>
      <c r="C180" s="228" t="s">
        <v>858</v>
      </c>
      <c r="D180" s="229" t="e">
        <f>IF(VLOOKUP(A180,'1. NAMA PESERTA'!$D$4:$E270,2,0)=B180,1,IF(VLOOKUP(A180,'1. NAMA PESERTA'!$D$4:$E270,2,0)=B180,0)*0)</f>
        <v>#N/A</v>
      </c>
    </row>
    <row r="181" spans="1:4">
      <c r="A181" s="288" t="s">
        <v>983</v>
      </c>
      <c r="B181" s="286" t="s">
        <v>746</v>
      </c>
      <c r="C181" s="228" t="s">
        <v>859</v>
      </c>
      <c r="D181" s="229" t="e">
        <f>IF(VLOOKUP(A181,'1. NAMA PESERTA'!$D$4:$E271,2,0)=B181,1,IF(VLOOKUP(A181,'1. NAMA PESERTA'!$D$4:$E271,2,0)=B181,0)*0)</f>
        <v>#N/A</v>
      </c>
    </row>
    <row r="182" spans="1:4" ht="15" thickBot="1">
      <c r="A182" s="282"/>
      <c r="B182" s="282"/>
      <c r="C182" s="226"/>
      <c r="D182" s="226"/>
    </row>
    <row r="183" spans="1:4" ht="15" thickBot="1">
      <c r="A183" s="282" t="s">
        <v>984</v>
      </c>
      <c r="B183" s="282" t="s">
        <v>744</v>
      </c>
      <c r="C183" s="228" t="s">
        <v>860</v>
      </c>
      <c r="D183" s="229" t="e">
        <f>IF(VLOOKUP(A183,'1. NAMA PESERTA'!$D$4:$E273,2,0)=B183,1,IF(VLOOKUP(A183,'1. NAMA PESERTA'!$D$4:$E273,2,0)=B183,0)*0)</f>
        <v>#N/A</v>
      </c>
    </row>
    <row r="184" spans="1:4">
      <c r="A184" s="288" t="s">
        <v>984</v>
      </c>
      <c r="B184" s="286" t="s">
        <v>746</v>
      </c>
      <c r="C184" s="228" t="s">
        <v>861</v>
      </c>
      <c r="D184" s="229" t="e">
        <f>IF(VLOOKUP(A184,'1. NAMA PESERTA'!$D$4:$E274,2,0)=B184,1,IF(VLOOKUP(A184,'1. NAMA PESERTA'!$D$4:$E274,2,0)=B184,0)*0)</f>
        <v>#N/A</v>
      </c>
    </row>
    <row r="185" spans="1:4" ht="15" thickBot="1">
      <c r="A185" s="282"/>
      <c r="B185" s="282"/>
      <c r="C185" s="226"/>
      <c r="D185" s="226"/>
    </row>
    <row r="186" spans="1:4" ht="15" thickBot="1">
      <c r="A186" s="282" t="s">
        <v>985</v>
      </c>
      <c r="B186" s="282" t="s">
        <v>744</v>
      </c>
      <c r="C186" s="228" t="s">
        <v>862</v>
      </c>
      <c r="D186" s="229" t="e">
        <f>IF(VLOOKUP(A186,'1. NAMA PESERTA'!$D$4:$E276,2,0)=B186,1,IF(VLOOKUP(A186,'1. NAMA PESERTA'!$D$4:$E276,2,0)=B186,0)*0)</f>
        <v>#N/A</v>
      </c>
    </row>
    <row r="187" spans="1:4">
      <c r="A187" s="288" t="s">
        <v>985</v>
      </c>
      <c r="B187" s="286" t="s">
        <v>746</v>
      </c>
      <c r="C187" s="228" t="s">
        <v>863</v>
      </c>
      <c r="D187" s="229" t="e">
        <f>IF(VLOOKUP(A187,'1. NAMA PESERTA'!$D$4:$E277,2,0)=B187,1,IF(VLOOKUP(A187,'1. NAMA PESERTA'!$D$4:$E277,2,0)=B187,0)*0)</f>
        <v>#N/A</v>
      </c>
    </row>
    <row r="188" spans="1:4" ht="15" thickBot="1">
      <c r="A188" s="282"/>
      <c r="B188" s="282"/>
      <c r="C188" s="226"/>
      <c r="D188" s="226"/>
    </row>
    <row r="189" spans="1:4" ht="15" thickBot="1">
      <c r="A189" s="282" t="s">
        <v>986</v>
      </c>
      <c r="B189" s="282" t="s">
        <v>744</v>
      </c>
      <c r="C189" s="228" t="s">
        <v>864</v>
      </c>
      <c r="D189" s="229" t="e">
        <f>IF(VLOOKUP(A189,'1. NAMA PESERTA'!$D$4:$E279,2,0)=B189,1,IF(VLOOKUP(A189,'1. NAMA PESERTA'!$D$4:$E279,2,0)=B189,0)*0)</f>
        <v>#N/A</v>
      </c>
    </row>
    <row r="190" spans="1:4">
      <c r="A190" s="288" t="s">
        <v>986</v>
      </c>
      <c r="B190" s="286" t="s">
        <v>746</v>
      </c>
      <c r="C190" s="228" t="s">
        <v>865</v>
      </c>
      <c r="D190" s="229" t="e">
        <f>IF(VLOOKUP(A190,'1. NAMA PESERTA'!$D$4:$E280,2,0)=B190,1,IF(VLOOKUP(A190,'1. NAMA PESERTA'!$D$4:$E280,2,0)=B190,0)*0)</f>
        <v>#N/A</v>
      </c>
    </row>
    <row r="191" spans="1:4" ht="15" thickBot="1">
      <c r="A191" s="282"/>
      <c r="B191" s="282"/>
      <c r="C191" s="226"/>
      <c r="D191" s="226"/>
    </row>
    <row r="192" spans="1:4" ht="15" thickBot="1">
      <c r="A192" s="282" t="s">
        <v>987</v>
      </c>
      <c r="B192" s="282" t="s">
        <v>744</v>
      </c>
      <c r="C192" s="228" t="s">
        <v>866</v>
      </c>
      <c r="D192" s="229" t="e">
        <f>IF(VLOOKUP(A192,'1. NAMA PESERTA'!$D$4:$E282,2,0)=B192,1,IF(VLOOKUP(A192,'1. NAMA PESERTA'!$D$4:$E282,2,0)=B192,0)*0)</f>
        <v>#N/A</v>
      </c>
    </row>
    <row r="193" spans="1:4">
      <c r="A193" s="288" t="s">
        <v>987</v>
      </c>
      <c r="B193" s="286" t="s">
        <v>746</v>
      </c>
      <c r="C193" s="228" t="s">
        <v>867</v>
      </c>
      <c r="D193" s="229" t="e">
        <f>IF(VLOOKUP(A193,'1. NAMA PESERTA'!$D$4:$E283,2,0)=B193,1,IF(VLOOKUP(A193,'1. NAMA PESERTA'!$D$4:$E283,2,0)=B193,0)*0)</f>
        <v>#N/A</v>
      </c>
    </row>
    <row r="194" spans="1:4" ht="15" thickBot="1">
      <c r="A194" s="282"/>
      <c r="B194" s="282"/>
      <c r="C194" s="226"/>
      <c r="D194" s="226"/>
    </row>
    <row r="195" spans="1:4" ht="15" thickBot="1">
      <c r="A195" s="282" t="s">
        <v>988</v>
      </c>
      <c r="B195" s="282" t="s">
        <v>744</v>
      </c>
      <c r="C195" s="228" t="s">
        <v>868</v>
      </c>
      <c r="D195" s="229" t="e">
        <f>IF(VLOOKUP(A195,'1. NAMA PESERTA'!$D$4:$E285,2,0)=B195,1,IF(VLOOKUP(A195,'1. NAMA PESERTA'!$D$4:$E285,2,0)=B195,0)*0)</f>
        <v>#N/A</v>
      </c>
    </row>
    <row r="196" spans="1:4">
      <c r="A196" s="288" t="s">
        <v>988</v>
      </c>
      <c r="B196" s="286" t="s">
        <v>746</v>
      </c>
      <c r="C196" s="228" t="s">
        <v>869</v>
      </c>
      <c r="D196" s="229" t="e">
        <f>IF(VLOOKUP(A196,'1. NAMA PESERTA'!$D$4:$E286,2,0)=B196,1,IF(VLOOKUP(A196,'1. NAMA PESERTA'!$D$4:$E286,2,0)=B196,0)*0)</f>
        <v>#N/A</v>
      </c>
    </row>
    <row r="197" spans="1:4" ht="15" thickBot="1">
      <c r="A197" s="282"/>
      <c r="B197" s="282"/>
      <c r="C197" s="226"/>
      <c r="D197" s="226"/>
    </row>
    <row r="198" spans="1:4" ht="15" thickBot="1">
      <c r="A198" s="282" t="s">
        <v>989</v>
      </c>
      <c r="B198" s="282" t="s">
        <v>744</v>
      </c>
      <c r="C198" s="228" t="s">
        <v>870</v>
      </c>
      <c r="D198" s="229" t="e">
        <f>IF(VLOOKUP(A198,'1. NAMA PESERTA'!$D$4:$E288,2,0)=B198,1,IF(VLOOKUP(A198,'1. NAMA PESERTA'!$D$4:$E288,2,0)=B198,0)*0)</f>
        <v>#N/A</v>
      </c>
    </row>
    <row r="199" spans="1:4">
      <c r="A199" s="288" t="s">
        <v>989</v>
      </c>
      <c r="B199" s="286" t="s">
        <v>746</v>
      </c>
      <c r="C199" s="228" t="s">
        <v>871</v>
      </c>
      <c r="D199" s="229" t="e">
        <f>IF(VLOOKUP(A199,'1. NAMA PESERTA'!$D$4:$E289,2,0)=B199,1,IF(VLOOKUP(A199,'1. NAMA PESERTA'!$D$4:$E289,2,0)=B199,0)*0)</f>
        <v>#N/A</v>
      </c>
    </row>
    <row r="200" spans="1:4" ht="15" thickBot="1">
      <c r="A200" s="282"/>
      <c r="B200" s="282"/>
      <c r="C200" s="226"/>
      <c r="D200" s="226"/>
    </row>
    <row r="201" spans="1:4" ht="15" thickBot="1">
      <c r="A201" s="282" t="s">
        <v>990</v>
      </c>
      <c r="B201" s="282" t="s">
        <v>744</v>
      </c>
      <c r="C201" s="228" t="s">
        <v>872</v>
      </c>
      <c r="D201" s="229" t="e">
        <f>IF(VLOOKUP(A201,'1. NAMA PESERTA'!$D$4:$E291,2,0)=B201,1,IF(VLOOKUP(A201,'1. NAMA PESERTA'!$D$4:$E291,2,0)=B201,0)*0)</f>
        <v>#N/A</v>
      </c>
    </row>
    <row r="202" spans="1:4">
      <c r="A202" s="288" t="s">
        <v>990</v>
      </c>
      <c r="B202" s="286" t="s">
        <v>746</v>
      </c>
      <c r="C202" s="228" t="s">
        <v>873</v>
      </c>
      <c r="D202" s="229" t="e">
        <f>IF(VLOOKUP(A202,'1. NAMA PESERTA'!$D$4:$E292,2,0)=B202,1,IF(VLOOKUP(A202,'1. NAMA PESERTA'!$D$4:$E292,2,0)=B202,0)*0)</f>
        <v>#N/A</v>
      </c>
    </row>
    <row r="203" spans="1:4" ht="15" thickBot="1">
      <c r="A203" s="282"/>
      <c r="B203" s="282"/>
      <c r="C203" s="226"/>
      <c r="D203" s="226"/>
    </row>
    <row r="204" spans="1:4" ht="15" thickBot="1">
      <c r="A204" s="282" t="s">
        <v>991</v>
      </c>
      <c r="B204" s="282" t="s">
        <v>744</v>
      </c>
      <c r="C204" s="228" t="s">
        <v>874</v>
      </c>
      <c r="D204" s="229" t="e">
        <f>IF(VLOOKUP(A204,'1. NAMA PESERTA'!$D$4:$E294,2,0)=B204,1,IF(VLOOKUP(A204,'1. NAMA PESERTA'!$D$4:$E294,2,0)=B204,0)*0)</f>
        <v>#N/A</v>
      </c>
    </row>
    <row r="205" spans="1:4">
      <c r="A205" s="288" t="s">
        <v>991</v>
      </c>
      <c r="B205" s="286" t="s">
        <v>746</v>
      </c>
      <c r="C205" s="228" t="s">
        <v>875</v>
      </c>
      <c r="D205" s="229" t="e">
        <f>IF(VLOOKUP(A205,'1. NAMA PESERTA'!$D$4:$E295,2,0)=B205,1,IF(VLOOKUP(A205,'1. NAMA PESERTA'!$D$4:$E295,2,0)=B205,0)*0)</f>
        <v>#N/A</v>
      </c>
    </row>
    <row r="206" spans="1:4" ht="15" thickBot="1">
      <c r="A206" s="282"/>
      <c r="B206" s="282"/>
      <c r="C206" s="226"/>
      <c r="D206" s="226"/>
    </row>
    <row r="207" spans="1:4" ht="15" thickBot="1">
      <c r="A207" s="282" t="s">
        <v>992</v>
      </c>
      <c r="B207" s="282" t="s">
        <v>744</v>
      </c>
      <c r="C207" s="228" t="s">
        <v>876</v>
      </c>
      <c r="D207" s="229" t="e">
        <f>IF(VLOOKUP(A207,'1. NAMA PESERTA'!$D$4:$E297,2,0)=B207,1,IF(VLOOKUP(A207,'1. NAMA PESERTA'!$D$4:$E297,2,0)=B207,0)*0)</f>
        <v>#N/A</v>
      </c>
    </row>
    <row r="208" spans="1:4">
      <c r="A208" s="288" t="s">
        <v>992</v>
      </c>
      <c r="B208" s="286" t="s">
        <v>746</v>
      </c>
      <c r="C208" s="228" t="s">
        <v>877</v>
      </c>
      <c r="D208" s="229" t="e">
        <f>IF(VLOOKUP(A208,'1. NAMA PESERTA'!$D$4:$E298,2,0)=B208,1,IF(VLOOKUP(A208,'1. NAMA PESERTA'!$D$4:$E298,2,0)=B208,0)*0)</f>
        <v>#N/A</v>
      </c>
    </row>
    <row r="209" spans="1:4" ht="15" thickBot="1">
      <c r="A209" s="282"/>
      <c r="B209" s="282"/>
      <c r="C209" s="226"/>
      <c r="D209" s="226"/>
    </row>
    <row r="210" spans="1:4" ht="15" thickBot="1">
      <c r="A210" s="282" t="s">
        <v>993</v>
      </c>
      <c r="B210" s="282" t="s">
        <v>744</v>
      </c>
      <c r="C210" s="228" t="s">
        <v>878</v>
      </c>
      <c r="D210" s="229" t="e">
        <f>IF(VLOOKUP(A210,'1. NAMA PESERTA'!$D$4:$E300,2,0)=B210,1,IF(VLOOKUP(A210,'1. NAMA PESERTA'!$D$4:$E300,2,0)=B210,0)*0)</f>
        <v>#N/A</v>
      </c>
    </row>
    <row r="211" spans="1:4">
      <c r="A211" s="288" t="s">
        <v>993</v>
      </c>
      <c r="B211" s="286" t="s">
        <v>746</v>
      </c>
      <c r="C211" s="228" t="s">
        <v>879</v>
      </c>
      <c r="D211" s="229" t="e">
        <f>IF(VLOOKUP(A211,'1. NAMA PESERTA'!$D$4:$E301,2,0)=B211,1,IF(VLOOKUP(A211,'1. NAMA PESERTA'!$D$4:$E301,2,0)=B211,0)*0)</f>
        <v>#N/A</v>
      </c>
    </row>
    <row r="212" spans="1:4" ht="15" thickBot="1">
      <c r="A212" s="282"/>
      <c r="B212" s="282"/>
      <c r="C212" s="226"/>
      <c r="D212" s="226"/>
    </row>
    <row r="213" spans="1:4" ht="15" thickBot="1">
      <c r="A213" s="282" t="s">
        <v>994</v>
      </c>
      <c r="B213" s="282" t="s">
        <v>744</v>
      </c>
      <c r="C213" s="228" t="s">
        <v>880</v>
      </c>
      <c r="D213" s="229" t="e">
        <f>IF(VLOOKUP(A213,'1. NAMA PESERTA'!$D$4:$E303,2,0)=B213,1,IF(VLOOKUP(A213,'1. NAMA PESERTA'!$D$4:$E303,2,0)=B213,0)*0)</f>
        <v>#N/A</v>
      </c>
    </row>
    <row r="214" spans="1:4">
      <c r="A214" s="288" t="s">
        <v>994</v>
      </c>
      <c r="B214" s="286" t="s">
        <v>746</v>
      </c>
      <c r="C214" s="228" t="s">
        <v>881</v>
      </c>
      <c r="D214" s="229" t="e">
        <f>IF(VLOOKUP(A214,'1. NAMA PESERTA'!$D$4:$E304,2,0)=B214,1,IF(VLOOKUP(A214,'1. NAMA PESERTA'!$D$4:$E304,2,0)=B214,0)*0)</f>
        <v>#N/A</v>
      </c>
    </row>
    <row r="215" spans="1:4" ht="15" thickBot="1">
      <c r="A215" s="282"/>
      <c r="B215" s="282"/>
      <c r="C215" s="226"/>
      <c r="D215" s="226"/>
    </row>
    <row r="216" spans="1:4" ht="15" thickBot="1">
      <c r="A216" s="282" t="s">
        <v>995</v>
      </c>
      <c r="B216" s="282" t="s">
        <v>744</v>
      </c>
      <c r="C216" s="228" t="s">
        <v>882</v>
      </c>
      <c r="D216" s="229" t="e">
        <f>IF(VLOOKUP(A216,'1. NAMA PESERTA'!$D$4:$E306,2,0)=B216,1,IF(VLOOKUP(A216,'1. NAMA PESERTA'!$D$4:$E306,2,0)=B216,0)*0)</f>
        <v>#N/A</v>
      </c>
    </row>
    <row r="217" spans="1:4">
      <c r="A217" s="288" t="s">
        <v>995</v>
      </c>
      <c r="B217" s="286" t="s">
        <v>746</v>
      </c>
      <c r="C217" s="228" t="s">
        <v>883</v>
      </c>
      <c r="D217" s="229" t="e">
        <f>IF(VLOOKUP(A217,'1. NAMA PESERTA'!$D$4:$E307,2,0)=B217,1,IF(VLOOKUP(A217,'1. NAMA PESERTA'!$D$4:$E307,2,0)=B217,0)*0)</f>
        <v>#N/A</v>
      </c>
    </row>
    <row r="218" spans="1:4" ht="15" thickBot="1">
      <c r="A218" s="282"/>
      <c r="B218" s="282"/>
      <c r="C218" s="226"/>
      <c r="D218" s="226"/>
    </row>
    <row r="219" spans="1:4" ht="15" thickBot="1">
      <c r="A219" s="282" t="s">
        <v>996</v>
      </c>
      <c r="B219" s="282" t="s">
        <v>744</v>
      </c>
      <c r="C219" s="228" t="s">
        <v>884</v>
      </c>
      <c r="D219" s="229" t="e">
        <f>IF(VLOOKUP(A219,'1. NAMA PESERTA'!$D$4:$E309,2,0)=B219,1,IF(VLOOKUP(A219,'1. NAMA PESERTA'!$D$4:$E309,2,0)=B219,0)*0)</f>
        <v>#N/A</v>
      </c>
    </row>
    <row r="220" spans="1:4">
      <c r="A220" s="288" t="s">
        <v>996</v>
      </c>
      <c r="B220" s="286" t="s">
        <v>746</v>
      </c>
      <c r="C220" s="228" t="s">
        <v>790</v>
      </c>
      <c r="D220" s="229" t="e">
        <f>IF(VLOOKUP(A220,'1. NAMA PESERTA'!$D$4:$E310,2,0)=B220,1,IF(VLOOKUP(A220,'1. NAMA PESERTA'!$D$4:$E310,2,0)=B220,0)*0)</f>
        <v>#N/A</v>
      </c>
    </row>
    <row r="221" spans="1:4" ht="15" thickBot="1">
      <c r="A221" s="282"/>
      <c r="B221" s="282"/>
      <c r="C221" s="226"/>
      <c r="D221" s="226"/>
    </row>
    <row r="222" spans="1:4" ht="15" thickBot="1">
      <c r="A222" s="282" t="s">
        <v>997</v>
      </c>
      <c r="B222" s="282" t="s">
        <v>744</v>
      </c>
      <c r="C222" s="228" t="s">
        <v>885</v>
      </c>
      <c r="D222" s="229" t="e">
        <f>IF(VLOOKUP(A222,'1. NAMA PESERTA'!$D$4:$E312,2,0)=B222,1,IF(VLOOKUP(A222,'1. NAMA PESERTA'!$D$4:$E312,2,0)=B222,0)*0)</f>
        <v>#N/A</v>
      </c>
    </row>
    <row r="223" spans="1:4">
      <c r="A223" s="288" t="s">
        <v>997</v>
      </c>
      <c r="B223" s="286" t="s">
        <v>746</v>
      </c>
      <c r="C223" s="228" t="s">
        <v>844</v>
      </c>
      <c r="D223" s="229" t="e">
        <f>IF(VLOOKUP(A223,'1. NAMA PESERTA'!$D$4:$E313,2,0)=B223,1,IF(VLOOKUP(A223,'1. NAMA PESERTA'!$D$4:$E313,2,0)=B223,0)*0)</f>
        <v>#N/A</v>
      </c>
    </row>
    <row r="224" spans="1:4" ht="15" thickBot="1">
      <c r="A224" s="282"/>
      <c r="B224" s="282"/>
      <c r="C224" s="226"/>
      <c r="D224" s="226"/>
    </row>
    <row r="225" spans="1:4" ht="15" thickBot="1">
      <c r="A225" s="282" t="s">
        <v>998</v>
      </c>
      <c r="B225" s="282" t="s">
        <v>744</v>
      </c>
      <c r="C225" s="228" t="s">
        <v>886</v>
      </c>
      <c r="D225" s="229" t="e">
        <f>IF(VLOOKUP(A225,'1. NAMA PESERTA'!$D$4:$E315,2,0)=B225,1,IF(VLOOKUP(A225,'1. NAMA PESERTA'!$D$4:$E315,2,0)=B225,0)*0)</f>
        <v>#N/A</v>
      </c>
    </row>
    <row r="226" spans="1:4">
      <c r="A226" s="288" t="s">
        <v>998</v>
      </c>
      <c r="B226" s="286" t="s">
        <v>746</v>
      </c>
      <c r="C226" s="228" t="s">
        <v>887</v>
      </c>
      <c r="D226" s="229" t="e">
        <f>IF(VLOOKUP(A226,'1. NAMA PESERTA'!$D$4:$E316,2,0)=B226,1,IF(VLOOKUP(A226,'1. NAMA PESERTA'!$D$4:$E316,2,0)=B226,0)*0)</f>
        <v>#N/A</v>
      </c>
    </row>
    <row r="227" spans="1:4" ht="15" thickBot="1">
      <c r="A227" s="282"/>
      <c r="B227" s="282"/>
      <c r="C227" s="226"/>
      <c r="D227" s="226"/>
    </row>
    <row r="228" spans="1:4" ht="15" thickBot="1">
      <c r="A228" s="282" t="s">
        <v>999</v>
      </c>
      <c r="B228" s="282" t="s">
        <v>744</v>
      </c>
      <c r="C228" s="228" t="s">
        <v>888</v>
      </c>
      <c r="D228" s="229" t="e">
        <f>IF(VLOOKUP(A228,'1. NAMA PESERTA'!$D$4:$E318,2,0)=B228,1,IF(VLOOKUP(A228,'1. NAMA PESERTA'!$D$4:$E318,2,0)=B228,0)*0)</f>
        <v>#N/A</v>
      </c>
    </row>
    <row r="229" spans="1:4">
      <c r="A229" s="288" t="s">
        <v>999</v>
      </c>
      <c r="B229" s="286" t="s">
        <v>746</v>
      </c>
      <c r="C229" s="228" t="s">
        <v>889</v>
      </c>
      <c r="D229" s="229" t="e">
        <f>IF(VLOOKUP(A229,'1. NAMA PESERTA'!$D$4:$E319,2,0)=B229,1,IF(VLOOKUP(A229,'1. NAMA PESERTA'!$D$4:$E319,2,0)=B229,0)*0)</f>
        <v>#N/A</v>
      </c>
    </row>
    <row r="230" spans="1:4" ht="15" thickBot="1">
      <c r="A230" s="288"/>
      <c r="B230" s="282"/>
      <c r="C230" s="226"/>
      <c r="D230" s="226"/>
    </row>
    <row r="231" spans="1:4" ht="15" thickBot="1">
      <c r="A231" s="282" t="s">
        <v>1000</v>
      </c>
      <c r="B231" s="282" t="s">
        <v>744</v>
      </c>
      <c r="C231" s="228" t="s">
        <v>890</v>
      </c>
      <c r="D231" s="229" t="e">
        <f>IF(VLOOKUP(A231,'1. NAMA PESERTA'!$D$4:$E321,2,0)=B231,1,IF(VLOOKUP(A231,'1. NAMA PESERTA'!$D$4:$E321,2,0)=B231,0)*0)</f>
        <v>#N/A</v>
      </c>
    </row>
    <row r="232" spans="1:4">
      <c r="A232" s="288" t="s">
        <v>1000</v>
      </c>
      <c r="B232" s="286" t="s">
        <v>746</v>
      </c>
      <c r="C232" s="228" t="s">
        <v>891</v>
      </c>
      <c r="D232" s="229" t="e">
        <f>IF(VLOOKUP(A232,'1. NAMA PESERTA'!$D$4:$E322,2,0)=B232,1,IF(VLOOKUP(A232,'1. NAMA PESERTA'!$D$4:$E322,2,0)=B232,0)*0)</f>
        <v>#N/A</v>
      </c>
    </row>
    <row r="233" spans="1:4" ht="15" thickBot="1">
      <c r="A233" s="282"/>
      <c r="B233" s="282"/>
      <c r="C233" s="226"/>
      <c r="D233" s="226"/>
    </row>
    <row r="234" spans="1:4" ht="15" thickBot="1">
      <c r="A234" s="282" t="s">
        <v>1001</v>
      </c>
      <c r="B234" s="282" t="s">
        <v>744</v>
      </c>
      <c r="C234" s="228" t="s">
        <v>892</v>
      </c>
      <c r="D234" s="229" t="e">
        <f>IF(VLOOKUP(A234,'1. NAMA PESERTA'!$D$4:$E324,2,0)=B234,1,IF(VLOOKUP(A234,'1. NAMA PESERTA'!$D$4:$E324,2,0)=B234,0)*0)</f>
        <v>#N/A</v>
      </c>
    </row>
    <row r="235" spans="1:4">
      <c r="A235" s="288" t="s">
        <v>1001</v>
      </c>
      <c r="B235" s="286" t="s">
        <v>746</v>
      </c>
      <c r="C235" s="228" t="s">
        <v>893</v>
      </c>
      <c r="D235" s="229" t="e">
        <f>IF(VLOOKUP(A235,'1. NAMA PESERTA'!$D$4:$E325,2,0)=B235,1,IF(VLOOKUP(A235,'1. NAMA PESERTA'!$D$4:$E325,2,0)=B235,0)*0)</f>
        <v>#N/A</v>
      </c>
    </row>
    <row r="236" spans="1:4" ht="15" thickBot="1">
      <c r="A236" s="282"/>
      <c r="B236" s="282"/>
      <c r="C236" s="226"/>
      <c r="D236" s="226"/>
    </row>
    <row r="237" spans="1:4" ht="15" thickBot="1">
      <c r="A237" s="282" t="s">
        <v>1002</v>
      </c>
      <c r="B237" s="282" t="s">
        <v>744</v>
      </c>
      <c r="C237" s="228" t="s">
        <v>894</v>
      </c>
      <c r="D237" s="229" t="e">
        <f>IF(VLOOKUP(A237,'1. NAMA PESERTA'!$D$4:$E327,2,0)=B237,1,IF(VLOOKUP(A237,'1. NAMA PESERTA'!$D$4:$E327,2,0)=B237,0)*0)</f>
        <v>#N/A</v>
      </c>
    </row>
    <row r="238" spans="1:4">
      <c r="A238" s="288" t="s">
        <v>1002</v>
      </c>
      <c r="B238" s="286" t="s">
        <v>746</v>
      </c>
      <c r="C238" s="228" t="s">
        <v>895</v>
      </c>
      <c r="D238" s="229" t="e">
        <f>IF(VLOOKUP(A238,'1. NAMA PESERTA'!$D$4:$E328,2,0)=B238,1,IF(VLOOKUP(A238,'1. NAMA PESERTA'!$D$4:$E328,2,0)=B238,0)*0)</f>
        <v>#N/A</v>
      </c>
    </row>
    <row r="239" spans="1:4" ht="15" thickBot="1">
      <c r="A239" s="282"/>
      <c r="B239" s="282"/>
      <c r="C239" s="226"/>
      <c r="D239" s="226"/>
    </row>
    <row r="240" spans="1:4" ht="15" thickBot="1">
      <c r="A240" s="282" t="s">
        <v>1003</v>
      </c>
      <c r="B240" s="282" t="s">
        <v>744</v>
      </c>
      <c r="C240" s="228" t="s">
        <v>896</v>
      </c>
      <c r="D240" s="229" t="e">
        <f>IF(VLOOKUP(A240,'1. NAMA PESERTA'!$D$4:$E330,2,0)=B240,1,IF(VLOOKUP(A240,'1. NAMA PESERTA'!$D$4:$E330,2,0)=B240,0)*0)</f>
        <v>#N/A</v>
      </c>
    </row>
    <row r="241" spans="1:4">
      <c r="A241" s="288" t="s">
        <v>1003</v>
      </c>
      <c r="B241" s="286" t="s">
        <v>746</v>
      </c>
      <c r="C241" s="228" t="s">
        <v>897</v>
      </c>
      <c r="D241" s="229" t="e">
        <f>IF(VLOOKUP(A241,'1. NAMA PESERTA'!$D$4:$E331,2,0)=B241,1,IF(VLOOKUP(A241,'1. NAMA PESERTA'!$D$4:$E331,2,0)=B241,0)*0)</f>
        <v>#N/A</v>
      </c>
    </row>
    <row r="242" spans="1:4" ht="15" thickBot="1">
      <c r="A242" s="282"/>
      <c r="B242" s="282"/>
      <c r="C242" s="226"/>
      <c r="D242" s="226"/>
    </row>
    <row r="243" spans="1:4" ht="15" thickBot="1">
      <c r="A243" s="282" t="s">
        <v>1004</v>
      </c>
      <c r="B243" s="282" t="s">
        <v>744</v>
      </c>
      <c r="C243" s="228" t="s">
        <v>898</v>
      </c>
      <c r="D243" s="229" t="e">
        <f>IF(VLOOKUP(A243,'1. NAMA PESERTA'!$D$4:$E333,2,0)=B243,1,IF(VLOOKUP(A243,'1. NAMA PESERTA'!$D$4:$E333,2,0)=B243,0)*0)</f>
        <v>#N/A</v>
      </c>
    </row>
    <row r="244" spans="1:4">
      <c r="A244" s="288" t="s">
        <v>1004</v>
      </c>
      <c r="B244" s="286" t="s">
        <v>746</v>
      </c>
      <c r="C244" s="228" t="s">
        <v>788</v>
      </c>
      <c r="D244" s="229" t="e">
        <f>IF(VLOOKUP(A244,'1. NAMA PESERTA'!$D$4:$E334,2,0)=B244,1,IF(VLOOKUP(A244,'1. NAMA PESERTA'!$D$4:$E334,2,0)=B244,0)*0)</f>
        <v>#N/A</v>
      </c>
    </row>
    <row r="245" spans="1:4" ht="15" thickBot="1">
      <c r="A245" s="282"/>
      <c r="B245" s="282"/>
      <c r="C245" s="226"/>
      <c r="D245" s="226"/>
    </row>
    <row r="246" spans="1:4" ht="15" thickBot="1">
      <c r="A246" s="282" t="s">
        <v>1005</v>
      </c>
      <c r="B246" s="282" t="s">
        <v>744</v>
      </c>
      <c r="C246" s="228" t="s">
        <v>899</v>
      </c>
      <c r="D246" s="229" t="e">
        <f>IF(VLOOKUP(A246,'1. NAMA PESERTA'!$D$4:$E336,2,0)=B246,1,IF(VLOOKUP(A246,'1. NAMA PESERTA'!$D$4:$E336,2,0)=B246,0)*0)</f>
        <v>#N/A</v>
      </c>
    </row>
    <row r="247" spans="1:4">
      <c r="A247" s="288" t="s">
        <v>1005</v>
      </c>
      <c r="B247" s="286" t="s">
        <v>746</v>
      </c>
      <c r="C247" s="228" t="s">
        <v>900</v>
      </c>
      <c r="D247" s="229" t="e">
        <f>IF(VLOOKUP(A247,'1. NAMA PESERTA'!$D$4:$E337,2,0)=B247,1,IF(VLOOKUP(A247,'1. NAMA PESERTA'!$D$4:$E337,2,0)=B247,0)*0)</f>
        <v>#N/A</v>
      </c>
    </row>
    <row r="248" spans="1:4" ht="15" thickBot="1">
      <c r="A248" s="282"/>
      <c r="B248" s="282"/>
      <c r="C248" s="226"/>
      <c r="D248" s="226"/>
    </row>
    <row r="249" spans="1:4" ht="15" thickBot="1">
      <c r="A249" s="282" t="s">
        <v>1006</v>
      </c>
      <c r="B249" s="282" t="s">
        <v>744</v>
      </c>
      <c r="C249" s="228" t="s">
        <v>901</v>
      </c>
      <c r="D249" s="229" t="e">
        <f>IF(VLOOKUP(A249,'1. NAMA PESERTA'!$D$4:$E339,2,0)=B249,1,IF(VLOOKUP(A249,'1. NAMA PESERTA'!$D$4:$E339,2,0)=B249,0)*0)</f>
        <v>#N/A</v>
      </c>
    </row>
    <row r="250" spans="1:4">
      <c r="A250" s="288" t="s">
        <v>1006</v>
      </c>
      <c r="B250" s="286" t="s">
        <v>746</v>
      </c>
      <c r="C250" s="228" t="s">
        <v>902</v>
      </c>
      <c r="D250" s="229" t="e">
        <f>IF(VLOOKUP(A250,'1. NAMA PESERTA'!$D$4:$E340,2,0)=B250,1,IF(VLOOKUP(A250,'1. NAMA PESERTA'!$D$4:$E340,2,0)=B250,0)*0)</f>
        <v>#N/A</v>
      </c>
    </row>
    <row r="251" spans="1:4" ht="15" thickBot="1">
      <c r="A251" s="282"/>
      <c r="B251" s="282"/>
      <c r="C251" s="226"/>
      <c r="D251" s="226"/>
    </row>
    <row r="252" spans="1:4" ht="15" thickBot="1">
      <c r="A252" s="282" t="s">
        <v>1007</v>
      </c>
      <c r="B252" s="282" t="s">
        <v>744</v>
      </c>
      <c r="C252" s="228" t="s">
        <v>903</v>
      </c>
      <c r="D252" s="229" t="e">
        <f>IF(VLOOKUP(A252,'1. NAMA PESERTA'!$D$4:$E342,2,0)=B252,1,IF(VLOOKUP(A252,'1. NAMA PESERTA'!$D$4:$E342,2,0)=B252,0)*0)</f>
        <v>#N/A</v>
      </c>
    </row>
    <row r="253" spans="1:4">
      <c r="A253" s="288" t="s">
        <v>1007</v>
      </c>
      <c r="B253" s="286" t="s">
        <v>746</v>
      </c>
      <c r="C253" s="228" t="s">
        <v>904</v>
      </c>
      <c r="D253" s="229" t="e">
        <f>IF(VLOOKUP(A253,'1. NAMA PESERTA'!$D$4:$E343,2,0)=B253,1,IF(VLOOKUP(A253,'1. NAMA PESERTA'!$D$4:$E343,2,0)=B253,0)*0)</f>
        <v>#N/A</v>
      </c>
    </row>
    <row r="254" spans="1:4" ht="15" thickBot="1">
      <c r="A254" s="282"/>
      <c r="B254" s="282"/>
      <c r="C254" s="226"/>
      <c r="D254" s="226"/>
    </row>
    <row r="255" spans="1:4" ht="15" thickBot="1">
      <c r="A255" s="282" t="s">
        <v>1008</v>
      </c>
      <c r="B255" s="282" t="s">
        <v>744</v>
      </c>
      <c r="C255" s="228" t="s">
        <v>905</v>
      </c>
      <c r="D255" s="229" t="e">
        <f>IF(VLOOKUP(A255,'1. NAMA PESERTA'!$D$4:$E345,2,0)=B255,1,IF(VLOOKUP(A255,'1. NAMA PESERTA'!$D$4:$E345,2,0)=B255,0)*0)</f>
        <v>#N/A</v>
      </c>
    </row>
    <row r="256" spans="1:4">
      <c r="A256" s="288" t="s">
        <v>1008</v>
      </c>
      <c r="B256" s="286" t="s">
        <v>746</v>
      </c>
      <c r="C256" s="228" t="s">
        <v>906</v>
      </c>
      <c r="D256" s="229" t="e">
        <f>IF(VLOOKUP(A256,'1. NAMA PESERTA'!$D$4:$E346,2,0)=B256,1,IF(VLOOKUP(A256,'1. NAMA PESERTA'!$D$4:$E346,2,0)=B256,0)*0)</f>
        <v>#N/A</v>
      </c>
    </row>
    <row r="257" spans="1:4" ht="15" thickBot="1">
      <c r="A257" s="282"/>
      <c r="B257" s="282"/>
      <c r="C257" s="226"/>
      <c r="D257" s="226"/>
    </row>
    <row r="258" spans="1:4" ht="15" thickBot="1">
      <c r="A258" s="282" t="s">
        <v>1009</v>
      </c>
      <c r="B258" s="282" t="s">
        <v>744</v>
      </c>
      <c r="C258" s="228" t="s">
        <v>907</v>
      </c>
      <c r="D258" s="229" t="e">
        <f>IF(VLOOKUP(A258,'1. NAMA PESERTA'!$D$4:$E348,2,0)=B258,1,IF(VLOOKUP(A258,'1. NAMA PESERTA'!$D$4:$E348,2,0)=B258,0)*0)</f>
        <v>#N/A</v>
      </c>
    </row>
    <row r="259" spans="1:4">
      <c r="A259" s="288" t="s">
        <v>1009</v>
      </c>
      <c r="B259" s="286" t="s">
        <v>746</v>
      </c>
      <c r="C259" s="228" t="s">
        <v>887</v>
      </c>
      <c r="D259" s="229" t="e">
        <f>IF(VLOOKUP(A259,'1. NAMA PESERTA'!$D$4:$E349,2,0)=B259,1,IF(VLOOKUP(A259,'1. NAMA PESERTA'!$D$4:$E349,2,0)=B259,0)*0)</f>
        <v>#N/A</v>
      </c>
    </row>
    <row r="260" spans="1:4" ht="15" thickBot="1">
      <c r="A260" s="282"/>
      <c r="B260" s="282"/>
      <c r="C260" s="226"/>
      <c r="D260" s="226"/>
    </row>
    <row r="261" spans="1:4" ht="15" thickBot="1">
      <c r="A261" s="282" t="s">
        <v>1010</v>
      </c>
      <c r="B261" s="282" t="s">
        <v>744</v>
      </c>
      <c r="C261" s="228" t="s">
        <v>908</v>
      </c>
      <c r="D261" s="229" t="e">
        <f>IF(VLOOKUP(A261,'1. NAMA PESERTA'!$D$4:$E351,2,0)=B261,1,IF(VLOOKUP(A261,'1. NAMA PESERTA'!$D$4:$E351,2,0)=B261,0)*0)</f>
        <v>#N/A</v>
      </c>
    </row>
    <row r="262" spans="1:4">
      <c r="A262" s="288" t="s">
        <v>1010</v>
      </c>
      <c r="B262" s="286" t="s">
        <v>746</v>
      </c>
      <c r="C262" s="228" t="s">
        <v>909</v>
      </c>
      <c r="D262" s="229" t="e">
        <f>IF(VLOOKUP(A262,'1. NAMA PESERTA'!$D$4:$E352,2,0)=B262,1,IF(VLOOKUP(A262,'1. NAMA PESERTA'!$D$4:$E352,2,0)=B262,0)*0)</f>
        <v>#N/A</v>
      </c>
    </row>
    <row r="263" spans="1:4" ht="15" thickBot="1">
      <c r="A263" s="282"/>
      <c r="B263" s="282"/>
      <c r="C263" s="226"/>
      <c r="D263" s="226"/>
    </row>
    <row r="264" spans="1:4" ht="15" thickBot="1">
      <c r="A264" s="282" t="s">
        <v>1011</v>
      </c>
      <c r="B264" s="282" t="s">
        <v>744</v>
      </c>
      <c r="C264" s="228" t="s">
        <v>910</v>
      </c>
      <c r="D264" s="229" t="e">
        <f>IF(VLOOKUP(A264,'1. NAMA PESERTA'!$D$4:$E354,2,0)=B264,1,IF(VLOOKUP(A264,'1. NAMA PESERTA'!$D$4:$E354,2,0)=B264,0)*0)</f>
        <v>#N/A</v>
      </c>
    </row>
    <row r="265" spans="1:4">
      <c r="A265" s="288" t="s">
        <v>1011</v>
      </c>
      <c r="B265" s="286" t="s">
        <v>746</v>
      </c>
      <c r="C265" s="228" t="s">
        <v>911</v>
      </c>
      <c r="D265" s="229" t="e">
        <f>IF(VLOOKUP(A265,'1. NAMA PESERTA'!$D$4:$E355,2,0)=B265,1,IF(VLOOKUP(A265,'1. NAMA PESERTA'!$D$4:$E355,2,0)=B265,0)*0)</f>
        <v>#N/A</v>
      </c>
    </row>
    <row r="266" spans="1:4" ht="15" thickBot="1">
      <c r="A266" s="282"/>
      <c r="B266" s="282"/>
      <c r="C266" s="226"/>
      <c r="D266" s="226"/>
    </row>
    <row r="267" spans="1:4" ht="15" thickBot="1">
      <c r="A267" s="282" t="s">
        <v>1012</v>
      </c>
      <c r="B267" s="282" t="s">
        <v>744</v>
      </c>
      <c r="C267" s="228" t="s">
        <v>912</v>
      </c>
      <c r="D267" s="229" t="e">
        <f>IF(VLOOKUP(A267,'1. NAMA PESERTA'!$D$4:$E357,2,0)=B267,1,IF(VLOOKUP(A267,'1. NAMA PESERTA'!$D$4:$E357,2,0)=B267,0)*0)</f>
        <v>#N/A</v>
      </c>
    </row>
    <row r="268" spans="1:4">
      <c r="A268" s="288" t="s">
        <v>1012</v>
      </c>
      <c r="B268" s="286" t="s">
        <v>746</v>
      </c>
      <c r="C268" s="228" t="s">
        <v>873</v>
      </c>
      <c r="D268" s="229" t="e">
        <f>IF(VLOOKUP(A268,'1. NAMA PESERTA'!$D$4:$E358,2,0)=B268,1,IF(VLOOKUP(A268,'1. NAMA PESERTA'!$D$4:$E358,2,0)=B268,0)*0)</f>
        <v>#N/A</v>
      </c>
    </row>
    <row r="269" spans="1:4" ht="15" thickBot="1">
      <c r="A269" s="282"/>
      <c r="B269" s="282"/>
      <c r="C269" s="226"/>
      <c r="D269" s="226"/>
    </row>
    <row r="270" spans="1:4" ht="15" thickBot="1">
      <c r="A270" s="282" t="s">
        <v>1013</v>
      </c>
      <c r="B270" s="282" t="s">
        <v>744</v>
      </c>
      <c r="C270" s="228" t="s">
        <v>913</v>
      </c>
      <c r="D270" s="229" t="e">
        <f>IF(VLOOKUP(A270,'1. NAMA PESERTA'!$D$4:$E360,2,0)=B270,1,IF(VLOOKUP(A270,'1. NAMA PESERTA'!$D$4:$E360,2,0)=B270,0)*0)</f>
        <v>#N/A</v>
      </c>
    </row>
    <row r="271" spans="1:4">
      <c r="A271" s="288" t="s">
        <v>1013</v>
      </c>
      <c r="B271" s="286" t="s">
        <v>746</v>
      </c>
      <c r="C271" s="230" t="s">
        <v>914</v>
      </c>
      <c r="D271" s="229" t="e">
        <f>IF(VLOOKUP(A271,'1. NAMA PESERTA'!$D$4:$E361,2,0)=B271,1,IF(VLOOKUP(A271,'1. NAMA PESERTA'!$D$4:$E361,2,0)=B271,0)*0)</f>
        <v>#N/A</v>
      </c>
    </row>
    <row r="272" spans="1:4">
      <c r="B272" s="287"/>
    </row>
    <row r="273" spans="3:4">
      <c r="C273" s="232" t="s">
        <v>915</v>
      </c>
      <c r="D273" t="e">
        <f>D3+D4+D6+D7+D9+D10+D12+D13+D15+D16+D18+D19+D21+D22+D24+D25+D27+D28+D30+D31+D33+D34+D36+D37+D39+D40+D42+D43+D45+D46+D48+D49+D51+D52+D54+D55+D57+D58+D60+D61+D63+D64+D66+D67+D69+D70+D72+D73+D75+D76+D78+D79+D81+D82+D84+D85+D87+D88+D90+D91+D93+D94+D96+D97+D99+D100+D102+D103+D105+D106+D108+D109+D111+D112+D114+D115+D117+D118+D120+D121+D123+D124+D126+D127+D129+D130+D132+D133+D135+D136+D138+D139+D141+D142+D144+D145+D147+D148+D150+D151+D153+D154+D156+D157+D159+D160+D162+D163+D165+D166+D168+D169+D171+D172+D174+D175+D177+D178+D180+D181+D183+D184+D186+D187+D189+D190+D192+D193+D195+D196+D198+D199+D201+D202+D204+D205+D207+D208+D210+D211+D213+D214+D216+D217+D219+D220+D222+D223+D225+D226+D228+D229+D231+D232+D234+D235+D237+D238+D240+D241+D243+D244+D246+D247+D249+D250+D252+D253+D255+D256+D258+D259+D261+D262+D264+D265+D267+D268+D270+D271</f>
        <v>#N/A</v>
      </c>
    </row>
    <row r="274" spans="3:4">
      <c r="D274" s="233" t="s">
        <v>916</v>
      </c>
    </row>
    <row r="275" spans="3:4">
      <c r="D275" s="234" t="s">
        <v>917</v>
      </c>
    </row>
    <row r="276" spans="3:4">
      <c r="D276" s="234" t="s">
        <v>918</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72"/>
  <sheetViews>
    <sheetView workbookViewId="0">
      <selection activeCell="E4" sqref="E4"/>
    </sheetView>
  </sheetViews>
  <sheetFormatPr defaultRowHeight="14.4"/>
  <cols>
    <col min="1" max="2" width="4.33203125" customWidth="1"/>
    <col min="3" max="3" width="7.88671875" customWidth="1"/>
    <col min="4" max="4" width="10.109375" customWidth="1"/>
    <col min="5" max="5" width="3.6640625" customWidth="1"/>
    <col min="6" max="6" width="6.6640625" style="1" customWidth="1"/>
  </cols>
  <sheetData>
    <row r="2" spans="1:18" ht="31.2" thickBot="1">
      <c r="C2" s="235"/>
      <c r="D2" s="223" t="s">
        <v>919</v>
      </c>
      <c r="E2" s="223"/>
      <c r="F2" s="236"/>
    </row>
    <row r="3" spans="1:18">
      <c r="A3" s="231">
        <v>1</v>
      </c>
      <c r="B3" s="231" t="s">
        <v>744</v>
      </c>
      <c r="C3" s="220"/>
      <c r="D3" s="155" t="e">
        <f>'3. SOAL'!D3</f>
        <v>#N/A</v>
      </c>
      <c r="E3" s="237" t="s">
        <v>3</v>
      </c>
      <c r="F3" s="259"/>
      <c r="H3" s="238" t="s">
        <v>3</v>
      </c>
      <c r="I3" s="239" t="e">
        <f>D3+D33+D63+D93+D123+D153+D183+D213+D243</f>
        <v>#N/A</v>
      </c>
      <c r="J3" s="160"/>
      <c r="K3" s="238" t="s">
        <v>2</v>
      </c>
      <c r="L3" s="239" t="e">
        <f>D7+D40+D73+D106+D139+D172+D205+D238+D271</f>
        <v>#N/A</v>
      </c>
    </row>
    <row r="4" spans="1:18">
      <c r="A4" s="240"/>
      <c r="B4" s="241" t="s">
        <v>746</v>
      </c>
      <c r="C4" s="220"/>
      <c r="D4" s="155" t="e">
        <f>'3. SOAL'!D4</f>
        <v>#N/A</v>
      </c>
      <c r="E4" s="237" t="s">
        <v>48</v>
      </c>
      <c r="F4" s="269"/>
      <c r="H4" s="242" t="s">
        <v>25</v>
      </c>
      <c r="I4" s="243" t="e">
        <f>D36+D66+D96+D126+D156+D186+D216+D244+D246</f>
        <v>#N/A</v>
      </c>
      <c r="J4" s="160"/>
      <c r="K4" s="242" t="s">
        <v>1</v>
      </c>
      <c r="L4" s="243" t="e">
        <f>D6+D10+D43+D76+D109+D142+D175+D208+D241</f>
        <v>#N/A</v>
      </c>
    </row>
    <row r="5" spans="1:18">
      <c r="A5" s="231"/>
      <c r="B5" s="231"/>
      <c r="H5" s="242" t="s">
        <v>35</v>
      </c>
      <c r="I5" s="243" t="e">
        <f>D69+D99+D129+D159+D189+D214+D219+D247+D249</f>
        <v>#N/A</v>
      </c>
      <c r="J5" s="160"/>
      <c r="K5" s="242" t="s">
        <v>30</v>
      </c>
      <c r="L5" s="243" t="e">
        <f>D9+D13+D39+D46+D79+D112+D145+D178+D211</f>
        <v>#N/A</v>
      </c>
    </row>
    <row r="6" spans="1:18">
      <c r="A6" s="231">
        <v>2</v>
      </c>
      <c r="B6" s="231" t="s">
        <v>744</v>
      </c>
      <c r="C6" s="220"/>
      <c r="D6" s="155" t="e">
        <f>'3. SOAL'!D6</f>
        <v>#N/A</v>
      </c>
      <c r="E6" s="237" t="s">
        <v>1</v>
      </c>
      <c r="F6" s="271"/>
      <c r="H6" s="242" t="s">
        <v>16</v>
      </c>
      <c r="I6" s="243" t="e">
        <f>D102+D132+D162+D184+D192+D217+D222+D250+D252</f>
        <v>#N/A</v>
      </c>
      <c r="J6" s="160"/>
      <c r="K6" s="242" t="s">
        <v>45</v>
      </c>
      <c r="L6" s="243" t="e">
        <f>D12+D16+D42+D49+D72+D82+D115+D148+D181</f>
        <v>#N/A</v>
      </c>
    </row>
    <row r="7" spans="1:18">
      <c r="A7" s="240"/>
      <c r="B7" s="241" t="s">
        <v>746</v>
      </c>
      <c r="C7" s="220"/>
      <c r="D7" s="155" t="e">
        <f>'3. SOAL'!D7</f>
        <v>#N/A</v>
      </c>
      <c r="E7" s="237" t="s">
        <v>2</v>
      </c>
      <c r="F7" s="270"/>
      <c r="H7" s="242" t="s">
        <v>17</v>
      </c>
      <c r="I7" s="243" t="e">
        <f>D135+D154+D165+D187+D195+D220+D225+D253+D255</f>
        <v>#N/A</v>
      </c>
      <c r="J7" s="160"/>
      <c r="K7" s="242" t="s">
        <v>41</v>
      </c>
      <c r="L7" s="243" t="e">
        <f>D15+D19+D45+D52+D75+D85+D105+D118+D151</f>
        <v>#N/A</v>
      </c>
    </row>
    <row r="8" spans="1:18">
      <c r="A8" s="231"/>
      <c r="B8" s="231"/>
      <c r="H8" s="242" t="s">
        <v>39</v>
      </c>
      <c r="I8" s="243" t="e">
        <f>D124+D157+D168+D190+D198+D223+D228+D256+D258</f>
        <v>#N/A</v>
      </c>
      <c r="J8" s="160"/>
      <c r="K8" s="242" t="s">
        <v>43</v>
      </c>
      <c r="L8" s="243" t="e">
        <f>D18+D22+D48+D55+D78+D88+D108+D121+D138</f>
        <v>#N/A</v>
      </c>
    </row>
    <row r="9" spans="1:18">
      <c r="A9" s="231">
        <v>3</v>
      </c>
      <c r="B9" s="231" t="s">
        <v>744</v>
      </c>
      <c r="C9" s="220"/>
      <c r="D9" s="155" t="e">
        <f>'3. SOAL'!D9</f>
        <v>#N/A</v>
      </c>
      <c r="E9" s="237" t="s">
        <v>30</v>
      </c>
      <c r="F9" s="272"/>
      <c r="H9" s="242" t="s">
        <v>14</v>
      </c>
      <c r="I9" s="243" t="e">
        <f>D94+D127+D160+D193+D201+D226+D231+D259+D261</f>
        <v>#N/A</v>
      </c>
      <c r="J9" s="160"/>
      <c r="K9" s="242" t="s">
        <v>55</v>
      </c>
      <c r="L9" s="243" t="e">
        <f>D21+D25+D51+D58+D81+D91+D111+D141+D171</f>
        <v>#N/A</v>
      </c>
    </row>
    <row r="10" spans="1:18">
      <c r="A10" s="240"/>
      <c r="B10" s="241" t="s">
        <v>746</v>
      </c>
      <c r="C10" s="220"/>
      <c r="D10" s="155" t="e">
        <f>'3. SOAL'!D10</f>
        <v>#N/A</v>
      </c>
      <c r="E10" s="237" t="s">
        <v>1</v>
      </c>
      <c r="F10" s="271"/>
      <c r="H10" s="242" t="s">
        <v>5</v>
      </c>
      <c r="I10" s="243" t="e">
        <f>D64+D97+D130+D163+D196+D229+D234+D262+D264</f>
        <v>#N/A</v>
      </c>
      <c r="J10" s="160"/>
      <c r="K10" s="242" t="s">
        <v>51</v>
      </c>
      <c r="L10" s="243" t="e">
        <f>D24+D28+D54+D61+D84+D114+D144+D174+D204</f>
        <v>#N/A</v>
      </c>
    </row>
    <row r="11" spans="1:18">
      <c r="A11" s="231"/>
      <c r="B11" s="231"/>
      <c r="H11" s="242" t="s">
        <v>4</v>
      </c>
      <c r="I11" s="243" t="e">
        <f>D34+D67+D100+D133+D166+D199+D232+D265+D267</f>
        <v>#N/A</v>
      </c>
      <c r="J11" s="160"/>
      <c r="K11" s="242" t="s">
        <v>22</v>
      </c>
      <c r="L11" s="243" t="e">
        <f>D27+D31+D57+D87+D117+D147+D177+D207+D237</f>
        <v>#N/A</v>
      </c>
    </row>
    <row r="12" spans="1:18" ht="15" thickBot="1">
      <c r="A12" s="231">
        <v>4</v>
      </c>
      <c r="B12" s="231" t="s">
        <v>744</v>
      </c>
      <c r="C12" s="220"/>
      <c r="D12" s="155" t="e">
        <f>'3. SOAL'!D12</f>
        <v>#N/A</v>
      </c>
      <c r="E12" s="237" t="s">
        <v>45</v>
      </c>
      <c r="F12" s="273"/>
      <c r="H12" s="244" t="s">
        <v>48</v>
      </c>
      <c r="I12" s="245" t="e">
        <f>D4+D37+D70+D103+D136+D169+D202+D235+D268</f>
        <v>#N/A</v>
      </c>
      <c r="J12" s="160"/>
      <c r="K12" s="244" t="s">
        <v>19</v>
      </c>
      <c r="L12" s="245" t="e">
        <f>D30+D60+D90+D120+D150+D180+D210+D240+D270</f>
        <v>#N/A</v>
      </c>
    </row>
    <row r="13" spans="1:18" ht="15" thickBot="1">
      <c r="A13" s="240"/>
      <c r="B13" s="241" t="s">
        <v>746</v>
      </c>
      <c r="C13" s="220"/>
      <c r="D13" s="155" t="e">
        <f>'3. SOAL'!D13</f>
        <v>#N/A</v>
      </c>
      <c r="E13" s="237" t="s">
        <v>30</v>
      </c>
      <c r="F13" s="272"/>
      <c r="H13" s="246" t="s">
        <v>920</v>
      </c>
      <c r="I13" s="247" t="e">
        <f>I3+I4+I5+I6+I7+I8+I9+I10+I11+I12</f>
        <v>#N/A</v>
      </c>
      <c r="K13" s="248" t="s">
        <v>920</v>
      </c>
      <c r="L13" s="249" t="e">
        <f>L3+L4+L5+L6+L7+L8+L9+L10+L11+L12</f>
        <v>#N/A</v>
      </c>
      <c r="M13" s="216" t="s">
        <v>921</v>
      </c>
    </row>
    <row r="14" spans="1:18">
      <c r="A14" s="231"/>
      <c r="B14" s="231"/>
      <c r="H14" s="250" t="s">
        <v>915</v>
      </c>
      <c r="I14" s="250" t="e">
        <f>I13+L13</f>
        <v>#N/A</v>
      </c>
      <c r="M14" s="216" t="s">
        <v>916</v>
      </c>
    </row>
    <row r="15" spans="1:18">
      <c r="A15" s="231">
        <v>5</v>
      </c>
      <c r="B15" s="231" t="s">
        <v>744</v>
      </c>
      <c r="C15" s="220"/>
      <c r="D15" s="155" t="e">
        <f>'3. SOAL'!D15</f>
        <v>#N/A</v>
      </c>
      <c r="E15" s="237" t="s">
        <v>41</v>
      </c>
      <c r="F15" s="274"/>
    </row>
    <row r="16" spans="1:18">
      <c r="A16" s="240"/>
      <c r="B16" s="241" t="s">
        <v>746</v>
      </c>
      <c r="C16" s="220"/>
      <c r="D16" s="155" t="e">
        <f>'3. SOAL'!D16</f>
        <v>#N/A</v>
      </c>
      <c r="E16" s="237" t="s">
        <v>45</v>
      </c>
      <c r="F16" s="273"/>
      <c r="G16" s="155"/>
      <c r="H16" s="156" t="s">
        <v>3</v>
      </c>
      <c r="I16" s="156" t="s">
        <v>25</v>
      </c>
      <c r="J16" s="156" t="s">
        <v>35</v>
      </c>
      <c r="K16" s="156" t="s">
        <v>16</v>
      </c>
      <c r="L16" s="156" t="s">
        <v>17</v>
      </c>
      <c r="M16" s="156" t="s">
        <v>39</v>
      </c>
      <c r="N16" s="156" t="s">
        <v>14</v>
      </c>
      <c r="O16" s="156" t="s">
        <v>5</v>
      </c>
      <c r="P16" s="156" t="s">
        <v>4</v>
      </c>
      <c r="Q16" s="156" t="s">
        <v>48</v>
      </c>
      <c r="R16" s="160"/>
    </row>
    <row r="17" spans="1:19">
      <c r="A17" s="231"/>
      <c r="B17" s="231"/>
      <c r="G17" s="155">
        <v>1</v>
      </c>
      <c r="H17" s="155" t="e">
        <f>'3. SOAL'!D3</f>
        <v>#N/A</v>
      </c>
      <c r="I17" s="155" t="e">
        <f>'3. SOAL'!D36</f>
        <v>#N/A</v>
      </c>
      <c r="J17" s="155" t="e">
        <f>'3. SOAL'!D69</f>
        <v>#N/A</v>
      </c>
      <c r="K17" s="155" t="e">
        <f>'3. SOAL'!D102</f>
        <v>#N/A</v>
      </c>
      <c r="L17" s="155" t="e">
        <f>'3. SOAL'!D135</f>
        <v>#N/A</v>
      </c>
      <c r="M17" s="155" t="e">
        <f>'3. SOAL'!D124</f>
        <v>#N/A</v>
      </c>
      <c r="N17" s="155" t="e">
        <f>'3. SOAL'!D94</f>
        <v>#N/A</v>
      </c>
      <c r="O17" s="155" t="e">
        <f>'3. SOAL'!D64</f>
        <v>#N/A</v>
      </c>
      <c r="P17" s="155" t="e">
        <f>'3. SOAL'!D34</f>
        <v>#N/A</v>
      </c>
      <c r="Q17" s="155" t="e">
        <f>'3. SOAL'!D4</f>
        <v>#N/A</v>
      </c>
      <c r="R17" s="160"/>
    </row>
    <row r="18" spans="1:19">
      <c r="A18" s="231">
        <v>6</v>
      </c>
      <c r="B18" s="231" t="s">
        <v>744</v>
      </c>
      <c r="C18" s="220"/>
      <c r="D18" s="155" t="e">
        <f>'3. SOAL'!D18</f>
        <v>#N/A</v>
      </c>
      <c r="E18" s="280" t="s">
        <v>43</v>
      </c>
      <c r="F18" s="275"/>
      <c r="G18" s="155">
        <v>2</v>
      </c>
      <c r="H18" s="155" t="e">
        <f>'3. SOAL'!D33</f>
        <v>#N/A</v>
      </c>
      <c r="I18" s="155" t="e">
        <f>'3. SOAL'!D66</f>
        <v>#N/A</v>
      </c>
      <c r="J18" s="155" t="e">
        <f>'3. SOAL'!D99</f>
        <v>#N/A</v>
      </c>
      <c r="K18" s="155" t="e">
        <f>'3. SOAL'!D132</f>
        <v>#N/A</v>
      </c>
      <c r="L18" s="155" t="e">
        <f>'3. SOAL'!D154</f>
        <v>#N/A</v>
      </c>
      <c r="M18" s="155" t="e">
        <f>'3. SOAL'!D157</f>
        <v>#N/A</v>
      </c>
      <c r="N18" s="155" t="e">
        <f>'3. SOAL'!D127</f>
        <v>#N/A</v>
      </c>
      <c r="O18" s="155" t="e">
        <f>'3. SOAL'!D97</f>
        <v>#N/A</v>
      </c>
      <c r="P18" s="155" t="e">
        <f>'3. SOAL'!D67</f>
        <v>#N/A</v>
      </c>
      <c r="Q18" s="155" t="e">
        <f>'3. SOAL'!D37</f>
        <v>#N/A</v>
      </c>
      <c r="R18" s="160"/>
    </row>
    <row r="19" spans="1:19">
      <c r="A19" s="240"/>
      <c r="B19" s="241" t="s">
        <v>746</v>
      </c>
      <c r="C19" s="220"/>
      <c r="D19" s="155" t="e">
        <f>'3. SOAL'!D19</f>
        <v>#N/A</v>
      </c>
      <c r="E19" s="280" t="s">
        <v>41</v>
      </c>
      <c r="F19" s="274"/>
      <c r="G19" s="155">
        <v>3</v>
      </c>
      <c r="H19" s="155" t="e">
        <f>'3. SOAL'!D63</f>
        <v>#N/A</v>
      </c>
      <c r="I19" s="155" t="e">
        <f>'3. SOAL'!D96</f>
        <v>#N/A</v>
      </c>
      <c r="J19" s="155" t="e">
        <f>'3. SOAL'!D129</f>
        <v>#N/A</v>
      </c>
      <c r="K19" s="155" t="e">
        <f>'3. SOAL'!D162</f>
        <v>#N/A</v>
      </c>
      <c r="L19" s="155" t="e">
        <f>'3. SOAL'!D165</f>
        <v>#N/A</v>
      </c>
      <c r="M19" s="155" t="e">
        <f>'3. SOAL'!D168</f>
        <v>#N/A</v>
      </c>
      <c r="N19" s="155" t="e">
        <f>'3. SOAL'!D160</f>
        <v>#N/A</v>
      </c>
      <c r="O19" s="155" t="e">
        <f>'3. SOAL'!D130</f>
        <v>#N/A</v>
      </c>
      <c r="P19" s="155" t="e">
        <f>'3. SOAL'!D100</f>
        <v>#N/A</v>
      </c>
      <c r="Q19" s="155" t="e">
        <f>'3. SOAL'!D70</f>
        <v>#N/A</v>
      </c>
      <c r="R19" s="160"/>
    </row>
    <row r="20" spans="1:19">
      <c r="A20" s="231"/>
      <c r="B20" s="231"/>
      <c r="G20" s="155">
        <v>4</v>
      </c>
      <c r="H20" s="155" t="e">
        <f>'3. SOAL'!D93</f>
        <v>#N/A</v>
      </c>
      <c r="I20" s="155" t="e">
        <f>'3. SOAL'!D126</f>
        <v>#N/A</v>
      </c>
      <c r="J20" s="155" t="e">
        <f>'3. SOAL'!D159</f>
        <v>#N/A</v>
      </c>
      <c r="K20" s="155" t="e">
        <f>'3. SOAL'!D184</f>
        <v>#N/A</v>
      </c>
      <c r="L20" s="155" t="e">
        <f>'3. SOAL'!D187</f>
        <v>#N/A</v>
      </c>
      <c r="M20" s="155" t="e">
        <f>'3. SOAL'!D190</f>
        <v>#N/A</v>
      </c>
      <c r="N20" s="155" t="e">
        <f>'3. SOAL'!D193</f>
        <v>#N/A</v>
      </c>
      <c r="O20" s="155" t="e">
        <f>'3. SOAL'!D163</f>
        <v>#N/A</v>
      </c>
      <c r="P20" s="155" t="e">
        <f>'3. SOAL'!D133</f>
        <v>#N/A</v>
      </c>
      <c r="Q20" s="155" t="e">
        <f>'3. SOAL'!D103</f>
        <v>#N/A</v>
      </c>
      <c r="R20" s="160"/>
    </row>
    <row r="21" spans="1:19">
      <c r="A21" s="231">
        <v>7</v>
      </c>
      <c r="B21" s="231" t="s">
        <v>744</v>
      </c>
      <c r="C21" s="220"/>
      <c r="D21" s="155" t="e">
        <f>'3. SOAL'!D21</f>
        <v>#N/A</v>
      </c>
      <c r="E21" s="237" t="s">
        <v>55</v>
      </c>
      <c r="F21" s="276"/>
      <c r="G21" s="155">
        <v>5</v>
      </c>
      <c r="H21" s="155" t="e">
        <f>'3. SOAL'!D123</f>
        <v>#N/A</v>
      </c>
      <c r="I21" s="155" t="e">
        <f>'3. SOAL'!D156</f>
        <v>#N/A</v>
      </c>
      <c r="J21" s="155" t="e">
        <f>'3. SOAL'!D189</f>
        <v>#N/A</v>
      </c>
      <c r="K21" s="155" t="e">
        <f>'3. SOAL'!D192</f>
        <v>#N/A</v>
      </c>
      <c r="L21" s="155" t="e">
        <f>'3. SOAL'!D195</f>
        <v>#N/A</v>
      </c>
      <c r="M21" s="155" t="e">
        <f>'3. SOAL'!D198</f>
        <v>#N/A</v>
      </c>
      <c r="N21" s="155" t="e">
        <f>'3. SOAL'!D201</f>
        <v>#N/A</v>
      </c>
      <c r="O21" s="155" t="e">
        <f>'3. SOAL'!D196</f>
        <v>#N/A</v>
      </c>
      <c r="P21" s="155" t="e">
        <f>'3. SOAL'!D166</f>
        <v>#N/A</v>
      </c>
      <c r="Q21" s="155" t="e">
        <f>'3. SOAL'!D136</f>
        <v>#N/A</v>
      </c>
      <c r="R21" s="160"/>
    </row>
    <row r="22" spans="1:19">
      <c r="A22" s="240"/>
      <c r="B22" s="241" t="s">
        <v>746</v>
      </c>
      <c r="C22" s="220"/>
      <c r="D22" s="155" t="e">
        <f>'3. SOAL'!D22</f>
        <v>#N/A</v>
      </c>
      <c r="E22" s="237" t="s">
        <v>43</v>
      </c>
      <c r="F22" s="275"/>
      <c r="G22" s="155">
        <v>6</v>
      </c>
      <c r="H22" s="155" t="e">
        <f>'3. SOAL'!D153</f>
        <v>#N/A</v>
      </c>
      <c r="I22" s="155" t="e">
        <f>'3. SOAL'!D186</f>
        <v>#N/A</v>
      </c>
      <c r="J22" s="155" t="e">
        <f>'3. SOAL'!D214</f>
        <v>#N/A</v>
      </c>
      <c r="K22" s="155" t="e">
        <f>'3. SOAL'!D217</f>
        <v>#N/A</v>
      </c>
      <c r="L22" s="155" t="e">
        <f>'3. SOAL'!D220</f>
        <v>#N/A</v>
      </c>
      <c r="M22" s="155" t="e">
        <f>'3. SOAL'!D223</f>
        <v>#N/A</v>
      </c>
      <c r="N22" s="155" t="e">
        <f>'3. SOAL'!D226</f>
        <v>#N/A</v>
      </c>
      <c r="O22" s="155" t="e">
        <f>'3. SOAL'!D229</f>
        <v>#N/A</v>
      </c>
      <c r="P22" s="155" t="e">
        <f>'3. SOAL'!D199</f>
        <v>#N/A</v>
      </c>
      <c r="Q22" s="155" t="e">
        <f>'3. SOAL'!D169</f>
        <v>#N/A</v>
      </c>
      <c r="R22" s="160"/>
    </row>
    <row r="23" spans="1:19">
      <c r="A23" s="231"/>
      <c r="B23" s="231"/>
      <c r="G23" s="155">
        <v>7</v>
      </c>
      <c r="H23" s="155" t="e">
        <f>'3. SOAL'!D183</f>
        <v>#N/A</v>
      </c>
      <c r="I23" s="155" t="e">
        <f>'3. SOAL'!D216</f>
        <v>#N/A</v>
      </c>
      <c r="J23" s="155" t="e">
        <f>'3. SOAL'!D219</f>
        <v>#N/A</v>
      </c>
      <c r="K23" s="155" t="e">
        <f>'3. SOAL'!D222</f>
        <v>#N/A</v>
      </c>
      <c r="L23" s="155" t="e">
        <f>'3. SOAL'!D225</f>
        <v>#N/A</v>
      </c>
      <c r="M23" s="155" t="e">
        <f>'3. SOAL'!D228</f>
        <v>#N/A</v>
      </c>
      <c r="N23" s="155" t="e">
        <f>'3. SOAL'!D231</f>
        <v>#N/A</v>
      </c>
      <c r="O23" s="155" t="e">
        <f>'3. SOAL'!D234</f>
        <v>#N/A</v>
      </c>
      <c r="P23" s="155" t="e">
        <f>'3. SOAL'!D232</f>
        <v>#N/A</v>
      </c>
      <c r="Q23" s="155" t="e">
        <f>'3. SOAL'!D202</f>
        <v>#N/A</v>
      </c>
      <c r="R23" s="160"/>
    </row>
    <row r="24" spans="1:19">
      <c r="A24" s="231">
        <v>8</v>
      </c>
      <c r="B24" s="231" t="s">
        <v>744</v>
      </c>
      <c r="C24" s="220"/>
      <c r="D24" s="155" t="e">
        <f>'3. SOAL'!D24</f>
        <v>#N/A</v>
      </c>
      <c r="E24" s="237" t="s">
        <v>51</v>
      </c>
      <c r="F24" s="277"/>
      <c r="G24" s="155">
        <v>8</v>
      </c>
      <c r="H24" s="155" t="e">
        <f>'3. SOAL'!D213</f>
        <v>#N/A</v>
      </c>
      <c r="I24" s="155" t="e">
        <f>'3. SOAL'!D244</f>
        <v>#N/A</v>
      </c>
      <c r="J24" s="155" t="e">
        <f>'3. SOAL'!D247</f>
        <v>#N/A</v>
      </c>
      <c r="K24" s="155" t="e">
        <f>'3. SOAL'!D250</f>
        <v>#N/A</v>
      </c>
      <c r="L24" s="155" t="e">
        <f>'3. SOAL'!D253</f>
        <v>#N/A</v>
      </c>
      <c r="M24" s="155" t="e">
        <f>'3. SOAL'!D256</f>
        <v>#N/A</v>
      </c>
      <c r="N24" s="155" t="e">
        <f>'3. SOAL'!D259</f>
        <v>#N/A</v>
      </c>
      <c r="O24" s="155" t="e">
        <f>'3. SOAL'!D262</f>
        <v>#N/A</v>
      </c>
      <c r="P24" s="155" t="e">
        <f>'3. SOAL'!D265</f>
        <v>#N/A</v>
      </c>
      <c r="Q24" s="155" t="e">
        <f>'3. SOAL'!D235</f>
        <v>#N/A</v>
      </c>
      <c r="R24" s="160"/>
    </row>
    <row r="25" spans="1:19">
      <c r="A25" s="240"/>
      <c r="B25" s="241" t="s">
        <v>746</v>
      </c>
      <c r="C25" s="220"/>
      <c r="D25" s="155" t="e">
        <f>'3. SOAL'!D25</f>
        <v>#N/A</v>
      </c>
      <c r="E25" s="237" t="s">
        <v>55</v>
      </c>
      <c r="F25" s="276"/>
      <c r="G25" s="155">
        <v>9</v>
      </c>
      <c r="H25" s="155" t="e">
        <f>'3. SOAL'!D243</f>
        <v>#N/A</v>
      </c>
      <c r="I25" s="155" t="e">
        <f>'3. SOAL'!D246</f>
        <v>#N/A</v>
      </c>
      <c r="J25" s="155" t="e">
        <f>'3. SOAL'!D249</f>
        <v>#N/A</v>
      </c>
      <c r="K25" s="155" t="e">
        <f>'3. SOAL'!D252</f>
        <v>#N/A</v>
      </c>
      <c r="L25" s="155" t="e">
        <f>'3. SOAL'!D255</f>
        <v>#N/A</v>
      </c>
      <c r="M25" s="155" t="e">
        <f>'3. SOAL'!D258</f>
        <v>#N/A</v>
      </c>
      <c r="N25" s="155" t="e">
        <f>'3. SOAL'!D261</f>
        <v>#N/A</v>
      </c>
      <c r="O25" s="155" t="e">
        <f>'3. SOAL'!D264</f>
        <v>#N/A</v>
      </c>
      <c r="P25" s="155" t="e">
        <f>'3. SOAL'!D267</f>
        <v>#N/A</v>
      </c>
      <c r="Q25" s="155" t="e">
        <f>'3. SOAL'!D268</f>
        <v>#N/A</v>
      </c>
      <c r="R25" s="160"/>
    </row>
    <row r="26" spans="1:19">
      <c r="A26" s="231"/>
      <c r="B26" s="231"/>
      <c r="G26" s="251" t="s">
        <v>922</v>
      </c>
      <c r="H26" s="251" t="e">
        <f>H17+H18+H19+H20+H21+H22+H23+H24+H25</f>
        <v>#N/A</v>
      </c>
      <c r="I26" s="251" t="e">
        <f t="shared" ref="I26:Q26" si="0">I17+I18+I19+I20+I21+I22+I23+I24+I25</f>
        <v>#N/A</v>
      </c>
      <c r="J26" s="251" t="e">
        <f t="shared" si="0"/>
        <v>#N/A</v>
      </c>
      <c r="K26" s="251" t="e">
        <f t="shared" si="0"/>
        <v>#N/A</v>
      </c>
      <c r="L26" s="251" t="e">
        <f t="shared" si="0"/>
        <v>#N/A</v>
      </c>
      <c r="M26" s="251" t="e">
        <f t="shared" si="0"/>
        <v>#N/A</v>
      </c>
      <c r="N26" s="251" t="e">
        <f t="shared" si="0"/>
        <v>#N/A</v>
      </c>
      <c r="O26" s="251" t="e">
        <f t="shared" si="0"/>
        <v>#N/A</v>
      </c>
      <c r="P26" s="251" t="e">
        <f t="shared" si="0"/>
        <v>#N/A</v>
      </c>
      <c r="Q26" s="251" t="e">
        <f t="shared" si="0"/>
        <v>#N/A</v>
      </c>
      <c r="R26" s="252" t="e">
        <f>H26+I26+J26+K26+L26+M26+N26+O26+P26+Q26</f>
        <v>#N/A</v>
      </c>
      <c r="S26" s="216" t="s">
        <v>921</v>
      </c>
    </row>
    <row r="27" spans="1:19" ht="18">
      <c r="A27" s="231">
        <v>9</v>
      </c>
      <c r="B27" s="231" t="s">
        <v>744</v>
      </c>
      <c r="C27" s="220"/>
      <c r="D27" s="155" t="e">
        <f>'3. SOAL'!D27</f>
        <v>#N/A</v>
      </c>
      <c r="E27" s="237" t="s">
        <v>22</v>
      </c>
      <c r="F27" s="278"/>
      <c r="H27" s="253" t="e">
        <f>IF(H26=0,"G0",IF(H26=1,"G1",IF(H26=2,"G2",IF(H26=3,"G3",IF(H26=4,"G4",IF(H26=5,"G5",IF(H26=6,"G6",IF(H26=7,"G7",IF(H26=8,"G8",IF(H26=9,"G9"))))))))))</f>
        <v>#N/A</v>
      </c>
      <c r="I27" s="253" t="e">
        <f>IF(I26=0,"L0",IF(I26=1,"L1",IF(I26=2,"L2",IF(I26=3,"L3",IF(I26=4,"L4",IF(I26=5,"L5",IF(I26=6,"L6",IF(I26=7,"L7",IF(I26=8,"L8",IF(I26=9,"L9"))))))))))</f>
        <v>#N/A</v>
      </c>
      <c r="J27" s="253" t="e">
        <f>IF(J26=0,"I0",IF(J26=1,"I1",IF(J26=2,"I2",IF(J26=3,"I3",IF(J26=4,"I4",IF(J26=5,"I5",IF(J26=6,"I6",IF(J26=7,"I7",IF(J26=8,"I8",IF(J26=9,"I9"))))))))))</f>
        <v>#N/A</v>
      </c>
      <c r="K27" s="253" t="e">
        <f>IF(K26=0,"T0",IF(K26=1,"T1",IF(K26=2,"T2",IF(K26=3,"T3",IF(K26=4,"T4",IF(K26=5,"T5",IF(K26=6,"T6",IF(K26=7,"T7",IF(K26=8,"T8",IF(K26=9,"T9"))))))))))</f>
        <v>#N/A</v>
      </c>
      <c r="L27" s="253" t="e">
        <f>IF(L26=0,"V0",IF(L26=1,"V1",IF(L26=2,"V2",IF(L26=3,"V3",IF(L26=4,"V4",IF(L26=5,"V5",IF(L26=6,"V6",IF(L26=7,"V7",IF(L26=8,"V8",IF(L26=9,"V9"))))))))))</f>
        <v>#N/A</v>
      </c>
      <c r="M27" s="253" t="e">
        <f>IF(M26=0,"S0",IF(M26=1,"S1",IF(M26=2,"S2",IF(M26=3,"S3",IF(M26=4,"S4",IF(M26=5,"S5",IF(M26=6,"S6",IF(M26=7,"S7",IF(M26=8,"S8",IF(M26=9,"S9"))))))))))</f>
        <v>#N/A</v>
      </c>
      <c r="N27" s="253" t="e">
        <f>IF(N26=0,"R0",IF(N26=1,"R1",IF(N26=2,"R2",IF(N26=3,"R3",IF(N26=4,"R4",IF(N26=5,"R5",IF(N26=6,"R6",IF(N26=7,"R7",IF(N26=8,"R8",IF(N26=9,"R9"))))))))))</f>
        <v>#N/A</v>
      </c>
      <c r="O27" s="253" t="e">
        <f>IF(O26=0,"D0",IF(O26=1,"D1",IF(O26=2,"D2",IF(O26=3,"D3",IF(O26=4,"D4",IF(O26=5,"D5",IF(O26=6,"D6",IF(O26=7,"D7",IF(O26=8,"D8",IF(O26=9,"D9"))))))))))</f>
        <v>#N/A</v>
      </c>
      <c r="P27" s="253" t="e">
        <f>IF(P26=0,"C0",IF(P26=1,"C1",IF(P26=2,"C2",IF(P26=3,"C3",IF(P26=4,"C4",IF(P26=5,"C5",IF(P26=6,"C6",IF(P26=7,"C7",IF(P26=8,"C8",IF(P26=9,"C9"))))))))))</f>
        <v>#N/A</v>
      </c>
      <c r="Q27" s="253" t="e">
        <f>IF(Q26=0,"E0",IF(Q26=1,"E1",IF(Q26=2,"E2",IF(Q26=3,"E3",IF(Q26=4,"E4",IF(Q26=5,"E5",IF(Q26=6,"E6",IF(Q26=7,"E7",IF(Q26=8,"E8",IF(Q26=9,"E9"))))))))))</f>
        <v>#N/A</v>
      </c>
    </row>
    <row r="28" spans="1:19">
      <c r="A28" s="240"/>
      <c r="B28" s="241" t="s">
        <v>746</v>
      </c>
      <c r="C28" s="220"/>
      <c r="D28" s="155" t="e">
        <f>'3. SOAL'!D28</f>
        <v>#N/A</v>
      </c>
      <c r="E28" s="237" t="s">
        <v>51</v>
      </c>
      <c r="F28" s="277"/>
    </row>
    <row r="29" spans="1:19">
      <c r="A29" s="231"/>
      <c r="B29" s="231"/>
      <c r="G29" s="155"/>
      <c r="H29" s="156" t="s">
        <v>2</v>
      </c>
      <c r="I29" s="156" t="s">
        <v>1</v>
      </c>
      <c r="J29" s="156" t="s">
        <v>30</v>
      </c>
      <c r="K29" s="156" t="s">
        <v>45</v>
      </c>
      <c r="L29" s="156" t="s">
        <v>41</v>
      </c>
      <c r="M29" s="156" t="s">
        <v>43</v>
      </c>
      <c r="N29" s="156" t="s">
        <v>55</v>
      </c>
      <c r="O29" s="156" t="s">
        <v>51</v>
      </c>
      <c r="P29" s="156" t="s">
        <v>22</v>
      </c>
      <c r="Q29" s="156" t="s">
        <v>19</v>
      </c>
    </row>
    <row r="30" spans="1:19">
      <c r="A30" s="231">
        <v>10</v>
      </c>
      <c r="B30" s="231" t="s">
        <v>744</v>
      </c>
      <c r="C30" s="220"/>
      <c r="D30" s="155" t="e">
        <f>'3. SOAL'!D30</f>
        <v>#N/A</v>
      </c>
      <c r="E30" s="237" t="s">
        <v>19</v>
      </c>
      <c r="F30" s="279"/>
      <c r="G30" s="155">
        <v>1</v>
      </c>
      <c r="H30" s="155" t="e">
        <f>'3. SOAL'!D7</f>
        <v>#N/A</v>
      </c>
      <c r="I30" s="155" t="e">
        <f>'3. SOAL'!D6</f>
        <v>#N/A</v>
      </c>
      <c r="J30" s="155" t="e">
        <f>'3. SOAL'!D9</f>
        <v>#N/A</v>
      </c>
      <c r="K30" s="155" t="e">
        <f>'3. SOAL'!D12</f>
        <v>#N/A</v>
      </c>
      <c r="L30" s="155" t="e">
        <f>'3. SOAL'!D15</f>
        <v>#N/A</v>
      </c>
      <c r="M30" s="155" t="e">
        <f>'3. SOAL'!D18</f>
        <v>#N/A</v>
      </c>
      <c r="N30" s="155" t="e">
        <f>'3. SOAL'!D21</f>
        <v>#N/A</v>
      </c>
      <c r="O30" s="155" t="e">
        <f>'3. SOAL'!D24</f>
        <v>#N/A</v>
      </c>
      <c r="P30" s="155" t="e">
        <f>'3. SOAL'!D27</f>
        <v>#N/A</v>
      </c>
      <c r="Q30" s="155" t="e">
        <f>'3. SOAL'!D30</f>
        <v>#N/A</v>
      </c>
    </row>
    <row r="31" spans="1:19">
      <c r="A31" s="240"/>
      <c r="B31" s="241" t="s">
        <v>746</v>
      </c>
      <c r="C31" s="220"/>
      <c r="D31" s="155" t="e">
        <f>'3. SOAL'!D31</f>
        <v>#N/A</v>
      </c>
      <c r="E31" s="237" t="s">
        <v>22</v>
      </c>
      <c r="F31" s="278"/>
      <c r="G31" s="155">
        <v>2</v>
      </c>
      <c r="H31" s="155" t="e">
        <f>'3. SOAL'!D40</f>
        <v>#N/A</v>
      </c>
      <c r="I31" s="155" t="e">
        <f>'3. SOAL'!D10</f>
        <v>#N/A</v>
      </c>
      <c r="J31" s="155" t="e">
        <f>'3. SOAL'!D13</f>
        <v>#N/A</v>
      </c>
      <c r="K31" s="155" t="e">
        <f>'3. SOAL'!D16</f>
        <v>#N/A</v>
      </c>
      <c r="L31" s="155" t="e">
        <f>'3. SOAL'!D19</f>
        <v>#N/A</v>
      </c>
      <c r="M31" s="155" t="e">
        <f>'3. SOAL'!D22</f>
        <v>#N/A</v>
      </c>
      <c r="N31" s="155" t="e">
        <f>'3. SOAL'!D25</f>
        <v>#N/A</v>
      </c>
      <c r="O31" s="155" t="e">
        <f>'3. SOAL'!D28</f>
        <v>#N/A</v>
      </c>
      <c r="P31" s="155" t="e">
        <f>'3. SOAL'!D31</f>
        <v>#N/A</v>
      </c>
      <c r="Q31" s="155" t="e">
        <f>'3. SOAL'!D60</f>
        <v>#N/A</v>
      </c>
    </row>
    <row r="32" spans="1:19">
      <c r="A32" s="231"/>
      <c r="B32" s="231"/>
      <c r="G32" s="155">
        <v>3</v>
      </c>
      <c r="H32" s="155" t="e">
        <f>'3. SOAL'!D73</f>
        <v>#N/A</v>
      </c>
      <c r="I32" s="155" t="e">
        <f>'3. SOAL'!D43</f>
        <v>#N/A</v>
      </c>
      <c r="J32" s="155" t="e">
        <f>'3. SOAL'!D39</f>
        <v>#N/A</v>
      </c>
      <c r="K32" s="155" t="e">
        <f>'3. SOAL'!D42</f>
        <v>#N/A</v>
      </c>
      <c r="L32" s="155" t="e">
        <f>'3. SOAL'!D45</f>
        <v>#N/A</v>
      </c>
      <c r="M32" s="155" t="e">
        <f>'3. SOAL'!D48</f>
        <v>#N/A</v>
      </c>
      <c r="N32" s="155" t="e">
        <f>'3. SOAL'!D51</f>
        <v>#N/A</v>
      </c>
      <c r="O32" s="155" t="e">
        <f>'3. SOAL'!D54</f>
        <v>#N/A</v>
      </c>
      <c r="P32" s="155" t="e">
        <f>'3. SOAL'!D57</f>
        <v>#N/A</v>
      </c>
      <c r="Q32" s="155" t="e">
        <f>'3. SOAL'!D90</f>
        <v>#N/A</v>
      </c>
    </row>
    <row r="33" spans="1:19">
      <c r="A33" s="231">
        <v>11</v>
      </c>
      <c r="B33" s="231" t="s">
        <v>744</v>
      </c>
      <c r="C33" s="220"/>
      <c r="D33" s="155" t="e">
        <f>'3. SOAL'!D33</f>
        <v>#N/A</v>
      </c>
      <c r="E33" s="237" t="s">
        <v>3</v>
      </c>
      <c r="F33" s="260"/>
      <c r="G33" s="155">
        <v>4</v>
      </c>
      <c r="H33" s="155" t="e">
        <f>'3. SOAL'!D106</f>
        <v>#N/A</v>
      </c>
      <c r="I33" s="155" t="e">
        <f>'3. SOAL'!D76</f>
        <v>#N/A</v>
      </c>
      <c r="J33" s="155" t="e">
        <f>'3. SOAL'!D46</f>
        <v>#N/A</v>
      </c>
      <c r="K33" s="155" t="e">
        <f>'3. SOAL'!D49</f>
        <v>#N/A</v>
      </c>
      <c r="L33" s="155" t="e">
        <f>'3. SOAL'!D52</f>
        <v>#N/A</v>
      </c>
      <c r="M33" s="155" t="e">
        <f>'3. SOAL'!D55</f>
        <v>#N/A</v>
      </c>
      <c r="N33" s="155" t="e">
        <f>'3. SOAL'!D58</f>
        <v>#N/A</v>
      </c>
      <c r="O33" s="155" t="e">
        <f>'3. SOAL'!D61</f>
        <v>#N/A</v>
      </c>
      <c r="P33" s="155" t="e">
        <f>'3. SOAL'!D87</f>
        <v>#N/A</v>
      </c>
      <c r="Q33" s="155" t="e">
        <f>'3. SOAL'!D120</f>
        <v>#N/A</v>
      </c>
    </row>
    <row r="34" spans="1:19">
      <c r="A34" s="240"/>
      <c r="B34" s="241" t="s">
        <v>746</v>
      </c>
      <c r="C34" s="220"/>
      <c r="D34" s="155" t="e">
        <f>'3. SOAL'!D34</f>
        <v>#N/A</v>
      </c>
      <c r="E34" s="237" t="s">
        <v>4</v>
      </c>
      <c r="F34" s="268"/>
      <c r="G34" s="155">
        <v>5</v>
      </c>
      <c r="H34" s="155" t="e">
        <f>'3. SOAL'!D139</f>
        <v>#N/A</v>
      </c>
      <c r="I34" s="155" t="e">
        <f>'3. SOAL'!D109</f>
        <v>#N/A</v>
      </c>
      <c r="J34" s="155" t="e">
        <f>'3. SOAL'!D79</f>
        <v>#N/A</v>
      </c>
      <c r="K34" s="155" t="e">
        <f>'3. SOAL'!D72</f>
        <v>#N/A</v>
      </c>
      <c r="L34" s="155" t="e">
        <f>'3. SOAL'!D75</f>
        <v>#N/A</v>
      </c>
      <c r="M34" s="155" t="e">
        <f>'3. SOAL'!D78</f>
        <v>#N/A</v>
      </c>
      <c r="N34" s="155" t="e">
        <f>'3. SOAL'!D81</f>
        <v>#N/A</v>
      </c>
      <c r="O34" s="155" t="e">
        <f>'3. SOAL'!D84</f>
        <v>#N/A</v>
      </c>
      <c r="P34" s="155" t="e">
        <f>'3. SOAL'!D117</f>
        <v>#N/A</v>
      </c>
      <c r="Q34" s="155" t="e">
        <f>'3. SOAL'!D150</f>
        <v>#N/A</v>
      </c>
    </row>
    <row r="35" spans="1:19">
      <c r="A35" s="231"/>
      <c r="B35" s="231"/>
      <c r="G35" s="155">
        <v>6</v>
      </c>
      <c r="H35" s="155" t="e">
        <f>'3. SOAL'!D172</f>
        <v>#N/A</v>
      </c>
      <c r="I35" s="155" t="e">
        <f>'3. SOAL'!D142</f>
        <v>#N/A</v>
      </c>
      <c r="J35" s="155" t="e">
        <f>'3. SOAL'!D112</f>
        <v>#N/A</v>
      </c>
      <c r="K35" s="155" t="e">
        <f>'3. SOAL'!D82</f>
        <v>#N/A</v>
      </c>
      <c r="L35" s="155" t="e">
        <f>'3. SOAL'!D85</f>
        <v>#N/A</v>
      </c>
      <c r="M35" s="155" t="e">
        <f>'3. SOAL'!D88</f>
        <v>#N/A</v>
      </c>
      <c r="N35" s="155" t="e">
        <f>'3. SOAL'!D91</f>
        <v>#N/A</v>
      </c>
      <c r="O35" s="155" t="e">
        <f>'3. SOAL'!D114</f>
        <v>#N/A</v>
      </c>
      <c r="P35" s="155" t="e">
        <f>'3. SOAL'!D147</f>
        <v>#N/A</v>
      </c>
      <c r="Q35" s="155" t="e">
        <f>'3. SOAL'!D180</f>
        <v>#N/A</v>
      </c>
    </row>
    <row r="36" spans="1:19">
      <c r="A36" s="231">
        <v>12</v>
      </c>
      <c r="B36" s="231" t="s">
        <v>744</v>
      </c>
      <c r="C36" s="220"/>
      <c r="D36" s="155" t="e">
        <f>'3. SOAL'!D36</f>
        <v>#N/A</v>
      </c>
      <c r="E36" s="237" t="s">
        <v>25</v>
      </c>
      <c r="F36" s="261"/>
      <c r="G36" s="155">
        <v>7</v>
      </c>
      <c r="H36" s="155" t="e">
        <f>'3. SOAL'!D205</f>
        <v>#N/A</v>
      </c>
      <c r="I36" s="155" t="e">
        <f>'3. SOAL'!D175</f>
        <v>#N/A</v>
      </c>
      <c r="J36" s="155" t="e">
        <f>'3. SOAL'!D145</f>
        <v>#N/A</v>
      </c>
      <c r="K36" s="155" t="e">
        <f>'3. SOAL'!D115</f>
        <v>#N/A</v>
      </c>
      <c r="L36" s="155" t="e">
        <f>'3. SOAL'!D105</f>
        <v>#N/A</v>
      </c>
      <c r="M36" s="155" t="e">
        <f>'3. SOAL'!D108</f>
        <v>#N/A</v>
      </c>
      <c r="N36" s="155" t="e">
        <f>'3. SOAL'!D111</f>
        <v>#N/A</v>
      </c>
      <c r="O36" s="155" t="e">
        <f>'3. SOAL'!D144</f>
        <v>#N/A</v>
      </c>
      <c r="P36" s="155" t="e">
        <f>'3. SOAL'!D177</f>
        <v>#N/A</v>
      </c>
      <c r="Q36" s="155" t="e">
        <f>'3. SOAL'!D210</f>
        <v>#N/A</v>
      </c>
    </row>
    <row r="37" spans="1:19">
      <c r="A37" s="240"/>
      <c r="B37" s="241" t="s">
        <v>746</v>
      </c>
      <c r="C37" s="220"/>
      <c r="D37" s="155" t="e">
        <f>'3. SOAL'!D37</f>
        <v>#N/A</v>
      </c>
      <c r="E37" s="237" t="s">
        <v>48</v>
      </c>
      <c r="F37" s="269"/>
      <c r="G37" s="155">
        <v>8</v>
      </c>
      <c r="H37" s="155" t="e">
        <f>'3. SOAL'!D238</f>
        <v>#N/A</v>
      </c>
      <c r="I37" s="155" t="e">
        <f>'3. SOAL'!D208</f>
        <v>#N/A</v>
      </c>
      <c r="J37" s="155" t="e">
        <f>'3. SOAL'!D178</f>
        <v>#N/A</v>
      </c>
      <c r="K37" s="155" t="e">
        <f>'3. SOAL'!D148</f>
        <v>#N/A</v>
      </c>
      <c r="L37" s="155" t="e">
        <f>'3. SOAL'!D118</f>
        <v>#N/A</v>
      </c>
      <c r="M37" s="155" t="e">
        <f>'3. SOAL'!D121</f>
        <v>#N/A</v>
      </c>
      <c r="N37" s="155" t="e">
        <f>'3. SOAL'!D141</f>
        <v>#N/A</v>
      </c>
      <c r="O37" s="155" t="e">
        <f>'3. SOAL'!D174</f>
        <v>#N/A</v>
      </c>
      <c r="P37" s="155" t="e">
        <f>'3. SOAL'!D207</f>
        <v>#N/A</v>
      </c>
      <c r="Q37" s="155" t="e">
        <f>'3. SOAL'!D240</f>
        <v>#N/A</v>
      </c>
    </row>
    <row r="38" spans="1:19">
      <c r="A38" s="231"/>
      <c r="B38" s="231"/>
      <c r="G38" s="155">
        <v>9</v>
      </c>
      <c r="H38" s="155" t="e">
        <f>'3. SOAL'!D271</f>
        <v>#N/A</v>
      </c>
      <c r="I38" s="155" t="e">
        <f>'3. SOAL'!D241</f>
        <v>#N/A</v>
      </c>
      <c r="J38" s="155" t="e">
        <f>'3. SOAL'!D211</f>
        <v>#N/A</v>
      </c>
      <c r="K38" s="155" t="e">
        <f>'3. SOAL'!D181</f>
        <v>#N/A</v>
      </c>
      <c r="L38" s="155" t="e">
        <f>'3. SOAL'!D151</f>
        <v>#N/A</v>
      </c>
      <c r="M38" s="155" t="e">
        <f>'3. SOAL'!D138</f>
        <v>#N/A</v>
      </c>
      <c r="N38" s="155" t="e">
        <f>'3. SOAL'!D171</f>
        <v>#N/A</v>
      </c>
      <c r="O38" s="155" t="e">
        <f>'3. SOAL'!D204</f>
        <v>#N/A</v>
      </c>
      <c r="P38" s="155" t="e">
        <f>'3. SOAL'!D237</f>
        <v>#N/A</v>
      </c>
      <c r="Q38" s="155" t="e">
        <f>'3. SOAL'!D270</f>
        <v>#N/A</v>
      </c>
    </row>
    <row r="39" spans="1:19">
      <c r="A39" s="231">
        <v>13</v>
      </c>
      <c r="B39" s="231" t="s">
        <v>744</v>
      </c>
      <c r="C39" s="220"/>
      <c r="D39" s="155" t="e">
        <f>'3. SOAL'!D39</f>
        <v>#N/A</v>
      </c>
      <c r="E39" s="237" t="s">
        <v>30</v>
      </c>
      <c r="F39" s="272"/>
      <c r="G39" s="251" t="s">
        <v>922</v>
      </c>
      <c r="H39" s="251" t="e">
        <f>H30+H31+H32+H33+H34+H35+H36+H37+H38</f>
        <v>#N/A</v>
      </c>
      <c r="I39" s="251" t="e">
        <f t="shared" ref="I39:Q39" si="1">I30+I31+I32+I33+I34+I35+I36+I37+I38</f>
        <v>#N/A</v>
      </c>
      <c r="J39" s="251" t="e">
        <f t="shared" si="1"/>
        <v>#N/A</v>
      </c>
      <c r="K39" s="251" t="e">
        <f t="shared" si="1"/>
        <v>#N/A</v>
      </c>
      <c r="L39" s="251" t="e">
        <f t="shared" si="1"/>
        <v>#N/A</v>
      </c>
      <c r="M39" s="251" t="e">
        <f t="shared" si="1"/>
        <v>#N/A</v>
      </c>
      <c r="N39" s="251" t="e">
        <f t="shared" si="1"/>
        <v>#N/A</v>
      </c>
      <c r="O39" s="251" t="e">
        <f t="shared" si="1"/>
        <v>#N/A</v>
      </c>
      <c r="P39" s="251" t="e">
        <f t="shared" si="1"/>
        <v>#N/A</v>
      </c>
      <c r="Q39" s="251" t="e">
        <f t="shared" si="1"/>
        <v>#N/A</v>
      </c>
      <c r="R39" s="252" t="e">
        <f>H39+I39+J39+K39+L39+M39+N39+O39+P39+Q39</f>
        <v>#N/A</v>
      </c>
      <c r="S39" s="216" t="s">
        <v>921</v>
      </c>
    </row>
    <row r="40" spans="1:19" ht="18">
      <c r="A40" s="240"/>
      <c r="B40" s="241" t="s">
        <v>746</v>
      </c>
      <c r="C40" s="220"/>
      <c r="D40" s="155" t="e">
        <f>'3. SOAL'!D40</f>
        <v>#N/A</v>
      </c>
      <c r="E40" s="237" t="s">
        <v>2</v>
      </c>
      <c r="F40" s="270"/>
      <c r="H40" s="253" t="e">
        <f>IF(H39=0,"N0",IF(H39=1,"N1",IF(H39=2,"N2",IF(H39=3,"N3",IF(H39=4,"N4",IF(H39=5,"N5",IF(H39=6,"N6",IF(H39=7,"N7",IF(H39=8,"N8",IF(H39=9,"N9"))))))))))</f>
        <v>#N/A</v>
      </c>
      <c r="I40" s="253" t="e">
        <f>IF(I39=0,"A0",IF(I39=1,"A1",IF(I39=2,"A2",IF(I39=3,"A3",IF(I39=4,"A4",IF(I39=5,"A5",IF(I39=6,"A6",IF(I39=7,"A7",IF(I39=8,"A8",IF(I39=9,"A9"))))))))))</f>
        <v>#N/A</v>
      </c>
      <c r="J40" s="253" t="e">
        <f>IF(J39=0,"P0",IF(J39=1,"P1",IF(J39=2,"P2",IF(J39=3,"P3",IF(J39=4,"P4",IF(J39=5,"P5",IF(J39=6,"P6",IF(J39=7,"P7",IF(J39=8,"P8",IF(J39=9,"P9"))))))))))</f>
        <v>#N/A</v>
      </c>
      <c r="K40" s="253" t="e">
        <f>IF(K39=0,"X0",IF(K39=1,"X1",IF(K39=2,"X2",IF(K39=3,"X3",IF(K39=4,"X4",IF(K39=5,"X5",IF(K39=6,"X6",IF(K39=7,"X7",IF(K39=8,"X8",IF(K39=9,"X9"))))))))))</f>
        <v>#N/A</v>
      </c>
      <c r="L40" s="253" t="e">
        <f>IF(L39=0,"B0",IF(L39=1,"B1",IF(L39=2,"B2",IF(L39=3,"B3",IF(L39=4,"B4",IF(L39=5,"B5",IF(L39=6,"B6",IF(L39=7,"B7",IF(L39=8,"B8",IF(L39=9,"B9"))))))))))</f>
        <v>#N/A</v>
      </c>
      <c r="M40" s="253" t="e">
        <f>IF(M39=0,"O0",IF(M39=1,"O1",IF(M39=2,"O2",IF(M39=3,"O3",IF(M39=4,"O4",IF(M39=5,"O5",IF(M39=6,"O6",IF(M39=7,"O7",IF(M39=8,"O8",IF(M39=9,"O9"))))))))))</f>
        <v>#N/A</v>
      </c>
      <c r="N40" s="253" t="e">
        <f>IF(N39=0,"Z0",IF(N39=1,"Z1",IF(N39=2,"Z2",IF(N39=3,"Z3",IF(N39=4,"Z4",IF(N39=5,"Z5",IF(N39=6,"Z6",IF(N39=7,"Z7",IF(N39=8,"Z8",IF(N39=9,"Z9"))))))))))</f>
        <v>#N/A</v>
      </c>
      <c r="O40" s="253" t="e">
        <f>IF(O39=0,"K0",IF(O39=1,"K1",IF(O39=2,"K2",IF(O39=3,"K3",IF(O39=4,"K4",IF(O39=5,"K5",IF(O39=6,"K6",IF(O39=7,"K7",IF(O39=8,"K8",IF(O39=9,"K9"))))))))))</f>
        <v>#N/A</v>
      </c>
      <c r="P40" s="253" t="e">
        <f>IF(P39=0,"F0",IF(P39=1,"F1",IF(P39=2,"F2",IF(P39=3,"F3",IF(P39=4,"F4",IF(P39=5,"F5",IF(P39=6,"F6",IF(P39=7,"F7",IF(P39=8,"F8",IF(P39=9,"F9"))))))))))</f>
        <v>#N/A</v>
      </c>
      <c r="Q40" s="253" t="e">
        <f>IF(Q39=0,"W0",IF(Q39=1,"W1",IF(Q39=2,"W2",IF(Q39=3,"W3",IF(Q39=4,"W4",IF(Q39=5,"W5",IF(Q39=6,"W6",IF(Q39=7,"W7",IF(Q39=8,"W8",IF(Q39=9,"W9"))))))))))</f>
        <v>#N/A</v>
      </c>
      <c r="R40" s="254" t="e">
        <f>R26+R39</f>
        <v>#N/A</v>
      </c>
      <c r="S40" s="216" t="s">
        <v>916</v>
      </c>
    </row>
    <row r="41" spans="1:19">
      <c r="A41" s="231"/>
      <c r="B41" s="231"/>
    </row>
    <row r="42" spans="1:19">
      <c r="A42" s="231">
        <v>14</v>
      </c>
      <c r="B42" s="231" t="s">
        <v>744</v>
      </c>
      <c r="C42" s="220"/>
      <c r="D42" s="155" t="e">
        <f>'3. SOAL'!D42</f>
        <v>#N/A</v>
      </c>
      <c r="E42" s="237" t="s">
        <v>45</v>
      </c>
      <c r="F42" s="273"/>
    </row>
    <row r="43" spans="1:19">
      <c r="A43" s="240"/>
      <c r="B43" s="241" t="s">
        <v>746</v>
      </c>
      <c r="C43" s="220"/>
      <c r="D43" s="155" t="e">
        <f>'3. SOAL'!D43</f>
        <v>#N/A</v>
      </c>
      <c r="E43" s="237" t="s">
        <v>1</v>
      </c>
      <c r="F43" s="271"/>
    </row>
    <row r="44" spans="1:19">
      <c r="A44" s="231"/>
      <c r="B44" s="231"/>
    </row>
    <row r="45" spans="1:19">
      <c r="A45" s="231">
        <v>15</v>
      </c>
      <c r="B45" s="231" t="s">
        <v>744</v>
      </c>
      <c r="C45" s="220"/>
      <c r="D45" s="155" t="e">
        <f>'3. SOAL'!D45</f>
        <v>#N/A</v>
      </c>
      <c r="E45" s="237" t="s">
        <v>41</v>
      </c>
      <c r="F45" s="274"/>
    </row>
    <row r="46" spans="1:19">
      <c r="A46" s="240"/>
      <c r="B46" s="241" t="s">
        <v>746</v>
      </c>
      <c r="C46" s="220"/>
      <c r="D46" s="155" t="e">
        <f>'3. SOAL'!D46</f>
        <v>#N/A</v>
      </c>
      <c r="E46" s="237" t="s">
        <v>30</v>
      </c>
      <c r="F46" s="272"/>
    </row>
    <row r="47" spans="1:19">
      <c r="A47" s="231"/>
      <c r="B47" s="231"/>
    </row>
    <row r="48" spans="1:19">
      <c r="A48" s="231">
        <v>16</v>
      </c>
      <c r="B48" s="231" t="s">
        <v>744</v>
      </c>
      <c r="C48" s="220"/>
      <c r="D48" s="155" t="e">
        <f>'3. SOAL'!D48</f>
        <v>#N/A</v>
      </c>
      <c r="E48" s="237" t="s">
        <v>43</v>
      </c>
      <c r="F48" s="275"/>
    </row>
    <row r="49" spans="1:6">
      <c r="A49" s="240"/>
      <c r="B49" s="241" t="s">
        <v>746</v>
      </c>
      <c r="C49" s="220"/>
      <c r="D49" s="155" t="e">
        <f>'3. SOAL'!D49</f>
        <v>#N/A</v>
      </c>
      <c r="E49" s="237" t="s">
        <v>45</v>
      </c>
      <c r="F49" s="273"/>
    </row>
    <row r="50" spans="1:6">
      <c r="A50" s="231"/>
      <c r="B50" s="231"/>
    </row>
    <row r="51" spans="1:6">
      <c r="A51" s="231">
        <v>17</v>
      </c>
      <c r="B51" s="231" t="s">
        <v>744</v>
      </c>
      <c r="C51" s="220"/>
      <c r="D51" s="155" t="e">
        <f>'3. SOAL'!D51</f>
        <v>#N/A</v>
      </c>
      <c r="E51" s="237" t="s">
        <v>55</v>
      </c>
      <c r="F51" s="276"/>
    </row>
    <row r="52" spans="1:6">
      <c r="A52" s="240"/>
      <c r="B52" s="241" t="s">
        <v>746</v>
      </c>
      <c r="C52" s="220"/>
      <c r="D52" s="155" t="e">
        <f>'3. SOAL'!D52</f>
        <v>#N/A</v>
      </c>
      <c r="E52" s="237" t="s">
        <v>41</v>
      </c>
      <c r="F52" s="274"/>
    </row>
    <row r="53" spans="1:6">
      <c r="A53" s="231"/>
      <c r="B53" s="231"/>
    </row>
    <row r="54" spans="1:6">
      <c r="A54" s="231">
        <v>18</v>
      </c>
      <c r="B54" s="231" t="s">
        <v>744</v>
      </c>
      <c r="C54" s="220"/>
      <c r="D54" s="155" t="e">
        <f>'3. SOAL'!D54</f>
        <v>#N/A</v>
      </c>
      <c r="E54" s="237" t="s">
        <v>51</v>
      </c>
      <c r="F54" s="277"/>
    </row>
    <row r="55" spans="1:6">
      <c r="A55" s="240"/>
      <c r="B55" s="241" t="s">
        <v>746</v>
      </c>
      <c r="C55" s="220"/>
      <c r="D55" s="155" t="e">
        <f>'3. SOAL'!D55</f>
        <v>#N/A</v>
      </c>
      <c r="E55" s="237" t="s">
        <v>43</v>
      </c>
      <c r="F55" s="275"/>
    </row>
    <row r="56" spans="1:6">
      <c r="A56" s="231"/>
      <c r="B56" s="231"/>
    </row>
    <row r="57" spans="1:6">
      <c r="A57" s="231">
        <v>19</v>
      </c>
      <c r="B57" s="231" t="s">
        <v>744</v>
      </c>
      <c r="C57" s="220"/>
      <c r="D57" s="155" t="e">
        <f>'3. SOAL'!D57</f>
        <v>#N/A</v>
      </c>
      <c r="E57" s="237" t="s">
        <v>22</v>
      </c>
      <c r="F57" s="278"/>
    </row>
    <row r="58" spans="1:6">
      <c r="A58" s="240"/>
      <c r="B58" s="241" t="s">
        <v>746</v>
      </c>
      <c r="C58" s="220"/>
      <c r="D58" s="155" t="e">
        <f>'3. SOAL'!D58</f>
        <v>#N/A</v>
      </c>
      <c r="E58" s="237" t="s">
        <v>55</v>
      </c>
      <c r="F58" s="276"/>
    </row>
    <row r="59" spans="1:6">
      <c r="A59" s="231"/>
      <c r="B59" s="231"/>
    </row>
    <row r="60" spans="1:6">
      <c r="A60" s="231">
        <v>20</v>
      </c>
      <c r="B60" s="231" t="s">
        <v>744</v>
      </c>
      <c r="C60" s="220"/>
      <c r="D60" s="155" t="e">
        <f>'3. SOAL'!D60</f>
        <v>#N/A</v>
      </c>
      <c r="E60" s="237" t="s">
        <v>19</v>
      </c>
      <c r="F60" s="279"/>
    </row>
    <row r="61" spans="1:6">
      <c r="A61" s="240"/>
      <c r="B61" s="241" t="s">
        <v>746</v>
      </c>
      <c r="C61" s="220"/>
      <c r="D61" s="155" t="e">
        <f>'3. SOAL'!D61</f>
        <v>#N/A</v>
      </c>
      <c r="E61" s="237" t="s">
        <v>51</v>
      </c>
      <c r="F61" s="277"/>
    </row>
    <row r="62" spans="1:6">
      <c r="A62" s="231"/>
      <c r="B62" s="231"/>
    </row>
    <row r="63" spans="1:6">
      <c r="A63" s="231">
        <v>21</v>
      </c>
      <c r="B63" s="231" t="s">
        <v>744</v>
      </c>
      <c r="C63" s="220"/>
      <c r="D63" s="155" t="e">
        <f>'3. SOAL'!D63</f>
        <v>#N/A</v>
      </c>
      <c r="E63" s="237" t="s">
        <v>3</v>
      </c>
      <c r="F63" s="260"/>
    </row>
    <row r="64" spans="1:6">
      <c r="A64" s="240"/>
      <c r="B64" s="241" t="s">
        <v>746</v>
      </c>
      <c r="C64" s="220"/>
      <c r="D64" s="155" t="e">
        <f>'3. SOAL'!D64</f>
        <v>#N/A</v>
      </c>
      <c r="E64" s="237" t="s">
        <v>5</v>
      </c>
      <c r="F64" s="263"/>
    </row>
    <row r="65" spans="1:6">
      <c r="A65" s="231"/>
      <c r="B65" s="231"/>
    </row>
    <row r="66" spans="1:6">
      <c r="A66" s="231">
        <v>22</v>
      </c>
      <c r="B66" s="231" t="s">
        <v>744</v>
      </c>
      <c r="C66" s="220"/>
      <c r="D66" s="155" t="e">
        <f>'3. SOAL'!D66</f>
        <v>#N/A</v>
      </c>
      <c r="E66" s="237" t="s">
        <v>25</v>
      </c>
      <c r="F66" s="261"/>
    </row>
    <row r="67" spans="1:6">
      <c r="A67" s="240"/>
      <c r="B67" s="241" t="s">
        <v>746</v>
      </c>
      <c r="C67" s="220"/>
      <c r="D67" s="155" t="e">
        <f>'3. SOAL'!D67</f>
        <v>#N/A</v>
      </c>
      <c r="E67" s="237" t="s">
        <v>4</v>
      </c>
      <c r="F67" s="268"/>
    </row>
    <row r="68" spans="1:6">
      <c r="A68" s="231"/>
      <c r="B68" s="231"/>
    </row>
    <row r="69" spans="1:6">
      <c r="A69" s="231">
        <v>23</v>
      </c>
      <c r="B69" s="231" t="s">
        <v>744</v>
      </c>
      <c r="C69" s="220"/>
      <c r="D69" s="155" t="e">
        <f>'3. SOAL'!D69</f>
        <v>#N/A</v>
      </c>
      <c r="E69" s="237" t="s">
        <v>35</v>
      </c>
      <c r="F69" s="262"/>
    </row>
    <row r="70" spans="1:6">
      <c r="A70" s="240"/>
      <c r="B70" s="241" t="s">
        <v>746</v>
      </c>
      <c r="C70" s="220"/>
      <c r="D70" s="155" t="e">
        <f>'3. SOAL'!D70</f>
        <v>#N/A</v>
      </c>
      <c r="E70" s="237" t="s">
        <v>48</v>
      </c>
      <c r="F70" s="269"/>
    </row>
    <row r="71" spans="1:6">
      <c r="A71" s="231"/>
      <c r="B71" s="231"/>
    </row>
    <row r="72" spans="1:6">
      <c r="A72" s="231">
        <v>24</v>
      </c>
      <c r="B72" s="231" t="s">
        <v>744</v>
      </c>
      <c r="C72" s="220"/>
      <c r="D72" s="155" t="e">
        <f>'3. SOAL'!D72</f>
        <v>#N/A</v>
      </c>
      <c r="E72" s="237" t="s">
        <v>45</v>
      </c>
      <c r="F72" s="273"/>
    </row>
    <row r="73" spans="1:6">
      <c r="A73" s="240"/>
      <c r="B73" s="241" t="s">
        <v>746</v>
      </c>
      <c r="C73" s="220"/>
      <c r="D73" s="155" t="e">
        <f>'3. SOAL'!D73</f>
        <v>#N/A</v>
      </c>
      <c r="E73" s="237" t="s">
        <v>2</v>
      </c>
      <c r="F73" s="270"/>
    </row>
    <row r="74" spans="1:6">
      <c r="A74" s="231"/>
      <c r="B74" s="231"/>
    </row>
    <row r="75" spans="1:6">
      <c r="A75" s="231">
        <v>25</v>
      </c>
      <c r="B75" s="231" t="s">
        <v>744</v>
      </c>
      <c r="C75" s="220"/>
      <c r="D75" s="155" t="e">
        <f>'3. SOAL'!D75</f>
        <v>#N/A</v>
      </c>
      <c r="E75" s="237" t="s">
        <v>41</v>
      </c>
      <c r="F75" s="274"/>
    </row>
    <row r="76" spans="1:6">
      <c r="A76" s="240"/>
      <c r="B76" s="241" t="s">
        <v>746</v>
      </c>
      <c r="C76" s="220"/>
      <c r="D76" s="155" t="e">
        <f>'3. SOAL'!D76</f>
        <v>#N/A</v>
      </c>
      <c r="E76" s="237" t="s">
        <v>1</v>
      </c>
      <c r="F76" s="271"/>
    </row>
    <row r="77" spans="1:6">
      <c r="A77" s="231"/>
      <c r="B77" s="231"/>
    </row>
    <row r="78" spans="1:6">
      <c r="A78" s="231">
        <v>26</v>
      </c>
      <c r="B78" s="231" t="s">
        <v>744</v>
      </c>
      <c r="C78" s="220"/>
      <c r="D78" s="155" t="e">
        <f>'3. SOAL'!D78</f>
        <v>#N/A</v>
      </c>
      <c r="E78" s="237" t="s">
        <v>43</v>
      </c>
      <c r="F78" s="275"/>
    </row>
    <row r="79" spans="1:6">
      <c r="A79" s="240"/>
      <c r="B79" s="241" t="s">
        <v>746</v>
      </c>
      <c r="C79" s="220"/>
      <c r="D79" s="155" t="e">
        <f>'3. SOAL'!D79</f>
        <v>#N/A</v>
      </c>
      <c r="E79" s="237" t="s">
        <v>30</v>
      </c>
      <c r="F79" s="272"/>
    </row>
    <row r="80" spans="1:6">
      <c r="A80" s="231"/>
      <c r="B80" s="231"/>
    </row>
    <row r="81" spans="1:6">
      <c r="A81" s="231">
        <v>27</v>
      </c>
      <c r="B81" s="231" t="s">
        <v>744</v>
      </c>
      <c r="C81" s="220"/>
      <c r="D81" s="155" t="e">
        <f>'3. SOAL'!D81</f>
        <v>#N/A</v>
      </c>
      <c r="E81" s="237" t="s">
        <v>55</v>
      </c>
      <c r="F81" s="276"/>
    </row>
    <row r="82" spans="1:6">
      <c r="A82" s="240"/>
      <c r="B82" s="241" t="s">
        <v>746</v>
      </c>
      <c r="C82" s="220"/>
      <c r="D82" s="155" t="e">
        <f>'3. SOAL'!D82</f>
        <v>#N/A</v>
      </c>
      <c r="E82" s="237" t="s">
        <v>45</v>
      </c>
      <c r="F82" s="273"/>
    </row>
    <row r="83" spans="1:6">
      <c r="A83" s="231"/>
      <c r="B83" s="231"/>
    </row>
    <row r="84" spans="1:6">
      <c r="A84" s="231">
        <v>28</v>
      </c>
      <c r="B84" s="231" t="s">
        <v>744</v>
      </c>
      <c r="C84" s="220"/>
      <c r="D84" s="155" t="e">
        <f>'3. SOAL'!D84</f>
        <v>#N/A</v>
      </c>
      <c r="E84" s="237" t="s">
        <v>51</v>
      </c>
      <c r="F84" s="277"/>
    </row>
    <row r="85" spans="1:6">
      <c r="A85" s="240"/>
      <c r="B85" s="241" t="s">
        <v>746</v>
      </c>
      <c r="C85" s="220"/>
      <c r="D85" s="155" t="e">
        <f>'3. SOAL'!D85</f>
        <v>#N/A</v>
      </c>
      <c r="E85" s="237" t="s">
        <v>41</v>
      </c>
      <c r="F85" s="274"/>
    </row>
    <row r="86" spans="1:6">
      <c r="A86" s="231"/>
      <c r="B86" s="231"/>
    </row>
    <row r="87" spans="1:6">
      <c r="A87" s="231">
        <v>29</v>
      </c>
      <c r="B87" s="231" t="s">
        <v>744</v>
      </c>
      <c r="C87" s="220"/>
      <c r="D87" s="155" t="e">
        <f>'3. SOAL'!D87</f>
        <v>#N/A</v>
      </c>
      <c r="E87" s="237" t="s">
        <v>22</v>
      </c>
      <c r="F87" s="278"/>
    </row>
    <row r="88" spans="1:6">
      <c r="A88" s="240"/>
      <c r="B88" s="241" t="s">
        <v>746</v>
      </c>
      <c r="C88" s="220"/>
      <c r="D88" s="155" t="e">
        <f>'3. SOAL'!D88</f>
        <v>#N/A</v>
      </c>
      <c r="E88" s="237" t="s">
        <v>43</v>
      </c>
      <c r="F88" s="275"/>
    </row>
    <row r="89" spans="1:6">
      <c r="A89" s="231"/>
      <c r="B89" s="231"/>
    </row>
    <row r="90" spans="1:6">
      <c r="A90" s="231">
        <v>30</v>
      </c>
      <c r="B90" s="231" t="s">
        <v>744</v>
      </c>
      <c r="C90" s="220"/>
      <c r="D90" s="155" t="e">
        <f>'3. SOAL'!D90</f>
        <v>#N/A</v>
      </c>
      <c r="E90" s="237" t="s">
        <v>19</v>
      </c>
      <c r="F90" s="279"/>
    </row>
    <row r="91" spans="1:6">
      <c r="A91" s="240"/>
      <c r="B91" s="241" t="s">
        <v>746</v>
      </c>
      <c r="C91" s="220"/>
      <c r="D91" s="155" t="e">
        <f>'3. SOAL'!D91</f>
        <v>#N/A</v>
      </c>
      <c r="E91" s="237" t="s">
        <v>55</v>
      </c>
      <c r="F91" s="276"/>
    </row>
    <row r="92" spans="1:6">
      <c r="A92" s="231"/>
      <c r="B92" s="231"/>
    </row>
    <row r="93" spans="1:6">
      <c r="A93" s="231">
        <v>31</v>
      </c>
      <c r="B93" s="231" t="s">
        <v>744</v>
      </c>
      <c r="C93" s="220"/>
      <c r="D93" s="155" t="e">
        <f>'3. SOAL'!D93</f>
        <v>#N/A</v>
      </c>
      <c r="E93" s="237" t="s">
        <v>3</v>
      </c>
      <c r="F93" s="260"/>
    </row>
    <row r="94" spans="1:6">
      <c r="A94" s="240"/>
      <c r="B94" s="241" t="s">
        <v>746</v>
      </c>
      <c r="C94" s="220"/>
      <c r="D94" s="155" t="e">
        <f>'3. SOAL'!D94</f>
        <v>#N/A</v>
      </c>
      <c r="E94" s="237" t="s">
        <v>14</v>
      </c>
      <c r="F94" s="267"/>
    </row>
    <row r="95" spans="1:6">
      <c r="A95" s="231"/>
      <c r="B95" s="231"/>
    </row>
    <row r="96" spans="1:6">
      <c r="A96" s="231">
        <v>32</v>
      </c>
      <c r="B96" s="231" t="s">
        <v>744</v>
      </c>
      <c r="C96" s="220"/>
      <c r="D96" s="155" t="e">
        <f>'3. SOAL'!D96</f>
        <v>#N/A</v>
      </c>
      <c r="E96" s="237" t="s">
        <v>25</v>
      </c>
      <c r="F96" s="261"/>
    </row>
    <row r="97" spans="1:6">
      <c r="A97" s="240"/>
      <c r="B97" s="241" t="s">
        <v>746</v>
      </c>
      <c r="C97" s="220"/>
      <c r="D97" s="155" t="e">
        <f>'3. SOAL'!D97</f>
        <v>#N/A</v>
      </c>
      <c r="E97" s="237" t="s">
        <v>5</v>
      </c>
      <c r="F97" s="263"/>
    </row>
    <row r="98" spans="1:6">
      <c r="A98" s="231"/>
      <c r="B98" s="231"/>
    </row>
    <row r="99" spans="1:6">
      <c r="A99" s="231">
        <v>33</v>
      </c>
      <c r="B99" s="231" t="s">
        <v>744</v>
      </c>
      <c r="C99" s="220"/>
      <c r="D99" s="155" t="e">
        <f>'3. SOAL'!D99</f>
        <v>#N/A</v>
      </c>
      <c r="E99" s="237" t="s">
        <v>35</v>
      </c>
      <c r="F99" s="262"/>
    </row>
    <row r="100" spans="1:6">
      <c r="A100" s="240"/>
      <c r="B100" s="241" t="s">
        <v>746</v>
      </c>
      <c r="C100" s="220"/>
      <c r="D100" s="155" t="e">
        <f>'3. SOAL'!D100</f>
        <v>#N/A</v>
      </c>
      <c r="E100" s="237" t="s">
        <v>4</v>
      </c>
      <c r="F100" s="268"/>
    </row>
    <row r="101" spans="1:6">
      <c r="A101" s="231"/>
      <c r="B101" s="231"/>
    </row>
    <row r="102" spans="1:6">
      <c r="A102" s="231">
        <v>34</v>
      </c>
      <c r="B102" s="231" t="s">
        <v>744</v>
      </c>
      <c r="C102" s="220"/>
      <c r="D102" s="155" t="e">
        <f>'3. SOAL'!D102</f>
        <v>#N/A</v>
      </c>
      <c r="E102" s="237" t="s">
        <v>16</v>
      </c>
      <c r="F102" s="264"/>
    </row>
    <row r="103" spans="1:6">
      <c r="A103" s="240"/>
      <c r="B103" s="241" t="s">
        <v>746</v>
      </c>
      <c r="C103" s="220"/>
      <c r="D103" s="155" t="e">
        <f>'3. SOAL'!D103</f>
        <v>#N/A</v>
      </c>
      <c r="E103" s="237" t="s">
        <v>48</v>
      </c>
      <c r="F103" s="269"/>
    </row>
    <row r="104" spans="1:6">
      <c r="A104" s="231"/>
      <c r="B104" s="231"/>
    </row>
    <row r="105" spans="1:6">
      <c r="A105" s="231">
        <v>35</v>
      </c>
      <c r="B105" s="231" t="s">
        <v>744</v>
      </c>
      <c r="C105" s="220"/>
      <c r="D105" s="155" t="e">
        <f>'3. SOAL'!D105</f>
        <v>#N/A</v>
      </c>
      <c r="E105" s="237" t="s">
        <v>41</v>
      </c>
      <c r="F105" s="274"/>
    </row>
    <row r="106" spans="1:6">
      <c r="A106" s="240"/>
      <c r="B106" s="241" t="s">
        <v>746</v>
      </c>
      <c r="C106" s="220"/>
      <c r="D106" s="155" t="e">
        <f>'3. SOAL'!D106</f>
        <v>#N/A</v>
      </c>
      <c r="E106" s="237" t="s">
        <v>2</v>
      </c>
      <c r="F106" s="270"/>
    </row>
    <row r="107" spans="1:6">
      <c r="A107" s="231"/>
      <c r="B107" s="231"/>
    </row>
    <row r="108" spans="1:6">
      <c r="A108" s="231">
        <v>36</v>
      </c>
      <c r="B108" s="231" t="s">
        <v>744</v>
      </c>
      <c r="C108" s="220"/>
      <c r="D108" s="155" t="e">
        <f>'3. SOAL'!D108</f>
        <v>#N/A</v>
      </c>
      <c r="E108" s="237" t="s">
        <v>43</v>
      </c>
      <c r="F108" s="275"/>
    </row>
    <row r="109" spans="1:6">
      <c r="A109" s="240"/>
      <c r="B109" s="241" t="s">
        <v>746</v>
      </c>
      <c r="C109" s="220"/>
      <c r="D109" s="155" t="e">
        <f>'3. SOAL'!D109</f>
        <v>#N/A</v>
      </c>
      <c r="E109" s="237" t="s">
        <v>1</v>
      </c>
      <c r="F109" s="271"/>
    </row>
    <row r="110" spans="1:6">
      <c r="A110" s="231"/>
      <c r="B110" s="231"/>
    </row>
    <row r="111" spans="1:6">
      <c r="A111" s="231">
        <v>37</v>
      </c>
      <c r="B111" s="231" t="s">
        <v>744</v>
      </c>
      <c r="C111" s="220"/>
      <c r="D111" s="155" t="e">
        <f>'3. SOAL'!D111</f>
        <v>#N/A</v>
      </c>
      <c r="E111" s="237" t="s">
        <v>55</v>
      </c>
      <c r="F111" s="276"/>
    </row>
    <row r="112" spans="1:6">
      <c r="A112" s="240"/>
      <c r="B112" s="241" t="s">
        <v>746</v>
      </c>
      <c r="C112" s="220"/>
      <c r="D112" s="155" t="e">
        <f>'3. SOAL'!D112</f>
        <v>#N/A</v>
      </c>
      <c r="E112" s="237" t="s">
        <v>30</v>
      </c>
      <c r="F112" s="272"/>
    </row>
    <row r="113" spans="1:6">
      <c r="A113" s="231"/>
      <c r="B113" s="231"/>
    </row>
    <row r="114" spans="1:6">
      <c r="A114" s="231">
        <v>38</v>
      </c>
      <c r="B114" s="231" t="s">
        <v>744</v>
      </c>
      <c r="C114" s="220"/>
      <c r="D114" s="155" t="e">
        <f>'3. SOAL'!D114</f>
        <v>#N/A</v>
      </c>
      <c r="E114" s="237" t="s">
        <v>51</v>
      </c>
      <c r="F114" s="277"/>
    </row>
    <row r="115" spans="1:6">
      <c r="A115" s="240"/>
      <c r="B115" s="241" t="s">
        <v>746</v>
      </c>
      <c r="C115" s="220"/>
      <c r="D115" s="155" t="e">
        <f>'3. SOAL'!D115</f>
        <v>#N/A</v>
      </c>
      <c r="E115" s="237" t="s">
        <v>45</v>
      </c>
      <c r="F115" s="273"/>
    </row>
    <row r="116" spans="1:6">
      <c r="A116" s="231"/>
      <c r="B116" s="231"/>
    </row>
    <row r="117" spans="1:6">
      <c r="A117" s="231">
        <v>39</v>
      </c>
      <c r="B117" s="231" t="s">
        <v>744</v>
      </c>
      <c r="C117" s="220"/>
      <c r="D117" s="155" t="e">
        <f>'3. SOAL'!D117</f>
        <v>#N/A</v>
      </c>
      <c r="E117" s="237" t="s">
        <v>22</v>
      </c>
      <c r="F117" s="278"/>
    </row>
    <row r="118" spans="1:6">
      <c r="A118" s="240"/>
      <c r="B118" s="241" t="s">
        <v>746</v>
      </c>
      <c r="C118" s="220"/>
      <c r="D118" s="155" t="e">
        <f>'3. SOAL'!D118</f>
        <v>#N/A</v>
      </c>
      <c r="E118" s="237" t="s">
        <v>41</v>
      </c>
      <c r="F118" s="274"/>
    </row>
    <row r="119" spans="1:6">
      <c r="A119" s="231"/>
      <c r="B119" s="231"/>
    </row>
    <row r="120" spans="1:6">
      <c r="A120" s="231">
        <v>40</v>
      </c>
      <c r="B120" s="231" t="s">
        <v>744</v>
      </c>
      <c r="C120" s="220"/>
      <c r="D120" s="155" t="e">
        <f>'3. SOAL'!D120</f>
        <v>#N/A</v>
      </c>
      <c r="E120" s="237" t="s">
        <v>19</v>
      </c>
      <c r="F120" s="279"/>
    </row>
    <row r="121" spans="1:6">
      <c r="A121" s="240"/>
      <c r="B121" s="241" t="s">
        <v>746</v>
      </c>
      <c r="C121" s="220"/>
      <c r="D121" s="155" t="e">
        <f>'3. SOAL'!D121</f>
        <v>#N/A</v>
      </c>
      <c r="E121" s="237" t="s">
        <v>43</v>
      </c>
      <c r="F121" s="275"/>
    </row>
    <row r="122" spans="1:6">
      <c r="A122" s="231"/>
      <c r="B122" s="231"/>
    </row>
    <row r="123" spans="1:6">
      <c r="A123" s="231">
        <v>41</v>
      </c>
      <c r="B123" s="231" t="s">
        <v>744</v>
      </c>
      <c r="C123" s="220"/>
      <c r="D123" s="155" t="e">
        <f>'3. SOAL'!D123</f>
        <v>#N/A</v>
      </c>
      <c r="E123" s="237" t="s">
        <v>3</v>
      </c>
      <c r="F123" s="260"/>
    </row>
    <row r="124" spans="1:6">
      <c r="A124" s="240"/>
      <c r="B124" s="241" t="s">
        <v>746</v>
      </c>
      <c r="C124" s="220"/>
      <c r="D124" s="155" t="e">
        <f>'3. SOAL'!D124</f>
        <v>#N/A</v>
      </c>
      <c r="E124" s="237" t="s">
        <v>39</v>
      </c>
      <c r="F124" s="266"/>
    </row>
    <row r="125" spans="1:6">
      <c r="A125" s="231"/>
      <c r="B125" s="231"/>
    </row>
    <row r="126" spans="1:6">
      <c r="A126" s="231">
        <v>42</v>
      </c>
      <c r="B126" s="231" t="s">
        <v>744</v>
      </c>
      <c r="C126" s="220"/>
      <c r="D126" s="155" t="e">
        <f>'3. SOAL'!D126</f>
        <v>#N/A</v>
      </c>
      <c r="E126" s="237" t="s">
        <v>25</v>
      </c>
      <c r="F126" s="261"/>
    </row>
    <row r="127" spans="1:6">
      <c r="A127" s="240"/>
      <c r="B127" s="241" t="s">
        <v>746</v>
      </c>
      <c r="C127" s="220"/>
      <c r="D127" s="155" t="e">
        <f>'3. SOAL'!D127</f>
        <v>#N/A</v>
      </c>
      <c r="E127" s="237" t="s">
        <v>14</v>
      </c>
      <c r="F127" s="267"/>
    </row>
    <row r="128" spans="1:6">
      <c r="A128" s="231"/>
      <c r="B128" s="231"/>
    </row>
    <row r="129" spans="1:6">
      <c r="A129" s="231">
        <v>43</v>
      </c>
      <c r="B129" s="231" t="s">
        <v>744</v>
      </c>
      <c r="C129" s="220"/>
      <c r="D129" s="155" t="e">
        <f>'3. SOAL'!D129</f>
        <v>#N/A</v>
      </c>
      <c r="E129" s="237" t="s">
        <v>35</v>
      </c>
      <c r="F129" s="262"/>
    </row>
    <row r="130" spans="1:6">
      <c r="A130" s="240"/>
      <c r="B130" s="241" t="s">
        <v>746</v>
      </c>
      <c r="C130" s="220"/>
      <c r="D130" s="155" t="e">
        <f>'3. SOAL'!D130</f>
        <v>#N/A</v>
      </c>
      <c r="E130" s="237" t="s">
        <v>5</v>
      </c>
      <c r="F130" s="263"/>
    </row>
    <row r="131" spans="1:6">
      <c r="A131" s="231"/>
      <c r="B131" s="231"/>
    </row>
    <row r="132" spans="1:6">
      <c r="A132" s="231">
        <v>44</v>
      </c>
      <c r="B132" s="231" t="s">
        <v>744</v>
      </c>
      <c r="C132" s="220"/>
      <c r="D132" s="155" t="e">
        <f>'3. SOAL'!D132</f>
        <v>#N/A</v>
      </c>
      <c r="E132" s="237" t="s">
        <v>16</v>
      </c>
      <c r="F132" s="264"/>
    </row>
    <row r="133" spans="1:6">
      <c r="A133" s="240"/>
      <c r="B133" s="241" t="s">
        <v>746</v>
      </c>
      <c r="C133" s="220"/>
      <c r="D133" s="155" t="e">
        <f>'3. SOAL'!D133</f>
        <v>#N/A</v>
      </c>
      <c r="E133" s="237" t="s">
        <v>4</v>
      </c>
      <c r="F133" s="268"/>
    </row>
    <row r="134" spans="1:6">
      <c r="A134" s="231"/>
      <c r="B134" s="231"/>
    </row>
    <row r="135" spans="1:6">
      <c r="A135" s="231">
        <v>45</v>
      </c>
      <c r="B135" s="231" t="s">
        <v>744</v>
      </c>
      <c r="C135" s="220"/>
      <c r="D135" s="155" t="e">
        <f>'3. SOAL'!D135</f>
        <v>#N/A</v>
      </c>
      <c r="E135" s="237" t="s">
        <v>17</v>
      </c>
      <c r="F135" s="265"/>
    </row>
    <row r="136" spans="1:6">
      <c r="A136" s="240"/>
      <c r="B136" s="241" t="s">
        <v>746</v>
      </c>
      <c r="C136" s="220"/>
      <c r="D136" s="155" t="e">
        <f>'3. SOAL'!D136</f>
        <v>#N/A</v>
      </c>
      <c r="E136" s="237" t="s">
        <v>48</v>
      </c>
      <c r="F136" s="269"/>
    </row>
    <row r="137" spans="1:6">
      <c r="A137" s="231"/>
      <c r="B137" s="231"/>
    </row>
    <row r="138" spans="1:6">
      <c r="A138" s="231">
        <v>46</v>
      </c>
      <c r="B138" s="231" t="s">
        <v>744</v>
      </c>
      <c r="C138" s="220"/>
      <c r="D138" s="155" t="e">
        <f>'3. SOAL'!D138</f>
        <v>#N/A</v>
      </c>
      <c r="E138" s="237" t="s">
        <v>43</v>
      </c>
      <c r="F138" s="275"/>
    </row>
    <row r="139" spans="1:6">
      <c r="A139" s="240"/>
      <c r="B139" s="241" t="s">
        <v>746</v>
      </c>
      <c r="C139" s="220"/>
      <c r="D139" s="155" t="e">
        <f>'3. SOAL'!D139</f>
        <v>#N/A</v>
      </c>
      <c r="E139" s="237" t="s">
        <v>2</v>
      </c>
      <c r="F139" s="270"/>
    </row>
    <row r="140" spans="1:6">
      <c r="A140" s="231"/>
      <c r="B140" s="231"/>
    </row>
    <row r="141" spans="1:6">
      <c r="A141" s="231">
        <v>47</v>
      </c>
      <c r="B141" s="231" t="s">
        <v>744</v>
      </c>
      <c r="C141" s="220"/>
      <c r="D141" s="155" t="e">
        <f>'3. SOAL'!D141</f>
        <v>#N/A</v>
      </c>
      <c r="E141" s="237" t="s">
        <v>55</v>
      </c>
      <c r="F141" s="276"/>
    </row>
    <row r="142" spans="1:6">
      <c r="A142" s="240"/>
      <c r="B142" s="241" t="s">
        <v>746</v>
      </c>
      <c r="C142" s="220"/>
      <c r="D142" s="155" t="e">
        <f>'3. SOAL'!D142</f>
        <v>#N/A</v>
      </c>
      <c r="E142" s="237" t="s">
        <v>1</v>
      </c>
      <c r="F142" s="271"/>
    </row>
    <row r="143" spans="1:6">
      <c r="A143" s="231"/>
      <c r="B143" s="231"/>
    </row>
    <row r="144" spans="1:6">
      <c r="A144" s="231">
        <v>48</v>
      </c>
      <c r="B144" s="231" t="s">
        <v>744</v>
      </c>
      <c r="C144" s="220"/>
      <c r="D144" s="155" t="e">
        <f>'3. SOAL'!D144</f>
        <v>#N/A</v>
      </c>
      <c r="E144" s="237" t="s">
        <v>51</v>
      </c>
      <c r="F144" s="277"/>
    </row>
    <row r="145" spans="1:6">
      <c r="A145" s="240"/>
      <c r="B145" s="241" t="s">
        <v>746</v>
      </c>
      <c r="C145" s="220"/>
      <c r="D145" s="155" t="e">
        <f>'3. SOAL'!D145</f>
        <v>#N/A</v>
      </c>
      <c r="E145" s="237" t="s">
        <v>30</v>
      </c>
      <c r="F145" s="272"/>
    </row>
    <row r="146" spans="1:6">
      <c r="A146" s="231"/>
      <c r="B146" s="231"/>
    </row>
    <row r="147" spans="1:6">
      <c r="A147" s="231">
        <v>49</v>
      </c>
      <c r="B147" s="231" t="s">
        <v>744</v>
      </c>
      <c r="C147" s="220"/>
      <c r="D147" s="155" t="e">
        <f>'3. SOAL'!D147</f>
        <v>#N/A</v>
      </c>
      <c r="E147" s="237" t="s">
        <v>22</v>
      </c>
      <c r="F147" s="278"/>
    </row>
    <row r="148" spans="1:6">
      <c r="A148" s="240"/>
      <c r="B148" s="241" t="s">
        <v>746</v>
      </c>
      <c r="C148" s="220"/>
      <c r="D148" s="155" t="e">
        <f>'3. SOAL'!D148</f>
        <v>#N/A</v>
      </c>
      <c r="E148" s="237" t="s">
        <v>45</v>
      </c>
      <c r="F148" s="273"/>
    </row>
    <row r="149" spans="1:6">
      <c r="A149" s="231"/>
      <c r="B149" s="231"/>
    </row>
    <row r="150" spans="1:6">
      <c r="A150" s="231">
        <v>50</v>
      </c>
      <c r="B150" s="231" t="s">
        <v>744</v>
      </c>
      <c r="C150" s="220"/>
      <c r="D150" s="155" t="e">
        <f>'3. SOAL'!D150</f>
        <v>#N/A</v>
      </c>
      <c r="E150" s="237" t="s">
        <v>19</v>
      </c>
      <c r="F150" s="279"/>
    </row>
    <row r="151" spans="1:6">
      <c r="A151" s="240"/>
      <c r="B151" s="241" t="s">
        <v>746</v>
      </c>
      <c r="C151" s="220"/>
      <c r="D151" s="155" t="e">
        <f>'3. SOAL'!D151</f>
        <v>#N/A</v>
      </c>
      <c r="E151" s="237" t="s">
        <v>41</v>
      </c>
      <c r="F151" s="274"/>
    </row>
    <row r="152" spans="1:6">
      <c r="A152" s="231"/>
      <c r="B152" s="231"/>
    </row>
    <row r="153" spans="1:6">
      <c r="A153" s="231">
        <v>51</v>
      </c>
      <c r="B153" s="231" t="s">
        <v>744</v>
      </c>
      <c r="C153" s="220"/>
      <c r="D153" s="155" t="e">
        <f>'3. SOAL'!D153</f>
        <v>#N/A</v>
      </c>
      <c r="E153" s="237" t="s">
        <v>3</v>
      </c>
      <c r="F153" s="260"/>
    </row>
    <row r="154" spans="1:6">
      <c r="A154" s="240"/>
      <c r="B154" s="241" t="s">
        <v>746</v>
      </c>
      <c r="C154" s="220"/>
      <c r="D154" s="155" t="e">
        <f>'3. SOAL'!D154</f>
        <v>#N/A</v>
      </c>
      <c r="E154" s="237" t="s">
        <v>17</v>
      </c>
      <c r="F154" s="265"/>
    </row>
    <row r="155" spans="1:6">
      <c r="A155" s="231"/>
      <c r="B155" s="231"/>
    </row>
    <row r="156" spans="1:6">
      <c r="A156" s="231">
        <v>52</v>
      </c>
      <c r="B156" s="231" t="s">
        <v>744</v>
      </c>
      <c r="C156" s="220"/>
      <c r="D156" s="155" t="e">
        <f>'3. SOAL'!D156</f>
        <v>#N/A</v>
      </c>
      <c r="E156" s="237" t="s">
        <v>25</v>
      </c>
      <c r="F156" s="261"/>
    </row>
    <row r="157" spans="1:6">
      <c r="A157" s="240"/>
      <c r="B157" s="241" t="s">
        <v>746</v>
      </c>
      <c r="C157" s="220"/>
      <c r="D157" s="155" t="e">
        <f>'3. SOAL'!D157</f>
        <v>#N/A</v>
      </c>
      <c r="E157" s="237" t="s">
        <v>39</v>
      </c>
      <c r="F157" s="266"/>
    </row>
    <row r="158" spans="1:6">
      <c r="A158" s="231"/>
      <c r="B158" s="231"/>
    </row>
    <row r="159" spans="1:6">
      <c r="A159" s="231">
        <v>53</v>
      </c>
      <c r="B159" s="231" t="s">
        <v>744</v>
      </c>
      <c r="C159" s="220"/>
      <c r="D159" s="155" t="e">
        <f>'3. SOAL'!D159</f>
        <v>#N/A</v>
      </c>
      <c r="E159" s="237" t="s">
        <v>35</v>
      </c>
      <c r="F159" s="262"/>
    </row>
    <row r="160" spans="1:6">
      <c r="A160" s="240"/>
      <c r="B160" s="241" t="s">
        <v>746</v>
      </c>
      <c r="C160" s="220"/>
      <c r="D160" s="155" t="e">
        <f>'3. SOAL'!D160</f>
        <v>#N/A</v>
      </c>
      <c r="E160" s="237" t="s">
        <v>14</v>
      </c>
      <c r="F160" s="267"/>
    </row>
    <row r="161" spans="1:6">
      <c r="A161" s="231"/>
      <c r="B161" s="231"/>
    </row>
    <row r="162" spans="1:6">
      <c r="A162" s="231">
        <v>54</v>
      </c>
      <c r="B162" s="231" t="s">
        <v>744</v>
      </c>
      <c r="C162" s="220"/>
      <c r="D162" s="155" t="e">
        <f>'3. SOAL'!D162</f>
        <v>#N/A</v>
      </c>
      <c r="E162" s="237" t="s">
        <v>16</v>
      </c>
      <c r="F162" s="264"/>
    </row>
    <row r="163" spans="1:6">
      <c r="A163" s="240"/>
      <c r="B163" s="241" t="s">
        <v>746</v>
      </c>
      <c r="C163" s="220"/>
      <c r="D163" s="155" t="e">
        <f>'3. SOAL'!D163</f>
        <v>#N/A</v>
      </c>
      <c r="E163" s="237" t="s">
        <v>5</v>
      </c>
      <c r="F163" s="263"/>
    </row>
    <row r="164" spans="1:6">
      <c r="A164" s="231"/>
      <c r="B164" s="231"/>
    </row>
    <row r="165" spans="1:6">
      <c r="A165" s="231">
        <v>55</v>
      </c>
      <c r="B165" s="231" t="s">
        <v>744</v>
      </c>
      <c r="C165" s="220"/>
      <c r="D165" s="155" t="e">
        <f>'3. SOAL'!D165</f>
        <v>#N/A</v>
      </c>
      <c r="E165" s="237" t="s">
        <v>17</v>
      </c>
      <c r="F165" s="265"/>
    </row>
    <row r="166" spans="1:6">
      <c r="A166" s="240"/>
      <c r="B166" s="241" t="s">
        <v>746</v>
      </c>
      <c r="C166" s="220"/>
      <c r="D166" s="155" t="e">
        <f>'3. SOAL'!D166</f>
        <v>#N/A</v>
      </c>
      <c r="E166" s="237" t="s">
        <v>4</v>
      </c>
      <c r="F166" s="268"/>
    </row>
    <row r="167" spans="1:6">
      <c r="A167" s="231"/>
      <c r="B167" s="231"/>
    </row>
    <row r="168" spans="1:6">
      <c r="A168" s="231">
        <v>56</v>
      </c>
      <c r="B168" s="231" t="s">
        <v>744</v>
      </c>
      <c r="C168" s="220"/>
      <c r="D168" s="155" t="e">
        <f>'3. SOAL'!D168</f>
        <v>#N/A</v>
      </c>
      <c r="E168" s="237" t="s">
        <v>39</v>
      </c>
      <c r="F168" s="266"/>
    </row>
    <row r="169" spans="1:6">
      <c r="A169" s="240"/>
      <c r="B169" s="241" t="s">
        <v>746</v>
      </c>
      <c r="C169" s="220"/>
      <c r="D169" s="155" t="e">
        <f>'3. SOAL'!D169</f>
        <v>#N/A</v>
      </c>
      <c r="E169" s="237" t="s">
        <v>48</v>
      </c>
      <c r="F169" s="269"/>
    </row>
    <row r="170" spans="1:6">
      <c r="A170" s="231"/>
      <c r="B170" s="231"/>
    </row>
    <row r="171" spans="1:6">
      <c r="A171" s="231">
        <v>57</v>
      </c>
      <c r="B171" s="231" t="s">
        <v>744</v>
      </c>
      <c r="C171" s="220"/>
      <c r="D171" s="155" t="e">
        <f>'3. SOAL'!D171</f>
        <v>#N/A</v>
      </c>
      <c r="E171" s="237" t="s">
        <v>55</v>
      </c>
      <c r="F171" s="276"/>
    </row>
    <row r="172" spans="1:6">
      <c r="A172" s="240"/>
      <c r="B172" s="241" t="s">
        <v>746</v>
      </c>
      <c r="C172" s="220"/>
      <c r="D172" s="155" t="e">
        <f>'3. SOAL'!D172</f>
        <v>#N/A</v>
      </c>
      <c r="E172" s="237" t="s">
        <v>2</v>
      </c>
      <c r="F172" s="270"/>
    </row>
    <row r="173" spans="1:6">
      <c r="A173" s="231"/>
      <c r="B173" s="231"/>
    </row>
    <row r="174" spans="1:6">
      <c r="A174" s="231">
        <v>58</v>
      </c>
      <c r="B174" s="231" t="s">
        <v>744</v>
      </c>
      <c r="C174" s="220"/>
      <c r="D174" s="155" t="e">
        <f>'3. SOAL'!D174</f>
        <v>#N/A</v>
      </c>
      <c r="E174" s="237" t="s">
        <v>51</v>
      </c>
      <c r="F174" s="277"/>
    </row>
    <row r="175" spans="1:6">
      <c r="A175" s="240"/>
      <c r="B175" s="241" t="s">
        <v>746</v>
      </c>
      <c r="C175" s="220"/>
      <c r="D175" s="155" t="e">
        <f>'3. SOAL'!D175</f>
        <v>#N/A</v>
      </c>
      <c r="E175" s="237" t="s">
        <v>1</v>
      </c>
      <c r="F175" s="271"/>
    </row>
    <row r="176" spans="1:6">
      <c r="A176" s="231"/>
      <c r="B176" s="231"/>
    </row>
    <row r="177" spans="1:6">
      <c r="A177" s="231">
        <v>59</v>
      </c>
      <c r="B177" s="231" t="s">
        <v>744</v>
      </c>
      <c r="C177" s="220"/>
      <c r="D177" s="155" t="e">
        <f>'3. SOAL'!D177</f>
        <v>#N/A</v>
      </c>
      <c r="E177" s="237" t="s">
        <v>22</v>
      </c>
      <c r="F177" s="278"/>
    </row>
    <row r="178" spans="1:6">
      <c r="A178" s="240"/>
      <c r="B178" s="241" t="s">
        <v>746</v>
      </c>
      <c r="C178" s="220"/>
      <c r="D178" s="155" t="e">
        <f>'3. SOAL'!D178</f>
        <v>#N/A</v>
      </c>
      <c r="E178" s="237" t="s">
        <v>30</v>
      </c>
      <c r="F178" s="272"/>
    </row>
    <row r="179" spans="1:6">
      <c r="A179" s="231"/>
      <c r="B179" s="231"/>
    </row>
    <row r="180" spans="1:6">
      <c r="A180" s="231">
        <v>60</v>
      </c>
      <c r="B180" s="231" t="s">
        <v>744</v>
      </c>
      <c r="C180" s="220"/>
      <c r="D180" s="155" t="e">
        <f>'3. SOAL'!D180</f>
        <v>#N/A</v>
      </c>
      <c r="E180" s="237" t="s">
        <v>19</v>
      </c>
      <c r="F180" s="279"/>
    </row>
    <row r="181" spans="1:6">
      <c r="A181" s="240"/>
      <c r="B181" s="241" t="s">
        <v>746</v>
      </c>
      <c r="C181" s="220"/>
      <c r="D181" s="155" t="e">
        <f>'3. SOAL'!D181</f>
        <v>#N/A</v>
      </c>
      <c r="E181" s="237" t="s">
        <v>45</v>
      </c>
      <c r="F181" s="273"/>
    </row>
    <row r="182" spans="1:6">
      <c r="A182" s="231"/>
      <c r="B182" s="231"/>
    </row>
    <row r="183" spans="1:6">
      <c r="A183" s="231">
        <v>61</v>
      </c>
      <c r="B183" s="231" t="s">
        <v>744</v>
      </c>
      <c r="C183" s="220"/>
      <c r="D183" s="155" t="e">
        <f>'3. SOAL'!D183</f>
        <v>#N/A</v>
      </c>
      <c r="E183" s="237" t="s">
        <v>3</v>
      </c>
      <c r="F183" s="260"/>
    </row>
    <row r="184" spans="1:6">
      <c r="A184" s="240"/>
      <c r="B184" s="241" t="s">
        <v>746</v>
      </c>
      <c r="C184" s="220"/>
      <c r="D184" s="155" t="e">
        <f>'3. SOAL'!D184</f>
        <v>#N/A</v>
      </c>
      <c r="E184" s="237" t="s">
        <v>16</v>
      </c>
      <c r="F184" s="264"/>
    </row>
    <row r="185" spans="1:6">
      <c r="A185" s="231"/>
      <c r="B185" s="231"/>
    </row>
    <row r="186" spans="1:6">
      <c r="A186" s="231">
        <v>62</v>
      </c>
      <c r="B186" s="231" t="s">
        <v>744</v>
      </c>
      <c r="C186" s="220"/>
      <c r="D186" s="155" t="e">
        <f>'3. SOAL'!D186</f>
        <v>#N/A</v>
      </c>
      <c r="E186" s="237" t="s">
        <v>25</v>
      </c>
      <c r="F186" s="261"/>
    </row>
    <row r="187" spans="1:6">
      <c r="A187" s="240"/>
      <c r="B187" s="241" t="s">
        <v>746</v>
      </c>
      <c r="C187" s="220"/>
      <c r="D187" s="155" t="e">
        <f>'3. SOAL'!D187</f>
        <v>#N/A</v>
      </c>
      <c r="E187" s="237" t="s">
        <v>17</v>
      </c>
      <c r="F187" s="265"/>
    </row>
    <row r="188" spans="1:6">
      <c r="A188" s="231"/>
      <c r="B188" s="231"/>
    </row>
    <row r="189" spans="1:6">
      <c r="A189" s="231">
        <v>63</v>
      </c>
      <c r="B189" s="231" t="s">
        <v>744</v>
      </c>
      <c r="C189" s="220"/>
      <c r="D189" s="155" t="e">
        <f>'3. SOAL'!D189</f>
        <v>#N/A</v>
      </c>
      <c r="E189" s="237" t="s">
        <v>35</v>
      </c>
      <c r="F189" s="262"/>
    </row>
    <row r="190" spans="1:6">
      <c r="A190" s="240"/>
      <c r="B190" s="241" t="s">
        <v>746</v>
      </c>
      <c r="C190" s="220"/>
      <c r="D190" s="155" t="e">
        <f>'3. SOAL'!D190</f>
        <v>#N/A</v>
      </c>
      <c r="E190" s="237" t="s">
        <v>39</v>
      </c>
      <c r="F190" s="266"/>
    </row>
    <row r="191" spans="1:6">
      <c r="A191" s="231"/>
      <c r="B191" s="231"/>
    </row>
    <row r="192" spans="1:6">
      <c r="A192" s="231">
        <v>64</v>
      </c>
      <c r="B192" s="231" t="s">
        <v>744</v>
      </c>
      <c r="C192" s="220"/>
      <c r="D192" s="155" t="e">
        <f>'3. SOAL'!D192</f>
        <v>#N/A</v>
      </c>
      <c r="E192" s="237" t="s">
        <v>16</v>
      </c>
      <c r="F192" s="264"/>
    </row>
    <row r="193" spans="1:6">
      <c r="A193" s="240"/>
      <c r="B193" s="241" t="s">
        <v>746</v>
      </c>
      <c r="C193" s="220"/>
      <c r="D193" s="155" t="e">
        <f>'3. SOAL'!D193</f>
        <v>#N/A</v>
      </c>
      <c r="E193" s="237" t="s">
        <v>14</v>
      </c>
      <c r="F193" s="267"/>
    </row>
    <row r="194" spans="1:6">
      <c r="A194" s="231"/>
      <c r="B194" s="231"/>
    </row>
    <row r="195" spans="1:6">
      <c r="A195" s="231">
        <v>65</v>
      </c>
      <c r="B195" s="231" t="s">
        <v>744</v>
      </c>
      <c r="C195" s="220"/>
      <c r="D195" s="155" t="e">
        <f>'3. SOAL'!D195</f>
        <v>#N/A</v>
      </c>
      <c r="E195" s="237" t="s">
        <v>17</v>
      </c>
      <c r="F195" s="265"/>
    </row>
    <row r="196" spans="1:6">
      <c r="A196" s="240"/>
      <c r="B196" s="241" t="s">
        <v>746</v>
      </c>
      <c r="C196" s="220"/>
      <c r="D196" s="155" t="e">
        <f>'3. SOAL'!D196</f>
        <v>#N/A</v>
      </c>
      <c r="E196" s="237" t="s">
        <v>5</v>
      </c>
      <c r="F196" s="263"/>
    </row>
    <row r="197" spans="1:6">
      <c r="A197" s="231"/>
      <c r="B197" s="231"/>
    </row>
    <row r="198" spans="1:6">
      <c r="A198" s="231">
        <v>66</v>
      </c>
      <c r="B198" s="231" t="s">
        <v>744</v>
      </c>
      <c r="C198" s="220"/>
      <c r="D198" s="155" t="e">
        <f>'3. SOAL'!D198</f>
        <v>#N/A</v>
      </c>
      <c r="E198" s="237" t="s">
        <v>39</v>
      </c>
      <c r="F198" s="266"/>
    </row>
    <row r="199" spans="1:6">
      <c r="A199" s="240"/>
      <c r="B199" s="241" t="s">
        <v>746</v>
      </c>
      <c r="C199" s="220"/>
      <c r="D199" s="155" t="e">
        <f>'3. SOAL'!D199</f>
        <v>#N/A</v>
      </c>
      <c r="E199" s="237" t="s">
        <v>4</v>
      </c>
      <c r="F199" s="268"/>
    </row>
    <row r="200" spans="1:6">
      <c r="A200" s="231"/>
      <c r="B200" s="231"/>
    </row>
    <row r="201" spans="1:6">
      <c r="A201" s="231">
        <v>67</v>
      </c>
      <c r="B201" s="231" t="s">
        <v>744</v>
      </c>
      <c r="C201" s="220"/>
      <c r="D201" s="155" t="e">
        <f>'3. SOAL'!D201</f>
        <v>#N/A</v>
      </c>
      <c r="E201" s="237" t="s">
        <v>14</v>
      </c>
      <c r="F201" s="267"/>
    </row>
    <row r="202" spans="1:6">
      <c r="A202" s="240"/>
      <c r="B202" s="241" t="s">
        <v>746</v>
      </c>
      <c r="C202" s="220"/>
      <c r="D202" s="155" t="e">
        <f>'3. SOAL'!D202</f>
        <v>#N/A</v>
      </c>
      <c r="E202" s="237" t="s">
        <v>48</v>
      </c>
      <c r="F202" s="269"/>
    </row>
    <row r="203" spans="1:6">
      <c r="A203" s="231"/>
      <c r="B203" s="231"/>
    </row>
    <row r="204" spans="1:6">
      <c r="A204" s="231">
        <v>68</v>
      </c>
      <c r="B204" s="231" t="s">
        <v>744</v>
      </c>
      <c r="C204" s="220"/>
      <c r="D204" s="155" t="e">
        <f>'3. SOAL'!D204</f>
        <v>#N/A</v>
      </c>
      <c r="E204" s="237" t="s">
        <v>51</v>
      </c>
      <c r="F204" s="277"/>
    </row>
    <row r="205" spans="1:6">
      <c r="A205" s="240"/>
      <c r="B205" s="241" t="s">
        <v>746</v>
      </c>
      <c r="C205" s="220"/>
      <c r="D205" s="155" t="e">
        <f>'3. SOAL'!D205</f>
        <v>#N/A</v>
      </c>
      <c r="E205" s="237" t="s">
        <v>2</v>
      </c>
      <c r="F205" s="270"/>
    </row>
    <row r="206" spans="1:6">
      <c r="A206" s="231"/>
      <c r="B206" s="231"/>
    </row>
    <row r="207" spans="1:6">
      <c r="A207" s="231">
        <v>69</v>
      </c>
      <c r="B207" s="231" t="s">
        <v>744</v>
      </c>
      <c r="C207" s="220"/>
      <c r="D207" s="155" t="e">
        <f>'3. SOAL'!D207</f>
        <v>#N/A</v>
      </c>
      <c r="E207" s="237" t="s">
        <v>22</v>
      </c>
      <c r="F207" s="278"/>
    </row>
    <row r="208" spans="1:6">
      <c r="A208" s="240"/>
      <c r="B208" s="241" t="s">
        <v>746</v>
      </c>
      <c r="C208" s="220"/>
      <c r="D208" s="155" t="e">
        <f>'3. SOAL'!D208</f>
        <v>#N/A</v>
      </c>
      <c r="E208" s="237" t="s">
        <v>1</v>
      </c>
      <c r="F208" s="271"/>
    </row>
    <row r="209" spans="1:6">
      <c r="A209" s="231"/>
      <c r="B209" s="231"/>
    </row>
    <row r="210" spans="1:6">
      <c r="A210" s="231">
        <v>70</v>
      </c>
      <c r="B210" s="231" t="s">
        <v>744</v>
      </c>
      <c r="C210" s="220"/>
      <c r="D210" s="155" t="e">
        <f>'3. SOAL'!D210</f>
        <v>#N/A</v>
      </c>
      <c r="E210" s="237" t="s">
        <v>19</v>
      </c>
      <c r="F210" s="279"/>
    </row>
    <row r="211" spans="1:6">
      <c r="A211" s="240"/>
      <c r="B211" s="241" t="s">
        <v>746</v>
      </c>
      <c r="C211" s="220"/>
      <c r="D211" s="155" t="e">
        <f>'3. SOAL'!D211</f>
        <v>#N/A</v>
      </c>
      <c r="E211" s="237" t="s">
        <v>30</v>
      </c>
      <c r="F211" s="272"/>
    </row>
    <row r="212" spans="1:6">
      <c r="A212" s="231"/>
      <c r="B212" s="231"/>
    </row>
    <row r="213" spans="1:6">
      <c r="A213" s="231">
        <v>71</v>
      </c>
      <c r="B213" s="231" t="s">
        <v>744</v>
      </c>
      <c r="C213" s="220"/>
      <c r="D213" s="155" t="e">
        <f>'3. SOAL'!D213</f>
        <v>#N/A</v>
      </c>
      <c r="E213" s="237" t="s">
        <v>3</v>
      </c>
      <c r="F213" s="260"/>
    </row>
    <row r="214" spans="1:6">
      <c r="A214" s="240"/>
      <c r="B214" s="241" t="s">
        <v>746</v>
      </c>
      <c r="C214" s="220"/>
      <c r="D214" s="155" t="e">
        <f>'3. SOAL'!D214</f>
        <v>#N/A</v>
      </c>
      <c r="E214" s="237" t="s">
        <v>35</v>
      </c>
      <c r="F214" s="262"/>
    </row>
    <row r="215" spans="1:6">
      <c r="A215" s="231"/>
      <c r="B215" s="231"/>
    </row>
    <row r="216" spans="1:6">
      <c r="A216" s="231">
        <v>72</v>
      </c>
      <c r="B216" s="231" t="s">
        <v>744</v>
      </c>
      <c r="C216" s="220"/>
      <c r="D216" s="155" t="e">
        <f>'3. SOAL'!D216</f>
        <v>#N/A</v>
      </c>
      <c r="E216" s="237" t="s">
        <v>25</v>
      </c>
      <c r="F216" s="261"/>
    </row>
    <row r="217" spans="1:6">
      <c r="A217" s="240"/>
      <c r="B217" s="241" t="s">
        <v>746</v>
      </c>
      <c r="C217" s="220"/>
      <c r="D217" s="155" t="e">
        <f>'3. SOAL'!D217</f>
        <v>#N/A</v>
      </c>
      <c r="E217" s="237" t="s">
        <v>16</v>
      </c>
      <c r="F217" s="264"/>
    </row>
    <row r="218" spans="1:6">
      <c r="A218" s="231"/>
      <c r="B218" s="231"/>
    </row>
    <row r="219" spans="1:6">
      <c r="A219" s="231">
        <v>73</v>
      </c>
      <c r="B219" s="231" t="s">
        <v>744</v>
      </c>
      <c r="C219" s="220"/>
      <c r="D219" s="155" t="e">
        <f>'3. SOAL'!D219</f>
        <v>#N/A</v>
      </c>
      <c r="E219" s="237" t="s">
        <v>35</v>
      </c>
      <c r="F219" s="262"/>
    </row>
    <row r="220" spans="1:6">
      <c r="A220" s="240"/>
      <c r="B220" s="241" t="s">
        <v>746</v>
      </c>
      <c r="C220" s="220"/>
      <c r="D220" s="155" t="e">
        <f>'3. SOAL'!D220</f>
        <v>#N/A</v>
      </c>
      <c r="E220" s="237" t="s">
        <v>17</v>
      </c>
      <c r="F220" s="265"/>
    </row>
    <row r="221" spans="1:6">
      <c r="A221" s="231"/>
      <c r="B221" s="231"/>
    </row>
    <row r="222" spans="1:6">
      <c r="A222" s="231">
        <v>74</v>
      </c>
      <c r="B222" s="231" t="s">
        <v>744</v>
      </c>
      <c r="C222" s="220"/>
      <c r="D222" s="155" t="e">
        <f>'3. SOAL'!D222</f>
        <v>#N/A</v>
      </c>
      <c r="E222" s="237" t="s">
        <v>16</v>
      </c>
      <c r="F222" s="264"/>
    </row>
    <row r="223" spans="1:6">
      <c r="A223" s="240"/>
      <c r="B223" s="241" t="s">
        <v>746</v>
      </c>
      <c r="C223" s="220"/>
      <c r="D223" s="155" t="e">
        <f>'3. SOAL'!D223</f>
        <v>#N/A</v>
      </c>
      <c r="E223" s="237" t="s">
        <v>39</v>
      </c>
      <c r="F223" s="266"/>
    </row>
    <row r="224" spans="1:6">
      <c r="A224" s="231"/>
      <c r="B224" s="231"/>
    </row>
    <row r="225" spans="1:6">
      <c r="A225" s="231">
        <v>75</v>
      </c>
      <c r="B225" s="231" t="s">
        <v>744</v>
      </c>
      <c r="C225" s="220"/>
      <c r="D225" s="155" t="e">
        <f>'3. SOAL'!D225</f>
        <v>#N/A</v>
      </c>
      <c r="E225" s="237" t="s">
        <v>17</v>
      </c>
      <c r="F225" s="265"/>
    </row>
    <row r="226" spans="1:6">
      <c r="A226" s="240"/>
      <c r="B226" s="241" t="s">
        <v>746</v>
      </c>
      <c r="C226" s="220"/>
      <c r="D226" s="155" t="e">
        <f>'3. SOAL'!D226</f>
        <v>#N/A</v>
      </c>
      <c r="E226" s="237" t="s">
        <v>14</v>
      </c>
      <c r="F226" s="267"/>
    </row>
    <row r="227" spans="1:6">
      <c r="A227" s="231"/>
      <c r="B227" s="231"/>
    </row>
    <row r="228" spans="1:6">
      <c r="A228" s="231">
        <v>76</v>
      </c>
      <c r="B228" s="231" t="s">
        <v>744</v>
      </c>
      <c r="C228" s="220"/>
      <c r="D228" s="155" t="e">
        <f>'3. SOAL'!D228</f>
        <v>#N/A</v>
      </c>
      <c r="E228" s="237" t="s">
        <v>39</v>
      </c>
      <c r="F228" s="266"/>
    </row>
    <row r="229" spans="1:6">
      <c r="A229" s="240"/>
      <c r="B229" s="241" t="s">
        <v>746</v>
      </c>
      <c r="C229" s="220"/>
      <c r="D229" s="155" t="e">
        <f>'3. SOAL'!D229</f>
        <v>#N/A</v>
      </c>
      <c r="E229" s="237" t="s">
        <v>5</v>
      </c>
      <c r="F229" s="263"/>
    </row>
    <row r="230" spans="1:6">
      <c r="A230" s="231"/>
      <c r="B230" s="231"/>
    </row>
    <row r="231" spans="1:6">
      <c r="A231" s="231">
        <v>77</v>
      </c>
      <c r="B231" s="231" t="s">
        <v>744</v>
      </c>
      <c r="C231" s="220"/>
      <c r="D231" s="155" t="e">
        <f>'3. SOAL'!D231</f>
        <v>#N/A</v>
      </c>
      <c r="E231" s="237" t="s">
        <v>14</v>
      </c>
      <c r="F231" s="267"/>
    </row>
    <row r="232" spans="1:6">
      <c r="A232" s="240"/>
      <c r="B232" s="241" t="s">
        <v>746</v>
      </c>
      <c r="C232" s="220"/>
      <c r="D232" s="155" t="e">
        <f>'3. SOAL'!D232</f>
        <v>#N/A</v>
      </c>
      <c r="E232" s="237" t="s">
        <v>4</v>
      </c>
      <c r="F232" s="268"/>
    </row>
    <row r="233" spans="1:6">
      <c r="A233" s="231"/>
      <c r="B233" s="231"/>
    </row>
    <row r="234" spans="1:6">
      <c r="A234" s="231">
        <v>78</v>
      </c>
      <c r="B234" s="231" t="s">
        <v>744</v>
      </c>
      <c r="C234" s="220"/>
      <c r="D234" s="155" t="e">
        <f>'3. SOAL'!D234</f>
        <v>#N/A</v>
      </c>
      <c r="E234" s="237" t="s">
        <v>5</v>
      </c>
      <c r="F234" s="263"/>
    </row>
    <row r="235" spans="1:6">
      <c r="A235" s="240"/>
      <c r="B235" s="241" t="s">
        <v>746</v>
      </c>
      <c r="C235" s="220"/>
      <c r="D235" s="155" t="e">
        <f>'3. SOAL'!D235</f>
        <v>#N/A</v>
      </c>
      <c r="E235" s="237" t="s">
        <v>48</v>
      </c>
      <c r="F235" s="269"/>
    </row>
    <row r="236" spans="1:6">
      <c r="A236" s="231"/>
      <c r="B236" s="231"/>
    </row>
    <row r="237" spans="1:6">
      <c r="A237" s="231">
        <v>79</v>
      </c>
      <c r="B237" s="231" t="s">
        <v>744</v>
      </c>
      <c r="C237" s="220"/>
      <c r="D237" s="155" t="e">
        <f>'3. SOAL'!D237</f>
        <v>#N/A</v>
      </c>
      <c r="E237" s="237" t="s">
        <v>22</v>
      </c>
      <c r="F237" s="278"/>
    </row>
    <row r="238" spans="1:6">
      <c r="A238" s="240"/>
      <c r="B238" s="241" t="s">
        <v>746</v>
      </c>
      <c r="C238" s="220"/>
      <c r="D238" s="155" t="e">
        <f>'3. SOAL'!D238</f>
        <v>#N/A</v>
      </c>
      <c r="E238" s="237" t="s">
        <v>2</v>
      </c>
      <c r="F238" s="270"/>
    </row>
    <row r="239" spans="1:6">
      <c r="A239" s="231"/>
      <c r="B239" s="231"/>
    </row>
    <row r="240" spans="1:6">
      <c r="A240" s="231">
        <v>80</v>
      </c>
      <c r="B240" s="231" t="s">
        <v>744</v>
      </c>
      <c r="C240" s="220"/>
      <c r="D240" s="155" t="e">
        <f>'3. SOAL'!D240</f>
        <v>#N/A</v>
      </c>
      <c r="E240" s="237" t="s">
        <v>19</v>
      </c>
      <c r="F240" s="279"/>
    </row>
    <row r="241" spans="1:6">
      <c r="A241" s="240"/>
      <c r="B241" s="241" t="s">
        <v>746</v>
      </c>
      <c r="C241" s="220"/>
      <c r="D241" s="155" t="e">
        <f>'3. SOAL'!D241</f>
        <v>#N/A</v>
      </c>
      <c r="E241" s="237" t="s">
        <v>1</v>
      </c>
      <c r="F241" s="271"/>
    </row>
    <row r="242" spans="1:6">
      <c r="A242" s="231"/>
      <c r="B242" s="231"/>
    </row>
    <row r="243" spans="1:6">
      <c r="A243" s="231">
        <v>81</v>
      </c>
      <c r="B243" s="231" t="s">
        <v>744</v>
      </c>
      <c r="C243" s="220"/>
      <c r="D243" s="155" t="e">
        <f>'3. SOAL'!D243</f>
        <v>#N/A</v>
      </c>
      <c r="E243" s="237" t="s">
        <v>3</v>
      </c>
      <c r="F243" s="260"/>
    </row>
    <row r="244" spans="1:6">
      <c r="A244" s="240"/>
      <c r="B244" s="241" t="s">
        <v>746</v>
      </c>
      <c r="C244" s="220"/>
      <c r="D244" s="155" t="e">
        <f>'3. SOAL'!D244</f>
        <v>#N/A</v>
      </c>
      <c r="E244" s="237" t="s">
        <v>25</v>
      </c>
      <c r="F244" s="261"/>
    </row>
    <row r="245" spans="1:6">
      <c r="A245" s="231"/>
      <c r="B245" s="231"/>
    </row>
    <row r="246" spans="1:6">
      <c r="A246" s="231">
        <v>82</v>
      </c>
      <c r="B246" s="231" t="s">
        <v>744</v>
      </c>
      <c r="C246" s="220"/>
      <c r="D246" s="155" t="e">
        <f>'3. SOAL'!D246</f>
        <v>#N/A</v>
      </c>
      <c r="E246" s="237" t="s">
        <v>25</v>
      </c>
      <c r="F246" s="261"/>
    </row>
    <row r="247" spans="1:6">
      <c r="A247" s="240"/>
      <c r="B247" s="241" t="s">
        <v>746</v>
      </c>
      <c r="C247" s="220"/>
      <c r="D247" s="155" t="e">
        <f>'3. SOAL'!D247</f>
        <v>#N/A</v>
      </c>
      <c r="E247" s="237" t="s">
        <v>35</v>
      </c>
      <c r="F247" s="262"/>
    </row>
    <row r="248" spans="1:6">
      <c r="A248" s="231"/>
      <c r="B248" s="231"/>
    </row>
    <row r="249" spans="1:6">
      <c r="A249" s="231">
        <v>83</v>
      </c>
      <c r="B249" s="231" t="s">
        <v>744</v>
      </c>
      <c r="C249" s="220"/>
      <c r="D249" s="155" t="e">
        <f>'3. SOAL'!D249</f>
        <v>#N/A</v>
      </c>
      <c r="E249" s="237" t="s">
        <v>35</v>
      </c>
      <c r="F249" s="262"/>
    </row>
    <row r="250" spans="1:6">
      <c r="A250" s="240"/>
      <c r="B250" s="241" t="s">
        <v>746</v>
      </c>
      <c r="C250" s="220"/>
      <c r="D250" s="155" t="e">
        <f>'3. SOAL'!D250</f>
        <v>#N/A</v>
      </c>
      <c r="E250" s="237" t="s">
        <v>16</v>
      </c>
      <c r="F250" s="264"/>
    </row>
    <row r="251" spans="1:6">
      <c r="A251" s="231"/>
      <c r="B251" s="231"/>
    </row>
    <row r="252" spans="1:6">
      <c r="A252" s="231">
        <v>84</v>
      </c>
      <c r="B252" s="231" t="s">
        <v>744</v>
      </c>
      <c r="C252" s="220"/>
      <c r="D252" s="155" t="e">
        <f>'3. SOAL'!D252</f>
        <v>#N/A</v>
      </c>
      <c r="E252" s="237" t="s">
        <v>16</v>
      </c>
      <c r="F252" s="264"/>
    </row>
    <row r="253" spans="1:6">
      <c r="A253" s="240"/>
      <c r="B253" s="241" t="s">
        <v>746</v>
      </c>
      <c r="C253" s="220"/>
      <c r="D253" s="155" t="e">
        <f>'3. SOAL'!D253</f>
        <v>#N/A</v>
      </c>
      <c r="E253" s="237" t="s">
        <v>17</v>
      </c>
      <c r="F253" s="265"/>
    </row>
    <row r="254" spans="1:6">
      <c r="A254" s="231"/>
      <c r="B254" s="231"/>
    </row>
    <row r="255" spans="1:6">
      <c r="A255" s="231">
        <v>85</v>
      </c>
      <c r="B255" s="231" t="s">
        <v>744</v>
      </c>
      <c r="C255" s="220"/>
      <c r="D255" s="155" t="e">
        <f>'3. SOAL'!D255</f>
        <v>#N/A</v>
      </c>
      <c r="E255" s="237" t="s">
        <v>17</v>
      </c>
      <c r="F255" s="265"/>
    </row>
    <row r="256" spans="1:6">
      <c r="A256" s="240"/>
      <c r="B256" s="241" t="s">
        <v>746</v>
      </c>
      <c r="C256" s="220"/>
      <c r="D256" s="155" t="e">
        <f>'3. SOAL'!D256</f>
        <v>#N/A</v>
      </c>
      <c r="E256" s="237" t="s">
        <v>39</v>
      </c>
      <c r="F256" s="266"/>
    </row>
    <row r="257" spans="1:6">
      <c r="A257" s="231"/>
      <c r="B257" s="231"/>
    </row>
    <row r="258" spans="1:6">
      <c r="A258" s="231">
        <v>86</v>
      </c>
      <c r="B258" s="231" t="s">
        <v>744</v>
      </c>
      <c r="C258" s="220"/>
      <c r="D258" s="155" t="e">
        <f>'3. SOAL'!D258</f>
        <v>#N/A</v>
      </c>
      <c r="E258" s="237" t="s">
        <v>39</v>
      </c>
      <c r="F258" s="266"/>
    </row>
    <row r="259" spans="1:6">
      <c r="A259" s="240"/>
      <c r="B259" s="241" t="s">
        <v>746</v>
      </c>
      <c r="C259" s="220"/>
      <c r="D259" s="155" t="e">
        <f>'3. SOAL'!D259</f>
        <v>#N/A</v>
      </c>
      <c r="E259" s="237" t="s">
        <v>14</v>
      </c>
      <c r="F259" s="267"/>
    </row>
    <row r="260" spans="1:6">
      <c r="A260" s="231"/>
      <c r="B260" s="231"/>
    </row>
    <row r="261" spans="1:6">
      <c r="A261" s="231">
        <v>87</v>
      </c>
      <c r="B261" s="231" t="s">
        <v>744</v>
      </c>
      <c r="C261" s="220"/>
      <c r="D261" s="155" t="e">
        <f>'3. SOAL'!D261</f>
        <v>#N/A</v>
      </c>
      <c r="E261" s="237" t="s">
        <v>14</v>
      </c>
      <c r="F261" s="267"/>
    </row>
    <row r="262" spans="1:6">
      <c r="A262" s="240"/>
      <c r="B262" s="241" t="s">
        <v>746</v>
      </c>
      <c r="C262" s="220"/>
      <c r="D262" s="155" t="e">
        <f>'3. SOAL'!D262</f>
        <v>#N/A</v>
      </c>
      <c r="E262" s="237" t="s">
        <v>5</v>
      </c>
      <c r="F262" s="263"/>
    </row>
    <row r="263" spans="1:6">
      <c r="A263" s="231"/>
      <c r="B263" s="231"/>
    </row>
    <row r="264" spans="1:6">
      <c r="A264" s="231">
        <v>88</v>
      </c>
      <c r="B264" s="231" t="s">
        <v>744</v>
      </c>
      <c r="C264" s="220"/>
      <c r="D264" s="155" t="e">
        <f>'3. SOAL'!D264</f>
        <v>#N/A</v>
      </c>
      <c r="E264" s="237" t="s">
        <v>5</v>
      </c>
      <c r="F264" s="263"/>
    </row>
    <row r="265" spans="1:6">
      <c r="A265" s="240"/>
      <c r="B265" s="241" t="s">
        <v>746</v>
      </c>
      <c r="C265" s="220"/>
      <c r="D265" s="155" t="e">
        <f>'3. SOAL'!D265</f>
        <v>#N/A</v>
      </c>
      <c r="E265" s="237" t="s">
        <v>4</v>
      </c>
      <c r="F265" s="268"/>
    </row>
    <row r="266" spans="1:6">
      <c r="A266" s="231"/>
      <c r="B266" s="231"/>
    </row>
    <row r="267" spans="1:6">
      <c r="A267" s="231">
        <v>89</v>
      </c>
      <c r="B267" s="231" t="s">
        <v>744</v>
      </c>
      <c r="C267" s="220"/>
      <c r="D267" s="155" t="e">
        <f>'3. SOAL'!D267</f>
        <v>#N/A</v>
      </c>
      <c r="E267" s="237" t="s">
        <v>4</v>
      </c>
      <c r="F267" s="268"/>
    </row>
    <row r="268" spans="1:6">
      <c r="A268" s="240"/>
      <c r="B268" s="241" t="s">
        <v>746</v>
      </c>
      <c r="C268" s="220"/>
      <c r="D268" s="155" t="e">
        <f>'3. SOAL'!D268</f>
        <v>#N/A</v>
      </c>
      <c r="E268" s="237" t="s">
        <v>48</v>
      </c>
      <c r="F268" s="269"/>
    </row>
    <row r="269" spans="1:6">
      <c r="A269" s="231"/>
      <c r="B269" s="231"/>
    </row>
    <row r="270" spans="1:6">
      <c r="A270" s="231">
        <v>90</v>
      </c>
      <c r="B270" s="231" t="s">
        <v>744</v>
      </c>
      <c r="C270" s="220"/>
      <c r="D270" s="155" t="e">
        <f>'3. SOAL'!D270</f>
        <v>#N/A</v>
      </c>
      <c r="E270" s="237" t="s">
        <v>19</v>
      </c>
      <c r="F270" s="279"/>
    </row>
    <row r="271" spans="1:6">
      <c r="A271" s="240"/>
      <c r="B271" s="241" t="s">
        <v>746</v>
      </c>
      <c r="C271" s="255"/>
      <c r="D271" s="155" t="e">
        <f>'3. SOAL'!D271</f>
        <v>#N/A</v>
      </c>
      <c r="E271" s="237" t="s">
        <v>2</v>
      </c>
      <c r="F271" s="270"/>
    </row>
    <row r="272" spans="1:6">
      <c r="B272" s="231"/>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tabSelected="1" view="pageBreakPreview" topLeftCell="A7" zoomScaleSheetLayoutView="100" workbookViewId="0">
      <selection activeCell="C22" sqref="C22"/>
    </sheetView>
  </sheetViews>
  <sheetFormatPr defaultRowHeight="14.4"/>
  <cols>
    <col min="1" max="1" width="23.33203125" customWidth="1"/>
  </cols>
  <sheetData>
    <row r="2" spans="1:9" ht="18">
      <c r="A2" s="79" t="s">
        <v>646</v>
      </c>
      <c r="B2">
        <f>'1. NAMA PESERTA'!B4</f>
        <v>0</v>
      </c>
    </row>
    <row r="3" spans="1:9" ht="18">
      <c r="A3" s="79" t="s">
        <v>643</v>
      </c>
      <c r="B3">
        <f>'1. NAMA PESERTA'!B5</f>
        <v>0</v>
      </c>
    </row>
    <row r="4" spans="1:9" ht="18">
      <c r="A4" s="79" t="s">
        <v>369</v>
      </c>
      <c r="B4">
        <f>'1. NAMA PESERTA'!B6</f>
        <v>0</v>
      </c>
    </row>
    <row r="5" spans="1:9" ht="18">
      <c r="A5" s="79" t="s">
        <v>370</v>
      </c>
      <c r="B5">
        <f>'1. NAMA PESERTA'!B7</f>
        <v>0</v>
      </c>
      <c r="C5" t="s">
        <v>678</v>
      </c>
    </row>
    <row r="6" spans="1:9" ht="18">
      <c r="A6" s="79" t="s">
        <v>371</v>
      </c>
      <c r="B6">
        <f>'1. NAMA PESERTA'!B8</f>
        <v>0</v>
      </c>
    </row>
    <row r="7" spans="1:9" ht="18">
      <c r="A7" s="79" t="s">
        <v>368</v>
      </c>
      <c r="B7">
        <f>'1. NAMA PESERTA'!B9</f>
        <v>0</v>
      </c>
    </row>
    <row r="8" spans="1:9" ht="18">
      <c r="A8" s="79" t="s">
        <v>644</v>
      </c>
      <c r="B8" s="257">
        <f>'1. NAMA PESERTA'!B10</f>
        <v>0</v>
      </c>
    </row>
    <row r="9" spans="1:9" ht="18">
      <c r="A9" s="79" t="s">
        <v>724</v>
      </c>
      <c r="B9">
        <f>'1. NAMA PESERTA'!B11</f>
        <v>0</v>
      </c>
    </row>
    <row r="10" spans="1:9" ht="18">
      <c r="A10" s="79"/>
    </row>
    <row r="11" spans="1:9" ht="18">
      <c r="A11" s="79"/>
      <c r="C11" t="s">
        <v>923</v>
      </c>
    </row>
    <row r="12" spans="1:9">
      <c r="A12" s="256"/>
      <c r="B12" s="256" t="s">
        <v>2</v>
      </c>
      <c r="C12" s="156" t="e">
        <f>HITUNG!H39</f>
        <v>#N/A</v>
      </c>
      <c r="D12" s="256"/>
      <c r="E12" s="256"/>
      <c r="F12" s="256"/>
      <c r="G12" s="256"/>
      <c r="H12" s="256"/>
      <c r="I12" s="256"/>
    </row>
    <row r="13" spans="1:9">
      <c r="A13" s="256"/>
      <c r="B13" s="256" t="s">
        <v>3</v>
      </c>
      <c r="C13" s="156" t="e">
        <f>HITUNG!H26</f>
        <v>#N/A</v>
      </c>
      <c r="D13" s="256"/>
      <c r="E13" s="256"/>
      <c r="F13" s="256"/>
      <c r="G13" s="256"/>
      <c r="H13" s="256"/>
      <c r="I13" s="256"/>
    </row>
    <row r="14" spans="1:9">
      <c r="A14" s="256"/>
      <c r="B14" s="256" t="s">
        <v>1</v>
      </c>
      <c r="C14" s="156" t="e">
        <f>HITUNG!I39</f>
        <v>#N/A</v>
      </c>
      <c r="D14" s="256"/>
      <c r="E14" s="256"/>
      <c r="F14" s="256"/>
      <c r="G14" s="256"/>
      <c r="H14" s="256"/>
      <c r="I14" s="256"/>
    </row>
    <row r="15" spans="1:9">
      <c r="A15" s="256"/>
      <c r="B15" s="256" t="s">
        <v>25</v>
      </c>
      <c r="C15" s="156" t="e">
        <f>HITUNG!I26</f>
        <v>#N/A</v>
      </c>
      <c r="D15" s="256"/>
      <c r="E15" s="256"/>
      <c r="F15" s="256"/>
      <c r="G15" s="256"/>
      <c r="H15" s="256"/>
      <c r="I15" s="256"/>
    </row>
    <row r="16" spans="1:9">
      <c r="A16" s="256"/>
      <c r="B16" s="256" t="s">
        <v>30</v>
      </c>
      <c r="C16" s="156" t="e">
        <f>HITUNG!J39</f>
        <v>#N/A</v>
      </c>
      <c r="D16" s="256"/>
      <c r="E16" s="256"/>
      <c r="F16" s="256"/>
      <c r="G16" s="256"/>
      <c r="H16" s="256"/>
      <c r="I16" s="256"/>
    </row>
    <row r="17" spans="1:9">
      <c r="A17" s="256"/>
      <c r="B17" s="256" t="s">
        <v>35</v>
      </c>
      <c r="C17" s="156" t="e">
        <f>HITUNG!J26</f>
        <v>#N/A</v>
      </c>
      <c r="D17" s="256"/>
      <c r="E17" s="256"/>
      <c r="F17" s="256"/>
      <c r="G17" s="256"/>
      <c r="H17" s="256"/>
      <c r="I17" s="256"/>
    </row>
    <row r="18" spans="1:9">
      <c r="A18" s="256"/>
      <c r="B18" s="256" t="s">
        <v>16</v>
      </c>
      <c r="C18" s="156" t="e">
        <f>HITUNG!K26</f>
        <v>#N/A</v>
      </c>
      <c r="D18" s="256"/>
      <c r="E18" s="256"/>
      <c r="F18" s="256"/>
      <c r="G18" s="256"/>
      <c r="H18" s="256"/>
      <c r="I18" s="256"/>
    </row>
    <row r="19" spans="1:9">
      <c r="A19" s="256"/>
      <c r="B19" s="256" t="s">
        <v>17</v>
      </c>
      <c r="C19" s="156" t="e">
        <f>HITUNG!L26</f>
        <v>#N/A</v>
      </c>
      <c r="D19" s="256"/>
      <c r="E19" s="256"/>
      <c r="F19" s="256"/>
      <c r="G19" s="256"/>
      <c r="H19" s="256"/>
      <c r="I19" s="256"/>
    </row>
    <row r="20" spans="1:9">
      <c r="A20" s="256"/>
      <c r="B20" s="256" t="s">
        <v>45</v>
      </c>
      <c r="C20" s="156" t="e">
        <f>HITUNG!K39</f>
        <v>#N/A</v>
      </c>
      <c r="D20" s="256"/>
      <c r="E20" s="256"/>
      <c r="F20" s="256"/>
      <c r="G20" s="256"/>
      <c r="H20" s="256"/>
      <c r="I20" s="256"/>
    </row>
    <row r="21" spans="1:9">
      <c r="A21" s="256"/>
      <c r="B21" s="256" t="s">
        <v>39</v>
      </c>
      <c r="C21" s="156" t="e">
        <f>HITUNG!M26</f>
        <v>#N/A</v>
      </c>
      <c r="D21" s="256"/>
      <c r="E21" s="256"/>
      <c r="F21" s="256"/>
      <c r="G21" s="256"/>
      <c r="H21" s="256"/>
      <c r="I21" s="256"/>
    </row>
    <row r="22" spans="1:9">
      <c r="A22" s="256"/>
      <c r="B22" s="256" t="s">
        <v>41</v>
      </c>
      <c r="C22" s="156" t="e">
        <f>HITUNG!L39</f>
        <v>#N/A</v>
      </c>
      <c r="D22" s="256"/>
      <c r="E22" s="256"/>
      <c r="F22" s="256"/>
      <c r="G22" s="256"/>
      <c r="H22" s="256"/>
      <c r="I22" s="256"/>
    </row>
    <row r="23" spans="1:9">
      <c r="A23" s="256"/>
      <c r="B23" s="256" t="s">
        <v>43</v>
      </c>
      <c r="C23" s="156" t="e">
        <f>HITUNG!M39</f>
        <v>#N/A</v>
      </c>
      <c r="D23" s="256"/>
      <c r="E23" s="256"/>
      <c r="F23" s="256"/>
      <c r="G23" s="256"/>
      <c r="H23" s="256"/>
      <c r="I23" s="256"/>
    </row>
    <row r="24" spans="1:9">
      <c r="A24" s="256"/>
      <c r="B24" s="256" t="s">
        <v>14</v>
      </c>
      <c r="C24" s="156" t="e">
        <f>HITUNG!N26</f>
        <v>#N/A</v>
      </c>
      <c r="D24" s="256"/>
      <c r="E24" s="256"/>
      <c r="F24" s="256"/>
      <c r="G24" s="256"/>
      <c r="H24" s="256"/>
      <c r="I24" s="256"/>
    </row>
    <row r="25" spans="1:9">
      <c r="A25" s="256"/>
      <c r="B25" s="256" t="s">
        <v>5</v>
      </c>
      <c r="C25" s="156" t="e">
        <f>HITUNG!O26</f>
        <v>#N/A</v>
      </c>
      <c r="D25" s="256"/>
      <c r="E25" s="256"/>
      <c r="F25" s="256"/>
      <c r="G25" s="256"/>
      <c r="H25" s="256"/>
      <c r="I25" s="256"/>
    </row>
    <row r="26" spans="1:9">
      <c r="A26" s="256"/>
      <c r="B26" s="256" t="s">
        <v>4</v>
      </c>
      <c r="C26" s="156" t="e">
        <f>HITUNG!P26</f>
        <v>#N/A</v>
      </c>
      <c r="D26" s="256"/>
      <c r="E26" s="256"/>
      <c r="F26" s="256"/>
      <c r="G26" s="256"/>
      <c r="H26" s="256"/>
      <c r="I26" s="256"/>
    </row>
    <row r="27" spans="1:9">
      <c r="A27" s="281"/>
      <c r="B27" s="256" t="s">
        <v>55</v>
      </c>
      <c r="C27" s="156" t="e">
        <f>HITUNG!N39</f>
        <v>#N/A</v>
      </c>
      <c r="D27" s="256"/>
      <c r="E27" s="256"/>
      <c r="F27" s="256"/>
      <c r="G27" s="256"/>
      <c r="H27" s="256"/>
      <c r="I27" s="256"/>
    </row>
    <row r="28" spans="1:9">
      <c r="A28" s="256"/>
      <c r="B28" s="256" t="s">
        <v>48</v>
      </c>
      <c r="C28" s="156" t="e">
        <f>HITUNG!Q26</f>
        <v>#N/A</v>
      </c>
      <c r="D28" s="256"/>
      <c r="E28" s="256"/>
      <c r="F28" s="256"/>
      <c r="G28" s="256"/>
      <c r="H28" s="256"/>
      <c r="I28" s="256"/>
    </row>
    <row r="29" spans="1:9">
      <c r="A29" s="281"/>
      <c r="B29" s="256" t="s">
        <v>51</v>
      </c>
      <c r="C29" s="156" t="e">
        <f>HITUNG!O39</f>
        <v>#N/A</v>
      </c>
      <c r="D29" s="256"/>
      <c r="E29" s="256"/>
      <c r="F29" s="256"/>
      <c r="G29" s="256"/>
      <c r="H29" s="256"/>
      <c r="I29" s="256"/>
    </row>
    <row r="30" spans="1:9">
      <c r="A30" s="256"/>
      <c r="B30" s="256" t="s">
        <v>22</v>
      </c>
      <c r="C30" s="156" t="e">
        <f>HITUNG!P39</f>
        <v>#N/A</v>
      </c>
      <c r="D30" s="256"/>
      <c r="E30" s="256"/>
      <c r="F30" s="256"/>
      <c r="G30" s="256"/>
      <c r="H30" s="256"/>
      <c r="I30" s="256"/>
    </row>
    <row r="31" spans="1:9">
      <c r="A31" s="256"/>
      <c r="B31" s="256" t="s">
        <v>19</v>
      </c>
      <c r="C31" s="156" t="e">
        <f>HITUNG!Q39</f>
        <v>#N/A</v>
      </c>
      <c r="D31" s="256"/>
      <c r="E31" s="256"/>
      <c r="F31" s="256"/>
      <c r="G31" s="256"/>
      <c r="H31" s="256"/>
      <c r="I31" s="256"/>
    </row>
  </sheetData>
  <pageMargins left="0.70866141732283472" right="0.70866141732283472" top="0.74803149606299213" bottom="0.74803149606299213" header="0.31496062992125984" footer="0.31496062992125984"/>
  <pageSetup scale="91" orientation="landscape"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view="pageBreakPreview" topLeftCell="A31" zoomScale="64" zoomScaleSheetLayoutView="64" workbookViewId="0">
      <selection activeCell="B4" sqref="B4"/>
    </sheetView>
  </sheetViews>
  <sheetFormatPr defaultRowHeight="15.6"/>
  <cols>
    <col min="1" max="1" width="28" style="4" customWidth="1"/>
    <col min="2" max="2" width="43" style="4" customWidth="1"/>
    <col min="3" max="3" width="10.44140625" style="4" customWidth="1"/>
    <col min="4" max="4" width="7.6640625" style="4" customWidth="1"/>
    <col min="5" max="5" width="8.109375" style="4" customWidth="1"/>
    <col min="6" max="6" width="8.88671875" style="4" customWidth="1"/>
    <col min="7" max="7" width="8.5546875" style="4" customWidth="1"/>
    <col min="8" max="8" width="9" style="5" customWidth="1"/>
    <col min="9" max="9" width="8.33203125" style="4" customWidth="1"/>
    <col min="10" max="10" width="27.33203125" style="4" customWidth="1"/>
    <col min="11" max="11" width="42.88671875" style="4" customWidth="1"/>
    <col min="12" max="12" width="107.33203125" style="4" customWidth="1"/>
    <col min="13" max="13" width="12.6640625" customWidth="1"/>
  </cols>
  <sheetData>
    <row r="1" spans="1:12" ht="21">
      <c r="A1" s="296" t="s">
        <v>714</v>
      </c>
      <c r="B1" s="296"/>
      <c r="C1" s="296"/>
      <c r="D1" s="296"/>
      <c r="E1" s="296"/>
      <c r="F1" s="296"/>
      <c r="G1" s="296"/>
      <c r="H1" s="296"/>
      <c r="I1" s="296"/>
      <c r="J1" s="297" t="s">
        <v>718</v>
      </c>
      <c r="K1" s="297"/>
      <c r="L1" s="297"/>
    </row>
    <row r="2" spans="1:12" ht="28.5" customHeight="1">
      <c r="A2" s="298" t="s">
        <v>715</v>
      </c>
      <c r="B2" s="298"/>
      <c r="C2" s="298"/>
      <c r="D2" s="298"/>
      <c r="E2" s="298"/>
      <c r="F2" s="298"/>
      <c r="G2" s="298"/>
      <c r="H2" s="298"/>
      <c r="I2" s="298"/>
      <c r="J2" s="298" t="s">
        <v>715</v>
      </c>
      <c r="K2" s="298"/>
      <c r="L2" s="298"/>
    </row>
    <row r="3" spans="1:12" ht="18">
      <c r="A3" s="79" t="s">
        <v>646</v>
      </c>
      <c r="B3" s="80">
        <f>'1. NAMA PESERTA'!$B$4</f>
        <v>0</v>
      </c>
      <c r="C3" s="8"/>
      <c r="D3" s="8"/>
      <c r="E3" s="8"/>
      <c r="F3" s="8"/>
      <c r="G3" s="8"/>
      <c r="H3" s="147"/>
      <c r="I3" s="9"/>
      <c r="J3" s="9"/>
      <c r="K3" s="79" t="s">
        <v>646</v>
      </c>
      <c r="L3" s="10">
        <f t="shared" ref="L3" si="0">B3</f>
        <v>0</v>
      </c>
    </row>
    <row r="4" spans="1:12" ht="18">
      <c r="A4" s="79" t="s">
        <v>643</v>
      </c>
      <c r="B4" s="80">
        <f>'1. NAMA PESERTA'!$B$5</f>
        <v>0</v>
      </c>
      <c r="C4" s="8"/>
      <c r="D4" s="8"/>
      <c r="E4" s="8"/>
      <c r="F4" s="8"/>
      <c r="G4" s="8"/>
      <c r="H4" s="147"/>
      <c r="I4" s="9"/>
      <c r="J4" s="9"/>
      <c r="K4" s="79" t="s">
        <v>643</v>
      </c>
      <c r="L4" s="10">
        <f>B4</f>
        <v>0</v>
      </c>
    </row>
    <row r="5" spans="1:12" ht="15.75" customHeight="1">
      <c r="A5" s="79" t="s">
        <v>369</v>
      </c>
      <c r="B5" s="80">
        <f>'1. NAMA PESERTA'!$B$6</f>
        <v>0</v>
      </c>
      <c r="C5" s="8"/>
      <c r="D5" s="8"/>
      <c r="E5" s="8"/>
      <c r="F5" s="8"/>
      <c r="G5" s="8"/>
      <c r="H5" s="147"/>
      <c r="I5" s="11"/>
      <c r="J5" s="11"/>
      <c r="K5" s="79" t="s">
        <v>645</v>
      </c>
      <c r="L5" s="10">
        <f>B10</f>
        <v>0</v>
      </c>
    </row>
    <row r="6" spans="1:12" ht="15.75" customHeight="1">
      <c r="A6" s="79" t="s">
        <v>370</v>
      </c>
      <c r="B6" s="80">
        <f>'1. NAMA PESERTA'!$B$7</f>
        <v>0</v>
      </c>
      <c r="C6" s="8" t="s">
        <v>678</v>
      </c>
      <c r="D6" s="8"/>
      <c r="E6" s="8"/>
      <c r="F6" s="8"/>
      <c r="G6" s="8"/>
      <c r="H6" s="147"/>
      <c r="I6" s="12"/>
      <c r="J6" s="12"/>
      <c r="K6" s="79"/>
      <c r="L6" s="10"/>
    </row>
    <row r="7" spans="1:12" ht="15.75" customHeight="1">
      <c r="A7" s="79" t="s">
        <v>371</v>
      </c>
      <c r="B7" s="80">
        <f>'1. NAMA PESERTA'!$B$8</f>
        <v>0</v>
      </c>
      <c r="C7" s="8"/>
      <c r="D7" s="8"/>
      <c r="E7" s="8"/>
      <c r="F7" s="8"/>
      <c r="G7" s="8"/>
      <c r="H7" s="147"/>
      <c r="I7" s="12"/>
      <c r="J7" s="12"/>
      <c r="K7" s="79"/>
      <c r="L7" s="10"/>
    </row>
    <row r="8" spans="1:12" ht="15.75" customHeight="1">
      <c r="A8" s="79" t="s">
        <v>368</v>
      </c>
      <c r="B8" s="80">
        <f>'1. NAMA PESERTA'!$B$9</f>
        <v>0</v>
      </c>
      <c r="C8" s="8"/>
      <c r="D8" s="8"/>
      <c r="E8" s="8"/>
      <c r="F8" s="8"/>
      <c r="G8" s="8"/>
      <c r="H8" s="147"/>
      <c r="I8" s="12"/>
      <c r="J8" s="12"/>
      <c r="K8" s="79"/>
      <c r="L8" s="10"/>
    </row>
    <row r="9" spans="1:12" ht="15.75" customHeight="1">
      <c r="A9" s="79" t="s">
        <v>644</v>
      </c>
      <c r="B9" s="154">
        <f>'1. NAMA PESERTA'!$B$10</f>
        <v>0</v>
      </c>
      <c r="C9" s="8"/>
      <c r="D9" s="8"/>
      <c r="E9" s="8"/>
      <c r="F9" s="8"/>
      <c r="G9" s="8"/>
      <c r="H9" s="147"/>
      <c r="I9" s="12"/>
      <c r="J9" s="12"/>
      <c r="K9" s="79"/>
      <c r="L9" s="10"/>
    </row>
    <row r="10" spans="1:12" ht="15.75" customHeight="1">
      <c r="A10" s="79" t="s">
        <v>645</v>
      </c>
      <c r="B10" s="80">
        <f>'1. NAMA PESERTA'!$B$11</f>
        <v>0</v>
      </c>
      <c r="C10" s="8"/>
      <c r="D10" s="8"/>
      <c r="E10" s="8"/>
      <c r="F10" s="8"/>
      <c r="G10" s="8"/>
      <c r="H10" s="147"/>
      <c r="I10" s="12"/>
      <c r="J10" s="12"/>
    </row>
    <row r="11" spans="1:12" ht="16.2" thickBot="1">
      <c r="A11" s="8"/>
      <c r="B11" s="23"/>
      <c r="C11" s="8"/>
      <c r="D11" s="8"/>
      <c r="E11" s="8"/>
      <c r="F11" s="23"/>
      <c r="G11" s="8"/>
      <c r="H11" s="14"/>
      <c r="I11" s="12"/>
      <c r="J11" s="12"/>
      <c r="K11" s="24"/>
      <c r="L11" s="12"/>
    </row>
    <row r="12" spans="1:12" ht="15.75" customHeight="1" thickBot="1">
      <c r="A12" s="299" t="s">
        <v>365</v>
      </c>
      <c r="B12" s="300"/>
      <c r="C12" s="305" t="s">
        <v>548</v>
      </c>
      <c r="D12" s="306"/>
      <c r="E12" s="306"/>
      <c r="F12" s="306"/>
      <c r="G12" s="306"/>
      <c r="H12" s="306"/>
      <c r="I12" s="307"/>
      <c r="J12" s="308" t="s">
        <v>365</v>
      </c>
      <c r="K12" s="309"/>
      <c r="L12" s="312" t="s">
        <v>719</v>
      </c>
    </row>
    <row r="13" spans="1:12" ht="15" customHeight="1">
      <c r="A13" s="301"/>
      <c r="B13" s="302"/>
      <c r="C13" s="25">
        <v>1</v>
      </c>
      <c r="D13" s="26">
        <v>2</v>
      </c>
      <c r="E13" s="26">
        <v>3</v>
      </c>
      <c r="F13" s="26">
        <v>4</v>
      </c>
      <c r="G13" s="26">
        <v>5</v>
      </c>
      <c r="H13" s="27">
        <v>6</v>
      </c>
      <c r="I13" s="77">
        <v>7</v>
      </c>
      <c r="J13" s="310"/>
      <c r="K13" s="311"/>
      <c r="L13" s="313"/>
    </row>
    <row r="14" spans="1:12" ht="35.25" customHeight="1" thickBot="1">
      <c r="A14" s="303"/>
      <c r="B14" s="304"/>
      <c r="C14" s="28" t="s">
        <v>627</v>
      </c>
      <c r="D14" s="29" t="s">
        <v>639</v>
      </c>
      <c r="E14" s="29" t="s">
        <v>628</v>
      </c>
      <c r="F14" s="29" t="s">
        <v>393</v>
      </c>
      <c r="G14" s="29" t="s">
        <v>640</v>
      </c>
      <c r="H14" s="30" t="s">
        <v>394</v>
      </c>
      <c r="I14" s="78" t="s">
        <v>629</v>
      </c>
      <c r="J14" s="310"/>
      <c r="K14" s="311"/>
      <c r="L14" s="314"/>
    </row>
    <row r="15" spans="1:12" ht="18">
      <c r="A15" s="31" t="s">
        <v>547</v>
      </c>
      <c r="B15" s="32"/>
      <c r="C15" s="32"/>
      <c r="D15" s="32"/>
      <c r="E15" s="33"/>
      <c r="F15" s="32"/>
      <c r="G15" s="33"/>
      <c r="H15" s="34"/>
      <c r="I15" s="144"/>
      <c r="J15" s="31" t="s">
        <v>547</v>
      </c>
      <c r="K15" s="35"/>
      <c r="L15" s="36"/>
    </row>
    <row r="16" spans="1:12" ht="29.25" customHeight="1">
      <c r="A16" s="37" t="s">
        <v>601</v>
      </c>
      <c r="B16" s="38" t="s">
        <v>603</v>
      </c>
      <c r="C16" s="39" t="e">
        <f>IF(OR('I.RANGE ANALYSIS'!K13="A0",'I.RANGE ANALYSIS'!K13="A1",'I.RANGE ANALYSIS'!K13="A2"),"X","-")</f>
        <v>#N/A</v>
      </c>
      <c r="D16" s="39" t="e">
        <f>IF('I.RANGE ANALYSIS'!K13="A3","X","-")</f>
        <v>#N/A</v>
      </c>
      <c r="E16" s="39" t="e">
        <f>IF('I.RANGE ANALYSIS'!K13="A4","X","-")</f>
        <v>#N/A</v>
      </c>
      <c r="F16" s="39" t="e">
        <f>IF('I.RANGE ANALYSIS'!K13="A5","X","-")</f>
        <v>#N/A</v>
      </c>
      <c r="G16" s="39" t="e">
        <f>IF('I.RANGE ANALYSIS'!K13="A6","X","-")</f>
        <v>#N/A</v>
      </c>
      <c r="H16" s="39" t="e">
        <f>IF(OR('I.RANGE ANALYSIS'!K13="A7",'I.RANGE ANALYSIS'!K13="A8"),"X","-")</f>
        <v>#N/A</v>
      </c>
      <c r="I16" s="145" t="e">
        <f>IF('I.RANGE ANALYSIS'!K13="A9","X","-")</f>
        <v>#N/A</v>
      </c>
      <c r="J16" s="76" t="s">
        <v>601</v>
      </c>
      <c r="K16" s="40" t="s">
        <v>603</v>
      </c>
      <c r="L16" s="72" t="e">
        <f>Deskriptif!B13</f>
        <v>#N/A</v>
      </c>
    </row>
    <row r="17" spans="1:18" ht="28.5" customHeight="1">
      <c r="A17" s="41"/>
      <c r="B17" s="42" t="s">
        <v>604</v>
      </c>
      <c r="C17" s="43" t="e">
        <f>IF(OR('I.RANGE ANALYSIS'!K15="G0",'I.RANGE ANALYSIS'!K15="G1"),"X","-")</f>
        <v>#N/A</v>
      </c>
      <c r="D17" s="43" t="e">
        <f>IF('I.RANGE ANALYSIS'!K15="G2","X","-")</f>
        <v>#N/A</v>
      </c>
      <c r="E17" s="43" t="e">
        <f>IF('I.RANGE ANALYSIS'!K15="G3","X","-")</f>
        <v>#N/A</v>
      </c>
      <c r="F17" s="43" t="e">
        <f>IF('I.RANGE ANALYSIS'!K15="G4","X","-")</f>
        <v>#N/A</v>
      </c>
      <c r="G17" s="43" t="e">
        <f>IF('I.RANGE ANALYSIS'!K15="G5","X","-")</f>
        <v>#N/A</v>
      </c>
      <c r="H17" s="43" t="e">
        <f>IF(OR('I.RANGE ANALYSIS'!K15="G6",'I.RANGE ANALYSIS'!K15="G7"),"X","-")</f>
        <v>#N/A</v>
      </c>
      <c r="I17" s="44" t="e">
        <f>IF(OR('I.RANGE ANALYSIS'!K15="G8",'I.RANGE ANALYSIS'!K15="G9"),"X","-")</f>
        <v>#N/A</v>
      </c>
      <c r="J17" s="56"/>
      <c r="K17" s="40" t="s">
        <v>604</v>
      </c>
      <c r="L17" s="73" t="e">
        <f>Deskriptif!B27</f>
        <v>#N/A</v>
      </c>
    </row>
    <row r="18" spans="1:18" ht="33.75" customHeight="1">
      <c r="A18" s="41"/>
      <c r="B18" s="42" t="s">
        <v>605</v>
      </c>
      <c r="C18" s="43" t="e">
        <f>IF('I.RANGE ANALYSIS'!K15="G0","X","-")</f>
        <v>#N/A</v>
      </c>
      <c r="D18" s="43" t="e">
        <f>IF(OR('I.RANGE ANALYSIS'!K15="G1",'I.RANGE ANALYSIS'!K15="G2"),"X","-")</f>
        <v>#N/A</v>
      </c>
      <c r="E18" s="43" t="e">
        <f>IF(OR('I.RANGE ANALYSIS'!K15="G3",'I.RANGE ANALYSIS'!K15="G4"),"X","-")</f>
        <v>#N/A</v>
      </c>
      <c r="F18" s="43" t="e">
        <f>IF('I.RANGE ANALYSIS'!K15="G5","X","-")</f>
        <v>#N/A</v>
      </c>
      <c r="G18" s="43" t="e">
        <f>IF('I.RANGE ANALYSIS'!K15="G6","X","-")</f>
        <v>#N/A</v>
      </c>
      <c r="H18" s="43" t="e">
        <f>IF(OR('I.RANGE ANALYSIS'!K15="G7",'I.RANGE ANALYSIS'!K15="G8"),"X","-")</f>
        <v>#N/A</v>
      </c>
      <c r="I18" s="44" t="e">
        <f>IF('I.RANGE ANALYSIS'!K15="G9","X","-")</f>
        <v>#N/A</v>
      </c>
      <c r="J18" s="56"/>
      <c r="K18" s="40" t="s">
        <v>605</v>
      </c>
      <c r="L18" s="73" t="e">
        <f>Deskriptif!B41</f>
        <v>#N/A</v>
      </c>
    </row>
    <row r="19" spans="1:18" ht="33.75" customHeight="1">
      <c r="A19" s="45"/>
      <c r="B19" s="46" t="s">
        <v>566</v>
      </c>
      <c r="C19" s="47" t="e">
        <f>IF(OR('I.RANGE ANALYSIS'!K13="A0",'I.RANGE ANALYSIS'!K13="A1"),"X","-")</f>
        <v>#N/A</v>
      </c>
      <c r="D19" s="47" t="e">
        <f>IF('I.RANGE ANALYSIS'!K13="A2","X","-")</f>
        <v>#N/A</v>
      </c>
      <c r="E19" s="47" t="e">
        <f>IF(OR('I.RANGE ANALYSIS'!K13="A3",'I.RANGE ANALYSIS'!K13="A4"),"X","-")</f>
        <v>#N/A</v>
      </c>
      <c r="F19" s="47" t="e">
        <f>IF('I.RANGE ANALYSIS'!K13="A5","X","-")</f>
        <v>#N/A</v>
      </c>
      <c r="G19" s="47" t="e">
        <f>IF(OR('I.RANGE ANALYSIS'!K13="A6",'I.RANGE ANALYSIS'!K13="A7"),"X","-")</f>
        <v>#N/A</v>
      </c>
      <c r="H19" s="47" t="e">
        <f>IF('I.RANGE ANALYSIS'!K13="A8","X","-")</f>
        <v>#N/A</v>
      </c>
      <c r="I19" s="146" t="e">
        <f>IF('I.RANGE ANALYSIS'!K13="A9","X","-")</f>
        <v>#N/A</v>
      </c>
      <c r="J19" s="87"/>
      <c r="K19" s="40" t="s">
        <v>566</v>
      </c>
      <c r="L19" s="73" t="e">
        <f>Deskriptif!B55</f>
        <v>#N/A</v>
      </c>
    </row>
    <row r="20" spans="1:18" ht="18">
      <c r="A20" s="315"/>
      <c r="B20" s="316"/>
      <c r="C20" s="316"/>
      <c r="D20" s="316"/>
      <c r="E20" s="316"/>
      <c r="F20" s="316"/>
      <c r="G20" s="316"/>
      <c r="H20" s="316"/>
      <c r="I20" s="317"/>
      <c r="J20" s="315"/>
      <c r="K20" s="318"/>
      <c r="L20" s="319"/>
    </row>
    <row r="21" spans="1:18" ht="31.5" customHeight="1">
      <c r="A21" s="37" t="s">
        <v>630</v>
      </c>
      <c r="B21" s="38" t="s">
        <v>635</v>
      </c>
      <c r="C21" s="39" t="e">
        <f>IF(OR('I.RANGE ANALYSIS'!K18="R0",'I.RANGE ANALYSIS'!K18="R1"),"X","-")</f>
        <v>#N/A</v>
      </c>
      <c r="D21" s="39" t="e">
        <f>IF('I.RANGE ANALYSIS'!K18="R2","X","-")</f>
        <v>#N/A</v>
      </c>
      <c r="E21" s="39" t="e">
        <f>IF('I.RANGE ANALYSIS'!K18="R3","X","-")</f>
        <v>#N/A</v>
      </c>
      <c r="F21" s="39" t="e">
        <f>IF('I.RANGE ANALYSIS'!K18="R4","X","-")</f>
        <v>#N/A</v>
      </c>
      <c r="G21" s="39" t="e">
        <f>IF(OR('I.RANGE ANALYSIS'!K18="R5",'I.RANGE ANALYSIS'!K18="R6"),"X","-")</f>
        <v>#N/A</v>
      </c>
      <c r="H21" s="39" t="e">
        <f>IF(OR('I.RANGE ANALYSIS'!K18="R7",'I.RANGE ANALYSIS'!K18="R8"),"X","-")</f>
        <v>#N/A</v>
      </c>
      <c r="I21" s="145" t="e">
        <f>IF('I.RANGE ANALYSIS'!K18="R9","X","-")</f>
        <v>#N/A</v>
      </c>
      <c r="J21" s="76" t="s">
        <v>630</v>
      </c>
      <c r="K21" s="48" t="s">
        <v>635</v>
      </c>
      <c r="L21" s="72" t="e">
        <f>Deskriptif!B69</f>
        <v>#N/A</v>
      </c>
    </row>
    <row r="22" spans="1:18" ht="34.5" customHeight="1">
      <c r="A22" s="41"/>
      <c r="B22" s="42" t="s">
        <v>606</v>
      </c>
      <c r="C22" s="43" t="e">
        <f>IF('I.RANGE ANALYSIS'!K16="C0","X","-")</f>
        <v>#N/A</v>
      </c>
      <c r="D22" s="43" t="e">
        <f>IF('I.RANGE ANALYSIS'!K16="C1","X","-")</f>
        <v>#N/A</v>
      </c>
      <c r="E22" s="43" t="e">
        <f>IF(OR('I.RANGE ANALYSIS'!K16="C2",'I.RANGE ANALYSIS'!K16="C3"),"X","-")</f>
        <v>#N/A</v>
      </c>
      <c r="F22" s="43" t="e">
        <f>IF('I.RANGE ANALYSIS'!K16="C4","X","-")</f>
        <v>#N/A</v>
      </c>
      <c r="G22" s="43" t="e">
        <f>IF(OR('I.RANGE ANALYSIS'!K16="C5",'I.RANGE ANALYSIS'!K16="C6"),"X","-")</f>
        <v>#N/A</v>
      </c>
      <c r="H22" s="43" t="e">
        <f>IF('I.RANGE ANALYSIS'!K16="C7","X","-")</f>
        <v>#N/A</v>
      </c>
      <c r="I22" s="44" t="e">
        <f>IF(OR('I.RANGE ANALYSIS'!K16="C8",'I.RANGE ANALYSIS'!K16="C9"),"X","-")</f>
        <v>#N/A</v>
      </c>
      <c r="J22" s="56"/>
      <c r="K22" s="48" t="s">
        <v>606</v>
      </c>
      <c r="L22" s="74" t="e">
        <f>Deskriptif!B83</f>
        <v>#N/A</v>
      </c>
    </row>
    <row r="23" spans="1:18" ht="31.5" customHeight="1">
      <c r="A23" s="41"/>
      <c r="B23" s="42" t="s">
        <v>607</v>
      </c>
      <c r="C23" s="43" t="e">
        <f>IF('I.RANGE ANALYSIS'!K17="D0","X","-")</f>
        <v>#N/A</v>
      </c>
      <c r="D23" s="43" t="e">
        <f>IF('I.RANGE ANALYSIS'!K17="D1","X","-")</f>
        <v>#N/A</v>
      </c>
      <c r="E23" s="43" t="e">
        <f>IF(OR('I.RANGE ANALYSIS'!K17="D2",'I.RANGE ANALYSIS'!K17="D3"),"X","-")</f>
        <v>#N/A</v>
      </c>
      <c r="F23" s="43" t="e">
        <f>IF('I.RANGE ANALYSIS'!K17="D4","X","-")</f>
        <v>#N/A</v>
      </c>
      <c r="G23" s="43" t="e">
        <f>IF(OR('I.RANGE ANALYSIS'!K17="D5",'I.RANGE ANALYSIS'!K17="D6"),"X","-")</f>
        <v>#N/A</v>
      </c>
      <c r="H23" s="43" t="e">
        <f>IF('I.RANGE ANALYSIS'!K17="D7","X","-")</f>
        <v>#N/A</v>
      </c>
      <c r="I23" s="44" t="e">
        <f>IF(OR('I.RANGE ANALYSIS'!K17="D8",'I.RANGE ANALYSIS'!K17="D9"),"X","-")</f>
        <v>#N/A</v>
      </c>
      <c r="J23" s="56"/>
      <c r="K23" s="48" t="s">
        <v>607</v>
      </c>
      <c r="L23" s="73" t="e">
        <f>Deskriptif!B97</f>
        <v>#N/A</v>
      </c>
    </row>
    <row r="24" spans="1:18" ht="47.4" customHeight="1">
      <c r="A24" s="49"/>
      <c r="B24" s="42" t="s">
        <v>636</v>
      </c>
      <c r="C24" s="43" t="e">
        <f>IF(OR('I.RANGE ANALYSIS'!K14="N0",'I.RANGE ANALYSIS'!K14="N1"),"X","-")</f>
        <v>#N/A</v>
      </c>
      <c r="D24" s="43" t="e">
        <f>IF('I.RANGE ANALYSIS'!K14="N2","X","-")</f>
        <v>#N/A</v>
      </c>
      <c r="E24" s="43" t="e">
        <f>IF('I.RANGE ANALYSIS'!K14="N3","X","-")</f>
        <v>#N/A</v>
      </c>
      <c r="F24" s="43" t="e">
        <f>IF(OR('I.RANGE ANALYSIS'!K14="N4",'I.RANGE ANALYSIS'!K14="N5"),"X","-")</f>
        <v>#N/A</v>
      </c>
      <c r="G24" s="43" t="e">
        <f>IF('I.RANGE ANALYSIS'!K14="N6","X","-")</f>
        <v>#N/A</v>
      </c>
      <c r="H24" s="43" t="e">
        <f>IF('I.RANGE ANALYSIS'!K14="N7","X","-")</f>
        <v>#N/A</v>
      </c>
      <c r="I24" s="44" t="e">
        <f>IF(OR('I.RANGE ANALYSIS'!K14="N8",'I.RANGE ANALYSIS'!K14="N9"),"X","-")</f>
        <v>#N/A</v>
      </c>
      <c r="J24" s="56"/>
      <c r="K24" s="48" t="s">
        <v>636</v>
      </c>
      <c r="L24" s="73" t="e">
        <f>Deskriptif!B111</f>
        <v>#N/A</v>
      </c>
    </row>
    <row r="25" spans="1:18" ht="35.25" customHeight="1">
      <c r="A25" s="41"/>
      <c r="B25" s="42" t="s">
        <v>608</v>
      </c>
      <c r="C25" s="43" t="e">
        <f>IF('I.RANGE ANALYSIS'!K20="V0","X","-")</f>
        <v>#N/A</v>
      </c>
      <c r="D25" s="43" t="e">
        <f>IF('I.RANGE ANALYSIS'!K20="V1","X","-")</f>
        <v>#N/A</v>
      </c>
      <c r="E25" s="43" t="e">
        <f>IF('I.RANGE ANALYSIS'!K20="V2","X","-")</f>
        <v>#N/A</v>
      </c>
      <c r="F25" s="43" t="e">
        <f>IF(OR('I.RANGE ANALYSIS'!K20="V3",'I.RANGE ANALYSIS'!K20="V4"),"X","-")</f>
        <v>#N/A</v>
      </c>
      <c r="G25" s="43" t="e">
        <f>IF(OR('I.RANGE ANALYSIS'!K20="V5",'I.RANGE ANALYSIS'!K20="V6"),"X","-")</f>
        <v>#N/A</v>
      </c>
      <c r="H25" s="43" t="e">
        <f>IF('I.RANGE ANALYSIS'!K20="V7","X","-")</f>
        <v>#N/A</v>
      </c>
      <c r="I25" s="44" t="e">
        <f>IF(OR('I.RANGE ANALYSIS'!K20="V8",'I.RANGE ANALYSIS'!K20="V9"),"X","-")</f>
        <v>#N/A</v>
      </c>
      <c r="J25" s="56"/>
      <c r="K25" s="48" t="s">
        <v>608</v>
      </c>
      <c r="L25" s="73" t="e">
        <f>Deskriptif!B125</f>
        <v>#N/A</v>
      </c>
    </row>
    <row r="26" spans="1:18" ht="34.5" customHeight="1">
      <c r="A26" s="41"/>
      <c r="B26" s="46" t="s">
        <v>449</v>
      </c>
      <c r="C26" s="47" t="e">
        <f>IF(OR('I.RANGE ANALYSIS'!K19="T0",'I.RANGE ANALYSIS'!K19="T1"),"X","-")</f>
        <v>#N/A</v>
      </c>
      <c r="D26" s="47" t="e">
        <f>IF('I.RANGE ANALYSIS'!K19="T2","X","-")</f>
        <v>#N/A</v>
      </c>
      <c r="E26" s="47" t="e">
        <f>IF('I.RANGE ANALYSIS'!K19="T3","X","-")</f>
        <v>#N/A</v>
      </c>
      <c r="F26" s="47" t="e">
        <f>IF(OR('I.RANGE ANALYSIS'!K19="T4",'I.RANGE ANALYSIS'!K19="T5"),"X","-")</f>
        <v>#N/A</v>
      </c>
      <c r="G26" s="47" t="e">
        <f>IF('I.RANGE ANALYSIS'!K19="T6","X","-")</f>
        <v>#N/A</v>
      </c>
      <c r="H26" s="47" t="e">
        <f>IF(OR('I.RANGE ANALYSIS'!K19="T7",'I.RANGE ANALYSIS'!K19="T8"),"X","-")</f>
        <v>#N/A</v>
      </c>
      <c r="I26" s="146" t="e">
        <f>IF('I.RANGE ANALYSIS'!K19="T9","X","-")</f>
        <v>#N/A</v>
      </c>
      <c r="J26" s="56"/>
      <c r="K26" s="86" t="s">
        <v>449</v>
      </c>
      <c r="L26" s="73" t="e">
        <f>Deskriptif!B139</f>
        <v>#N/A</v>
      </c>
    </row>
    <row r="27" spans="1:18" ht="18">
      <c r="A27" s="320"/>
      <c r="B27" s="316"/>
      <c r="C27" s="316"/>
      <c r="D27" s="316"/>
      <c r="E27" s="316"/>
      <c r="F27" s="316"/>
      <c r="G27" s="316"/>
      <c r="H27" s="316"/>
      <c r="I27" s="317"/>
      <c r="J27" s="320"/>
      <c r="K27" s="321"/>
      <c r="L27" s="322"/>
    </row>
    <row r="28" spans="1:18" ht="36" customHeight="1">
      <c r="A28" s="37" t="s">
        <v>631</v>
      </c>
      <c r="B28" s="38" t="s">
        <v>609</v>
      </c>
      <c r="C28" s="39" t="e">
        <f>IF(OR('I.RANGE ANALYSIS'!K23="F0",'I.RANGE ANALYSIS'!K23="F1"),"X","-")</f>
        <v>#N/A</v>
      </c>
      <c r="D28" s="39" t="e">
        <f>IF(OR('I.RANGE ANALYSIS'!K23="F2",'I.RANGE ANALYSIS'!K23="F3"),"X","-")</f>
        <v>#N/A</v>
      </c>
      <c r="E28" s="39" t="e">
        <f>IF('I.RANGE ANALYSIS'!K23="F4","X","-")</f>
        <v>#N/A</v>
      </c>
      <c r="F28" s="39" t="e">
        <f>IF('I.RANGE ANALYSIS'!K23="F5","X","-")</f>
        <v>#N/A</v>
      </c>
      <c r="G28" s="39" t="e">
        <f>IF('I.RANGE ANALYSIS'!K23="F6","X","-")</f>
        <v>#N/A</v>
      </c>
      <c r="H28" s="39" t="e">
        <f>IF('I.RANGE ANALYSIS'!K23="F7","X","-")</f>
        <v>#N/A</v>
      </c>
      <c r="I28" s="145" t="e">
        <f>IF(OR('I.RANGE ANALYSIS'!K23="F8",'I.RANGE ANALYSIS'!K23="F9"),"X","-")</f>
        <v>#N/A</v>
      </c>
      <c r="J28" s="76" t="s">
        <v>631</v>
      </c>
      <c r="K28" s="48" t="s">
        <v>609</v>
      </c>
      <c r="L28" s="85" t="e">
        <f>Deskriptif!B153</f>
        <v>#N/A</v>
      </c>
    </row>
    <row r="29" spans="1:18" ht="34.5" customHeight="1" thickBot="1">
      <c r="A29" s="50"/>
      <c r="B29" s="51" t="s">
        <v>572</v>
      </c>
      <c r="C29" s="52" t="e">
        <f>IF(OR('I.RANGE ANALYSIS'!K24="W0",'I.RANGE ANALYSIS'!K24="W1"),"X","-")</f>
        <v>#N/A</v>
      </c>
      <c r="D29" s="52" t="e">
        <f>IF('I.RANGE ANALYSIS'!K24="W2","X","-")</f>
        <v>#N/A</v>
      </c>
      <c r="E29" s="52" t="e">
        <f>IF('I.RANGE ANALYSIS'!K24="W3","X","-")</f>
        <v>#N/A</v>
      </c>
      <c r="F29" s="52" t="e">
        <f>IF('I.RANGE ANALYSIS'!K24="W4","X","-")</f>
        <v>#N/A</v>
      </c>
      <c r="G29" s="52" t="e">
        <f>IF('I.RANGE ANALYSIS'!K24="W5","X","-")</f>
        <v>#N/A</v>
      </c>
      <c r="H29" s="52" t="e">
        <f>IF(OR('I.RANGE ANALYSIS'!K24="W6",'I.RANGE ANALYSIS'!K24="W7"),"X","-")</f>
        <v>#N/A</v>
      </c>
      <c r="I29" s="53" t="e">
        <f>IF(OR('I.RANGE ANALYSIS'!K24="W8",'I.RANGE ANALYSIS'!K24="W9"),"X","-")</f>
        <v>#N/A</v>
      </c>
      <c r="J29" s="75"/>
      <c r="K29" s="54" t="s">
        <v>572</v>
      </c>
      <c r="L29" s="55" t="e">
        <f>Deskriptif!B167</f>
        <v>#N/A</v>
      </c>
    </row>
    <row r="30" spans="1:18" ht="16.5" customHeight="1" thickBot="1">
      <c r="A30" s="149"/>
      <c r="B30" s="150"/>
      <c r="C30" s="150"/>
      <c r="D30" s="150"/>
      <c r="E30" s="150"/>
      <c r="F30" s="150"/>
      <c r="G30" s="150"/>
      <c r="H30" s="323"/>
      <c r="I30" s="323"/>
      <c r="J30" s="149"/>
      <c r="K30" s="150"/>
      <c r="L30" s="201"/>
      <c r="M30" s="150"/>
      <c r="N30" s="150"/>
      <c r="O30" s="150"/>
      <c r="P30" s="150"/>
      <c r="Q30" s="150"/>
      <c r="R30" s="150"/>
    </row>
    <row r="31" spans="1:18" ht="36" customHeight="1">
      <c r="A31" s="57" t="s">
        <v>549</v>
      </c>
      <c r="B31" s="34" t="s">
        <v>610</v>
      </c>
      <c r="C31" s="58" t="e">
        <f>IF(OR('I.RANGE ANALYSIS'!K27="L0",'I.RANGE ANALYSIS'!K27="L1"),"X","-")</f>
        <v>#N/A</v>
      </c>
      <c r="D31" s="58" t="e">
        <f>IF(OR('I.RANGE ANALYSIS'!K27="L2",'I.RANGE ANALYSIS'!K27="L3"),"X","-")</f>
        <v>#N/A</v>
      </c>
      <c r="E31" s="58" t="e">
        <f>IF('I.RANGE ANALYSIS'!K27="L4","X","-")</f>
        <v>#N/A</v>
      </c>
      <c r="F31" s="58" t="e">
        <f>IF('I.RANGE ANALYSIS'!K27="L5","X","-")</f>
        <v>#N/A</v>
      </c>
      <c r="G31" s="58" t="e">
        <f>IF(OR('I.RANGE ANALYSIS'!K27="L6",'I.RANGE ANALYSIS'!K27="L7"),"X","-")</f>
        <v>#N/A</v>
      </c>
      <c r="H31" s="58" t="e">
        <f>IF('I.RANGE ANALYSIS'!K27="L8","X","-")</f>
        <v>#N/A</v>
      </c>
      <c r="I31" s="59" t="e">
        <f>IF('I.RANGE ANALYSIS'!K27="L9","X","-")</f>
        <v>#N/A</v>
      </c>
      <c r="J31" s="82" t="s">
        <v>549</v>
      </c>
      <c r="K31" s="60" t="s">
        <v>610</v>
      </c>
      <c r="L31" s="84" t="e">
        <f>Deskriptif!B181</f>
        <v>#N/A</v>
      </c>
    </row>
    <row r="32" spans="1:18" ht="37.5" customHeight="1">
      <c r="A32" s="41"/>
      <c r="B32" s="61" t="s">
        <v>611</v>
      </c>
      <c r="C32" s="43" t="e">
        <f>IF(OR('I.RANGE ANALYSIS'!K28="P0",'I.RANGE ANALYSIS'!K28="P1"),"X","-")</f>
        <v>#N/A</v>
      </c>
      <c r="D32" s="43" t="e">
        <f>IF(OR('I.RANGE ANALYSIS'!K28="P2",'I.RANGE ANALYSIS'!K28="P3"),"X","-")</f>
        <v>#N/A</v>
      </c>
      <c r="E32" s="43" t="e">
        <f>IF('I.RANGE ANALYSIS'!K28="P4","X","-")</f>
        <v>#N/A</v>
      </c>
      <c r="F32" s="43" t="e">
        <f>IF('I.RANGE ANALYSIS'!K28="P5","X","-")</f>
        <v>#N/A</v>
      </c>
      <c r="G32" s="43" t="e">
        <f>IF(OR('I.RANGE ANALYSIS'!K28="P6",'I.RANGE ANALYSIS'!K28="P7"),"X","-")</f>
        <v>#N/A</v>
      </c>
      <c r="H32" s="43" t="e">
        <f>IF('I.RANGE ANALYSIS'!K28="P8","X","-")</f>
        <v>#N/A</v>
      </c>
      <c r="I32" s="44" t="e">
        <f>IF('I.RANGE ANALYSIS'!K28="P9","X","-")</f>
        <v>#N/A</v>
      </c>
      <c r="J32" s="56"/>
      <c r="K32" s="62" t="s">
        <v>611</v>
      </c>
      <c r="L32" s="85" t="e">
        <f>Deskriptif!B195</f>
        <v>#N/A</v>
      </c>
    </row>
    <row r="33" spans="1:12" ht="33.75" customHeight="1">
      <c r="A33" s="41"/>
      <c r="B33" s="61" t="s">
        <v>612</v>
      </c>
      <c r="C33" s="43" t="e">
        <f>IF(OR('I.RANGE ANALYSIS'!K27="L0",'I.RANGE ANALYSIS'!K27="L1"),"X","-")</f>
        <v>#N/A</v>
      </c>
      <c r="D33" s="43" t="e">
        <f>IF(OR('I.RANGE ANALYSIS'!K27="L2",'I.RANGE ANALYSIS'!K27="L3"),"X","-")</f>
        <v>#N/A</v>
      </c>
      <c r="E33" s="43" t="e">
        <f>IF('I.RANGE ANALYSIS'!K27="L4","X","-")</f>
        <v>#N/A</v>
      </c>
      <c r="F33" s="43" t="e">
        <f>IF('I.RANGE ANALYSIS'!K27="L5","X","-")</f>
        <v>#N/A</v>
      </c>
      <c r="G33" s="43" t="e">
        <f>IF('I.RANGE ANALYSIS'!K27="L6","X","-")</f>
        <v>#N/A</v>
      </c>
      <c r="H33" s="43" t="e">
        <f>IF('I.RANGE ANALYSIS'!K27="L7","X","-")</f>
        <v>#N/A</v>
      </c>
      <c r="I33" s="44" t="e">
        <f>IF(OR('I.RANGE ANALYSIS'!K27="L8",'I.RANGE ANALYSIS'!K27="L9"),"X","-")</f>
        <v>#N/A</v>
      </c>
      <c r="J33" s="56"/>
      <c r="K33" s="62" t="s">
        <v>612</v>
      </c>
      <c r="L33" s="85" t="e">
        <f>Deskriptif!B209</f>
        <v>#N/A</v>
      </c>
    </row>
    <row r="34" spans="1:12" ht="34.5" customHeight="1">
      <c r="A34" s="41"/>
      <c r="B34" s="61" t="s">
        <v>710</v>
      </c>
      <c r="C34" s="43" t="e">
        <f>IF('I.RANGE ANALYSIS'!K29="I0","X","-")</f>
        <v>#N/A</v>
      </c>
      <c r="D34" s="43" t="e">
        <f>IF('I.RANGE ANALYSIS'!K29="I1","X","-")</f>
        <v>#N/A</v>
      </c>
      <c r="E34" s="43" t="e">
        <f>IF(OR('I.RANGE ANALYSIS'!K29="I2",'I.RANGE ANALYSIS'!K29="I3"),"X","-")</f>
        <v>#N/A</v>
      </c>
      <c r="F34" s="43" t="e">
        <f>IF('I.RANGE ANALYSIS'!K29="I4","X","-")</f>
        <v>#N/A</v>
      </c>
      <c r="G34" s="43" t="e">
        <f>IF('I.RANGE ANALYSIS'!K29="I5","X","-")</f>
        <v>#N/A</v>
      </c>
      <c r="H34" s="43" t="e">
        <f>IF(OR('I.RANGE ANALYSIS'!K29="I6",'I.RANGE ANALYSIS'!K29="I7"),"X","-")</f>
        <v>#N/A</v>
      </c>
      <c r="I34" s="44" t="e">
        <f>IF(OR('I.RANGE ANALYSIS'!K29="I8",'I.RANGE ANALYSIS'!K29="I9"),"X","-")</f>
        <v>#N/A</v>
      </c>
      <c r="J34" s="56"/>
      <c r="K34" s="62" t="s">
        <v>613</v>
      </c>
      <c r="L34" s="85" t="e">
        <f>Deskriptif!B223</f>
        <v>#N/A</v>
      </c>
    </row>
    <row r="35" spans="1:12" ht="34.5" customHeight="1">
      <c r="A35" s="41"/>
      <c r="B35" s="61" t="s">
        <v>614</v>
      </c>
      <c r="C35" s="43" t="e">
        <f>IF(OR('I.RANGE ANALYSIS'!K19="T0",'I.RANGE ANALYSIS'!K19="T1"),"X","-")</f>
        <v>#N/A</v>
      </c>
      <c r="D35" s="43" t="e">
        <f>IF(OR('I.RANGE ANALYSIS'!K19="T2",'I.RANGE ANALYSIS'!K19="T3"),"X","-")</f>
        <v>#N/A</v>
      </c>
      <c r="E35" s="43" t="e">
        <f>IF('I.RANGE ANALYSIS'!K19="T4","X","-")</f>
        <v>#N/A</v>
      </c>
      <c r="F35" s="43" t="e">
        <f>IF('I.RANGE ANALYSIS'!K19="T5","X","-")</f>
        <v>#N/A</v>
      </c>
      <c r="G35" s="43" t="e">
        <f>IF('I.RANGE ANALYSIS'!K19="T6","X","-")</f>
        <v>#N/A</v>
      </c>
      <c r="H35" s="43" t="e">
        <f>IF(OR('I.RANGE ANALYSIS'!K19="T7",'I.RANGE ANALYSIS'!K19="T8"),"X","-")</f>
        <v>#N/A</v>
      </c>
      <c r="I35" s="44" t="e">
        <f>IF('I.RANGE ANALYSIS'!K19="T9","X","-")</f>
        <v>#N/A</v>
      </c>
      <c r="J35" s="56"/>
      <c r="K35" s="62" t="s">
        <v>614</v>
      </c>
      <c r="L35" s="85" t="e">
        <f>Deskriptif!B237</f>
        <v>#N/A</v>
      </c>
    </row>
    <row r="36" spans="1:12" ht="36" customHeight="1">
      <c r="A36" s="41"/>
      <c r="B36" s="61" t="s">
        <v>615</v>
      </c>
      <c r="C36" s="43" t="e">
        <f>IF('I.RANGE ANALYSIS'!K40="Z0","X","-")</f>
        <v>#N/A</v>
      </c>
      <c r="D36" s="43" t="e">
        <f>IF('I.RANGE ANALYSIS'!K40="Z1","X","-")</f>
        <v>#N/A</v>
      </c>
      <c r="E36" s="43" t="e">
        <f>IF(OR('I.RANGE ANALYSIS'!K40="Z2",'I.RANGE ANALYSIS'!K40="Z3"),"X","-")</f>
        <v>#N/A</v>
      </c>
      <c r="F36" s="43" t="e">
        <f>IF('I.RANGE ANALYSIS'!K40="Z4","X","-")</f>
        <v>#N/A</v>
      </c>
      <c r="G36" s="43" t="e">
        <f>IF('I.RANGE ANALYSIS'!K40="Z5","X","-")</f>
        <v>#N/A</v>
      </c>
      <c r="H36" s="43" t="e">
        <f>IF(OR('I.RANGE ANALYSIS'!K40="Z6",'I.RANGE ANALYSIS'!K40="Z7"),"X","-")</f>
        <v>#N/A</v>
      </c>
      <c r="I36" s="44" t="e">
        <f>IF(OR('I.RANGE ANALYSIS'!K40="Z8",'I.RANGE ANALYSIS'!K40="Z9"),"X","-")</f>
        <v>#N/A</v>
      </c>
      <c r="J36" s="56"/>
      <c r="K36" s="62" t="s">
        <v>615</v>
      </c>
      <c r="L36" s="85" t="e">
        <f>Deskriptif!B251</f>
        <v>#N/A</v>
      </c>
    </row>
    <row r="37" spans="1:12" ht="30.75" customHeight="1" thickBot="1">
      <c r="A37" s="50"/>
      <c r="B37" s="63" t="s">
        <v>616</v>
      </c>
      <c r="C37" s="52" t="e">
        <f>IF('I.RANGE ANALYSIS'!K18="R0","X","-")</f>
        <v>#N/A</v>
      </c>
      <c r="D37" s="52" t="e">
        <f>IF(OR('I.RANGE ANALYSIS'!K18="R1",'I.RANGE ANALYSIS'!K18="R2"),"X","-")</f>
        <v>#N/A</v>
      </c>
      <c r="E37" s="52" t="e">
        <f>IF('I.RANGE ANALYSIS'!K18="R3","X","-")</f>
        <v>#N/A</v>
      </c>
      <c r="F37" s="52" t="e">
        <f>IF('I.RANGE ANALYSIS'!K18="R4","X","-")</f>
        <v>#N/A</v>
      </c>
      <c r="G37" s="52" t="e">
        <f>IF('I.RANGE ANALYSIS'!K18="R5","X","-")</f>
        <v>#N/A</v>
      </c>
      <c r="H37" s="52" t="e">
        <f>IF(OR('I.RANGE ANALYSIS'!K18="R6",'I.RANGE ANALYSIS'!K18="R7"),"X","-")</f>
        <v>#N/A</v>
      </c>
      <c r="I37" s="53" t="e">
        <f>IF(OR('I.RANGE ANALYSIS'!K18="R8",'I.RANGE ANALYSIS'!K18="R9"),"X","-")</f>
        <v>#N/A</v>
      </c>
      <c r="J37" s="75"/>
      <c r="K37" s="64" t="s">
        <v>616</v>
      </c>
      <c r="L37" s="55" t="e">
        <f>Deskriptif!B265</f>
        <v>#N/A</v>
      </c>
    </row>
    <row r="38" spans="1:12" ht="18.600000000000001" thickBot="1">
      <c r="A38" s="65"/>
      <c r="B38" s="61"/>
      <c r="C38" s="43"/>
      <c r="D38" s="43"/>
      <c r="E38" s="43"/>
      <c r="F38" s="43"/>
      <c r="G38" s="43"/>
      <c r="H38" s="61"/>
      <c r="I38" s="66"/>
      <c r="J38" s="65"/>
      <c r="K38" s="61"/>
      <c r="L38" s="70"/>
    </row>
    <row r="39" spans="1:12" ht="31.5" customHeight="1">
      <c r="A39" s="57" t="s">
        <v>550</v>
      </c>
      <c r="B39" s="34" t="s">
        <v>617</v>
      </c>
      <c r="C39" s="58" t="e">
        <f>IF(OR('I.RANGE ANALYSIS'!K32="S0",'I.RANGE ANALYSIS'!K32="S1"),"X","-")</f>
        <v>#N/A</v>
      </c>
      <c r="D39" s="58" t="e">
        <f>IF('I.RANGE ANALYSIS'!K32="S2","X","-")</f>
        <v>#N/A</v>
      </c>
      <c r="E39" s="58" t="e">
        <f>IF(OR('I.RANGE ANALYSIS'!K32="S3",'I.RANGE ANALYSIS'!K32="S4"),"X","-")</f>
        <v>#N/A</v>
      </c>
      <c r="F39" s="58" t="e">
        <f>IF('I.RANGE ANALYSIS'!K32="S5","X","-")</f>
        <v>#N/A</v>
      </c>
      <c r="G39" s="58" t="e">
        <f>IF('I.RANGE ANALYSIS'!K32="S6","X","-")</f>
        <v>#N/A</v>
      </c>
      <c r="H39" s="58" t="e">
        <f>IF(OR('I.RANGE ANALYSIS'!K32="S7",'I.RANGE ANALYSIS'!K32="S8"),"X","-")</f>
        <v>#N/A</v>
      </c>
      <c r="I39" s="59" t="e">
        <f>IF('I.RANGE ANALYSIS'!K32="S9","X","-")</f>
        <v>#N/A</v>
      </c>
      <c r="J39" s="57" t="s">
        <v>550</v>
      </c>
      <c r="K39" s="60" t="s">
        <v>617</v>
      </c>
      <c r="L39" s="84" t="e">
        <f>Deskriptif!B279</f>
        <v>#N/A</v>
      </c>
    </row>
    <row r="40" spans="1:12" ht="30" customHeight="1">
      <c r="A40" s="41"/>
      <c r="B40" s="61" t="s">
        <v>602</v>
      </c>
      <c r="C40" s="43" t="e">
        <f>IF(OR('I.RANGE ANALYSIS'!K33="B0",'I.RANGE ANALYSIS'!K33="B1"),"X","-")</f>
        <v>#N/A</v>
      </c>
      <c r="D40" s="43" t="e">
        <f>IF('I.RANGE ANALYSIS'!K33="B2","X","-")</f>
        <v>#N/A</v>
      </c>
      <c r="E40" s="43" t="e">
        <f>IF('I.RANGE ANALYSIS'!K33="B3","X","-")</f>
        <v>#N/A</v>
      </c>
      <c r="F40" s="43" t="e">
        <f>IF(OR('I.RANGE ANALYSIS'!K33="B4",'I.RANGE ANALYSIS'!K33="B5"),"X","-")</f>
        <v>#N/A</v>
      </c>
      <c r="G40" s="43" t="e">
        <f>IF(OR('I.RANGE ANALYSIS'!K33="B6",'I.RANGE ANALYSIS'!K33="B7"),"X","-")</f>
        <v>#N/A</v>
      </c>
      <c r="H40" s="43" t="e">
        <f>IF('I.RANGE ANALYSIS'!K33="B8","X","-")</f>
        <v>#N/A</v>
      </c>
      <c r="I40" s="44" t="e">
        <f>IF('I.RANGE ANALYSIS'!K33="B9","X","-")</f>
        <v>#N/A</v>
      </c>
      <c r="J40" s="41"/>
      <c r="K40" s="62" t="s">
        <v>602</v>
      </c>
      <c r="L40" s="85" t="e">
        <f>Deskriptif!B293</f>
        <v>#N/A</v>
      </c>
    </row>
    <row r="41" spans="1:12" ht="37.5" customHeight="1">
      <c r="A41" s="41"/>
      <c r="B41" s="61" t="s">
        <v>618</v>
      </c>
      <c r="C41" s="43" t="e">
        <f>IF(OR('I.RANGE ANALYSIS'!K34="O0",'I.RANGE ANALYSIS'!K34="O1"),"X","-")</f>
        <v>#N/A</v>
      </c>
      <c r="D41" s="43" t="e">
        <f>IF('I.RANGE ANALYSIS'!K34="O2","X","-")</f>
        <v>#N/A</v>
      </c>
      <c r="E41" s="43" t="e">
        <f>IF('I.RANGE ANALYSIS'!K34="O3","X","-")</f>
        <v>#N/A</v>
      </c>
      <c r="F41" s="43" t="e">
        <f>IF(OR('I.RANGE ANALYSIS'!K34="O4",'I.RANGE ANALYSIS'!K34="O5"),"X","-")</f>
        <v>#N/A</v>
      </c>
      <c r="G41" s="43" t="e">
        <f>IF(OR('I.RANGE ANALYSIS'!K34="O6",'I.RANGE ANALYSIS'!K34="O7"),"X","-")</f>
        <v>#N/A</v>
      </c>
      <c r="H41" s="43" t="e">
        <f>IF('I.RANGE ANALYSIS'!K34="O8","X","-")</f>
        <v>#N/A</v>
      </c>
      <c r="I41" s="44" t="e">
        <f>IF('I.RANGE ANALYSIS'!K34="O9","X","-")</f>
        <v>#N/A</v>
      </c>
      <c r="J41" s="41"/>
      <c r="K41" s="62" t="s">
        <v>618</v>
      </c>
      <c r="L41" s="85" t="e">
        <f>Deskriptif!B307</f>
        <v>#N/A</v>
      </c>
    </row>
    <row r="42" spans="1:12" ht="33" customHeight="1">
      <c r="A42" s="41"/>
      <c r="B42" s="61" t="s">
        <v>619</v>
      </c>
      <c r="C42" s="43" t="e">
        <f>IF(OR('I.RANGE ANALYSIS'!K34="O0",'I.RANGE ANALYSIS'!K34="O1"),"X","-")</f>
        <v>#N/A</v>
      </c>
      <c r="D42" s="43" t="e">
        <f>IF('I.RANGE ANALYSIS'!K34="O2","X","-")</f>
        <v>#N/A</v>
      </c>
      <c r="E42" s="43" t="e">
        <f>IF('I.RANGE ANALYSIS'!K34="O3","X","-")</f>
        <v>#N/A</v>
      </c>
      <c r="F42" s="43" t="e">
        <f>IF('I.RANGE ANALYSIS'!K34="O4","X","-")</f>
        <v>#N/A</v>
      </c>
      <c r="G42" s="43" t="e">
        <f>IF('I.RANGE ANALYSIS'!K34="O5","X","-")</f>
        <v>#N/A</v>
      </c>
      <c r="H42" s="43" t="e">
        <f>IF(OR('I.RANGE ANALYSIS'!K34="O6",'I.RANGE ANALYSIS'!K34="O7"),"X","-")</f>
        <v>#N/A</v>
      </c>
      <c r="I42" s="44" t="e">
        <f>IF(OR('I.RANGE ANALYSIS'!K34="O8",'I.RANGE ANALYSIS'!K34="O9"),"X","-")</f>
        <v>#N/A</v>
      </c>
      <c r="J42" s="41"/>
      <c r="K42" s="62" t="s">
        <v>619</v>
      </c>
      <c r="L42" s="85" t="e">
        <f>Deskriptif!B321</f>
        <v>#N/A</v>
      </c>
    </row>
    <row r="43" spans="1:12" ht="30.75" customHeight="1">
      <c r="A43" s="41"/>
      <c r="B43" s="61" t="s">
        <v>620</v>
      </c>
      <c r="C43" s="43" t="e">
        <f>IF(OR('I.RANGE ANALYSIS'!K33="B0",'I.RANGE ANALYSIS'!K33="B1"),"X","-")</f>
        <v>#N/A</v>
      </c>
      <c r="D43" s="43" t="e">
        <f>IF('I.RANGE ANALYSIS'!K33="B2","X","-")</f>
        <v>#N/A</v>
      </c>
      <c r="E43" s="43" t="e">
        <f>IF('I.RANGE ANALYSIS'!K33="B3","X","-")</f>
        <v>#N/A</v>
      </c>
      <c r="F43" s="43" t="e">
        <f>IF(OR('I.RANGE ANALYSIS'!K33="B4",'I.RANGE ANALYSIS'!K33="B5"),"X","-")</f>
        <v>#N/A</v>
      </c>
      <c r="G43" s="43" t="e">
        <f>IF('I.RANGE ANALYSIS'!K33="B6","X","-")</f>
        <v>#N/A</v>
      </c>
      <c r="H43" s="43" t="e">
        <f>IF('I.RANGE ANALYSIS'!K33="B7","X","-")</f>
        <v>#N/A</v>
      </c>
      <c r="I43" s="44" t="e">
        <f>IF(OR('I.RANGE ANALYSIS'!K33="B8",'I.RANGE ANALYSIS'!K33="B9"),"X","-")</f>
        <v>#N/A</v>
      </c>
      <c r="J43" s="41"/>
      <c r="K43" s="62" t="s">
        <v>620</v>
      </c>
      <c r="L43" s="85" t="e">
        <f>Deskriptif!B335</f>
        <v>#N/A</v>
      </c>
    </row>
    <row r="44" spans="1:12" ht="28.5" customHeight="1" thickBot="1">
      <c r="A44" s="50"/>
      <c r="B44" s="63" t="s">
        <v>621</v>
      </c>
      <c r="C44" s="52" t="e">
        <f>IF('I.RANGE ANALYSIS'!K35="X0","X","-")</f>
        <v>#N/A</v>
      </c>
      <c r="D44" s="52" t="e">
        <f>IF('I.RANGE ANALYSIS'!K35="X1","X","-")</f>
        <v>#N/A</v>
      </c>
      <c r="E44" s="52" t="e">
        <f>IF(OR('I.RANGE ANALYSIS'!K35="X2",'I.RANGE ANALYSIS'!K35="X3"),"X","-")</f>
        <v>#N/A</v>
      </c>
      <c r="F44" s="52" t="e">
        <f>IF(OR('I.RANGE ANALYSIS'!K35="X4",'I.RANGE ANALYSIS'!K35="X5"),"X","-")</f>
        <v>#N/A</v>
      </c>
      <c r="G44" s="52" t="e">
        <f>IF(OR('I.RANGE ANALYSIS'!K35="X6",'I.RANGE ANALYSIS'!K35="X7"),"X","-")</f>
        <v>#N/A</v>
      </c>
      <c r="H44" s="52" t="e">
        <f>IF('I.RANGE ANALYSIS'!K35="X8","X","-")</f>
        <v>#N/A</v>
      </c>
      <c r="I44" s="53" t="e">
        <f>IF('I.RANGE ANALYSIS'!K35="X9","X","-")</f>
        <v>#N/A</v>
      </c>
      <c r="J44" s="50"/>
      <c r="K44" s="64" t="s">
        <v>621</v>
      </c>
      <c r="L44" s="55" t="e">
        <f>Deskriptif!B349</f>
        <v>#N/A</v>
      </c>
    </row>
    <row r="45" spans="1:12" ht="16.5" customHeight="1" thickBot="1">
      <c r="A45" s="65"/>
      <c r="B45" s="61"/>
      <c r="C45" s="43"/>
      <c r="D45" s="43"/>
      <c r="E45" s="43"/>
      <c r="F45" s="43"/>
      <c r="G45" s="43"/>
      <c r="H45" s="61"/>
      <c r="I45" s="66"/>
      <c r="J45" s="65"/>
      <c r="K45" s="61"/>
      <c r="L45" s="70"/>
    </row>
    <row r="46" spans="1:12" ht="39.6" customHeight="1">
      <c r="A46" s="57" t="s">
        <v>366</v>
      </c>
      <c r="B46" s="34" t="s">
        <v>622</v>
      </c>
      <c r="C46" s="58" t="e">
        <f>IF('I.RANGE ANALYSIS'!K38="E0","X","-")</f>
        <v>#N/A</v>
      </c>
      <c r="D46" s="58" t="e">
        <f>IF('I.RANGE ANALYSIS'!K38="E1","X","-")</f>
        <v>#N/A</v>
      </c>
      <c r="E46" s="58" t="e">
        <f>IF('I.RANGE ANALYSIS'!K38="E2","X","-")</f>
        <v>#N/A</v>
      </c>
      <c r="F46" s="58" t="e">
        <f>IF('I.RANGE ANALYSIS'!K38="E3","X","-")</f>
        <v>#N/A</v>
      </c>
      <c r="G46" s="58" t="e">
        <f>IF('I.RANGE ANALYSIS'!K38="E4","X","-")</f>
        <v>#N/A</v>
      </c>
      <c r="H46" s="58" t="e">
        <f>IF(OR('I.RANGE ANALYSIS'!K38="E5",'I.RANGE ANALYSIS'!K38="E6"),"X","-")</f>
        <v>#N/A</v>
      </c>
      <c r="I46" s="59" t="e">
        <f>IF(OR('I.RANGE ANALYSIS'!K38="E7",'I.RANGE ANALYSIS'!K38="E8",'I.RANGE ANALYSIS'!K38="E9"),"X","-")</f>
        <v>#N/A</v>
      </c>
      <c r="J46" s="81" t="s">
        <v>366</v>
      </c>
      <c r="K46" s="60" t="s">
        <v>622</v>
      </c>
      <c r="L46" s="84" t="e">
        <f>Deskriptif!B363</f>
        <v>#N/A</v>
      </c>
    </row>
    <row r="47" spans="1:12" ht="33.75" customHeight="1">
      <c r="A47" s="41"/>
      <c r="B47" s="61" t="s">
        <v>623</v>
      </c>
      <c r="C47" s="43" t="e">
        <f>IF('I.RANGE ANALYSIS'!K38="E0","X","-")</f>
        <v>#N/A</v>
      </c>
      <c r="D47" s="43" t="e">
        <f>IF('I.RANGE ANALYSIS'!K38="E1","X","-")</f>
        <v>#N/A</v>
      </c>
      <c r="E47" s="43" t="e">
        <f>IF('I.RANGE ANALYSIS'!K38="E2","X","-")</f>
        <v>#N/A</v>
      </c>
      <c r="F47" s="43" t="e">
        <f>IF('I.RANGE ANALYSIS'!K38="E3","X","-")</f>
        <v>#N/A</v>
      </c>
      <c r="G47" s="43" t="e">
        <f>IF(OR('I.RANGE ANALYSIS'!K38="E4",'I.RANGE ANALYSIS'!K38="E5",'I.RANGE ANALYSIS'!K38="E6"),"X","-")</f>
        <v>#N/A</v>
      </c>
      <c r="H47" s="43" t="e">
        <f>IF(OR('I.RANGE ANALYSIS'!K38="E7",'I.RANGE ANALYSIS'!K38="E8"),"X","-")</f>
        <v>#N/A</v>
      </c>
      <c r="I47" s="44" t="e">
        <f>IF('I.RANGE ANALYSIS'!K38="E9","X","-")</f>
        <v>#N/A</v>
      </c>
      <c r="J47" s="56"/>
      <c r="K47" s="62" t="s">
        <v>623</v>
      </c>
      <c r="L47" s="85" t="e">
        <f>Deskriptif!B377</f>
        <v>#N/A</v>
      </c>
    </row>
    <row r="48" spans="1:12" ht="36" customHeight="1">
      <c r="A48" s="41"/>
      <c r="B48" s="61" t="s">
        <v>624</v>
      </c>
      <c r="C48" s="43" t="e">
        <f>IF('I.RANGE ANALYSIS'!K39="K0","X","-")</f>
        <v>#N/A</v>
      </c>
      <c r="D48" s="43" t="e">
        <f>IF('I.RANGE ANALYSIS'!K39="K1","X","-")</f>
        <v>#N/A</v>
      </c>
      <c r="E48" s="43" t="e">
        <f>IF('I.RANGE ANALYSIS'!K39="K2","X","-")</f>
        <v>#N/A</v>
      </c>
      <c r="F48" s="43" t="e">
        <f>IF('I.RANGE ANALYSIS'!K39="K3","X","-")</f>
        <v>#N/A</v>
      </c>
      <c r="G48" s="43" t="e">
        <f>IF(OR('I.RANGE ANALYSIS'!K39="K4",'I.RANGE ANALYSIS'!K39="K5"),"X","-")</f>
        <v>#N/A</v>
      </c>
      <c r="H48" s="43" t="e">
        <f>IF(OR('I.RANGE ANALYSIS'!K39="K6",'I.RANGE ANALYSIS'!K39="K7"),"X","-")</f>
        <v>#N/A</v>
      </c>
      <c r="I48" s="44" t="e">
        <f>IF(OR('I.RANGE ANALYSIS'!K39="K8",'I.RANGE ANALYSIS'!K39="K9"),"X","-")</f>
        <v>#N/A</v>
      </c>
      <c r="J48" s="56"/>
      <c r="K48" s="62" t="s">
        <v>624</v>
      </c>
      <c r="L48" s="85" t="e">
        <f>Deskriptif!B391</f>
        <v>#N/A</v>
      </c>
    </row>
    <row r="49" spans="1:12" ht="30" customHeight="1">
      <c r="A49" s="41"/>
      <c r="B49" s="61" t="s">
        <v>625</v>
      </c>
      <c r="C49" s="43" t="e">
        <f>IF('I.RANGE ANALYSIS'!K40="Z0","X","-")</f>
        <v>#N/A</v>
      </c>
      <c r="D49" s="43" t="e">
        <f>IF('I.RANGE ANALYSIS'!K40="Z1","X","-")</f>
        <v>#N/A</v>
      </c>
      <c r="E49" s="43" t="e">
        <f>IF(OR('I.RANGE ANALYSIS'!K40="Z2",'I.RANGE ANALYSIS'!K40="Z3"),"X","-")</f>
        <v>#N/A</v>
      </c>
      <c r="F49" s="43" t="e">
        <f>IF(OR('I.RANGE ANALYSIS'!K40="Z4",'I.RANGE ANALYSIS'!K40="Z5"),"X","-")</f>
        <v>#N/A</v>
      </c>
      <c r="G49" s="43" t="e">
        <f>IF('I.RANGE ANALYSIS'!K40="Z6","X","-")</f>
        <v>#N/A</v>
      </c>
      <c r="H49" s="43" t="e">
        <f>IF('I.RANGE ANALYSIS'!K40="Z7","X","-")</f>
        <v>#N/A</v>
      </c>
      <c r="I49" s="44" t="e">
        <f>IF(OR('I.RANGE ANALYSIS'!K40="Z8",'I.RANGE ANALYSIS'!K40="Z9"),"X","-")</f>
        <v>#N/A</v>
      </c>
      <c r="J49" s="56"/>
      <c r="K49" s="62" t="s">
        <v>625</v>
      </c>
      <c r="L49" s="85" t="e">
        <f>Deskriptif!B405</f>
        <v>#N/A</v>
      </c>
    </row>
    <row r="50" spans="1:12" ht="39.75" customHeight="1" thickBot="1">
      <c r="A50" s="50"/>
      <c r="B50" s="63" t="s">
        <v>626</v>
      </c>
      <c r="C50" s="52" t="e">
        <f>IF('I.RANGE ANALYSIS'!K40="Z0","X","-")</f>
        <v>#N/A</v>
      </c>
      <c r="D50" s="52" t="e">
        <f>IF('I.RANGE ANALYSIS'!K40="Z1","X","-")</f>
        <v>#N/A</v>
      </c>
      <c r="E50" s="52" t="e">
        <f>IF(OR('I.RANGE ANALYSIS'!K40="Z2",'I.RANGE ANALYSIS'!K40="Z3"),"X","-")</f>
        <v>#N/A</v>
      </c>
      <c r="F50" s="52" t="e">
        <f>IF(OR('I.RANGE ANALYSIS'!K40="Z4",'I.RANGE ANALYSIS'!K40="Z5"),"X","-")</f>
        <v>#N/A</v>
      </c>
      <c r="G50" s="52" t="e">
        <f>IF(OR('I.RANGE ANALYSIS'!K40="Z6",'I.RANGE ANALYSIS'!K40="Z7"),"X","-")</f>
        <v>#N/A</v>
      </c>
      <c r="H50" s="52" t="e">
        <f>IF('I.RANGE ANALYSIS'!K40="Z8","X","-")</f>
        <v>#N/A</v>
      </c>
      <c r="I50" s="53" t="e">
        <f>IF('I.RANGE ANALYSIS'!K40="Z9","X","-")</f>
        <v>#N/A</v>
      </c>
      <c r="J50" s="75"/>
      <c r="K50" s="64" t="s">
        <v>626</v>
      </c>
      <c r="L50" s="55" t="e">
        <f>Deskriptif!B419</f>
        <v>#N/A</v>
      </c>
    </row>
    <row r="51" spans="1:12" ht="12" customHeight="1">
      <c r="A51" s="71">
        <f>B3</f>
        <v>0</v>
      </c>
      <c r="B51" s="61"/>
      <c r="C51" s="43"/>
      <c r="D51" s="43"/>
      <c r="E51" s="43"/>
      <c r="F51" s="43"/>
      <c r="G51" s="329" t="s">
        <v>711</v>
      </c>
      <c r="H51" s="329"/>
      <c r="I51" s="329"/>
      <c r="J51" s="71">
        <f>B3</f>
        <v>0</v>
      </c>
      <c r="K51" s="61"/>
      <c r="L51" s="151" t="s">
        <v>712</v>
      </c>
    </row>
    <row r="52" spans="1:12" ht="12" customHeight="1">
      <c r="A52" s="71"/>
      <c r="B52" s="61"/>
      <c r="C52" s="43"/>
      <c r="D52" s="43"/>
      <c r="E52" s="43"/>
      <c r="F52" s="43"/>
      <c r="G52" s="43"/>
      <c r="H52" s="43"/>
      <c r="I52" s="43"/>
      <c r="J52" s="71"/>
      <c r="K52" s="61"/>
      <c r="L52" s="70"/>
    </row>
    <row r="53" spans="1:12" ht="30" customHeight="1">
      <c r="A53" s="324" t="s">
        <v>367</v>
      </c>
      <c r="B53" s="324"/>
      <c r="C53" s="324"/>
      <c r="D53" s="324"/>
      <c r="E53" s="324"/>
      <c r="F53" s="324"/>
      <c r="G53" s="324"/>
      <c r="H53" s="324"/>
      <c r="I53" s="324"/>
      <c r="J53" s="325" t="s">
        <v>367</v>
      </c>
      <c r="K53" s="325"/>
      <c r="L53" s="325"/>
    </row>
    <row r="54" spans="1:12" ht="15.75" customHeight="1">
      <c r="A54" s="326" t="s">
        <v>713</v>
      </c>
      <c r="B54" s="327"/>
      <c r="C54" s="327"/>
      <c r="D54" s="327"/>
      <c r="E54" s="327"/>
      <c r="F54" s="327"/>
      <c r="G54" s="327"/>
      <c r="H54" s="327"/>
      <c r="I54" s="327"/>
      <c r="J54" s="328" t="s">
        <v>713</v>
      </c>
      <c r="K54" s="328"/>
      <c r="L54" s="328"/>
    </row>
  </sheetData>
  <mergeCells count="18">
    <mergeCell ref="A53:I53"/>
    <mergeCell ref="J53:L53"/>
    <mergeCell ref="A54:I54"/>
    <mergeCell ref="J54:L54"/>
    <mergeCell ref="G51:I51"/>
    <mergeCell ref="A20:I20"/>
    <mergeCell ref="J20:L20"/>
    <mergeCell ref="A27:I27"/>
    <mergeCell ref="J27:L27"/>
    <mergeCell ref="H30:I30"/>
    <mergeCell ref="A1:I1"/>
    <mergeCell ref="J1:L1"/>
    <mergeCell ref="A2:I2"/>
    <mergeCell ref="J2:L2"/>
    <mergeCell ref="A12:B14"/>
    <mergeCell ref="C12:I12"/>
    <mergeCell ref="J12:K14"/>
    <mergeCell ref="L12:L14"/>
  </mergeCells>
  <hyperlinks>
    <hyperlink ref="A54" r:id="rId1" display="PSIKOGRAM/04-2015/@ Dr.Ir. RITA MARKUS I.M.Psi.T"/>
  </hyperlinks>
  <pageMargins left="0.70866141732283472" right="0.70866141732283472" top="0.74803149606299213" bottom="0.74803149606299213" header="0.31496062992125984" footer="0.31496062992125984"/>
  <pageSetup paperSize="5" scale="50" orientation="portrait" r:id="rId2"/>
  <colBreaks count="1" manualBreakCount="1">
    <brk id="9" max="53" man="1"/>
  </col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view="pageBreakPreview" topLeftCell="J4" zoomScale="64" zoomScaleSheetLayoutView="64" zoomScalePageLayoutView="73" workbookViewId="0">
      <selection activeCell="J1" sqref="J1:L1"/>
    </sheetView>
  </sheetViews>
  <sheetFormatPr defaultRowHeight="15.6"/>
  <cols>
    <col min="1" max="1" width="28" style="4" customWidth="1"/>
    <col min="2" max="2" width="43" style="4" customWidth="1"/>
    <col min="3" max="3" width="10.44140625" style="4" customWidth="1"/>
    <col min="4" max="4" width="7.6640625" style="4" customWidth="1"/>
    <col min="5" max="5" width="8.109375" style="4" customWidth="1"/>
    <col min="6" max="6" width="8.88671875" style="4" customWidth="1"/>
    <col min="7" max="7" width="8.5546875" style="4" customWidth="1"/>
    <col min="8" max="8" width="9" style="5" customWidth="1"/>
    <col min="9" max="9" width="8.33203125" style="4" customWidth="1"/>
    <col min="10" max="10" width="27.33203125" style="4" customWidth="1"/>
    <col min="11" max="11" width="42.88671875" style="4" customWidth="1"/>
    <col min="12" max="12" width="94.33203125" style="4" customWidth="1"/>
    <col min="13" max="13" width="10" customWidth="1"/>
  </cols>
  <sheetData>
    <row r="1" spans="1:13" ht="21">
      <c r="A1" s="296" t="s">
        <v>641</v>
      </c>
      <c r="B1" s="296"/>
      <c r="C1" s="296"/>
      <c r="D1" s="296"/>
      <c r="E1" s="296"/>
      <c r="F1" s="296"/>
      <c r="G1" s="296"/>
      <c r="H1" s="296"/>
      <c r="I1" s="296"/>
      <c r="J1" s="297" t="s">
        <v>642</v>
      </c>
      <c r="K1" s="297"/>
      <c r="L1" s="297"/>
    </row>
    <row r="2" spans="1:13" ht="28.5" customHeight="1">
      <c r="A2" s="298" t="s">
        <v>720</v>
      </c>
      <c r="B2" s="298"/>
      <c r="C2" s="298"/>
      <c r="D2" s="298"/>
      <c r="E2" s="298"/>
      <c r="F2" s="298"/>
      <c r="G2" s="298"/>
      <c r="H2" s="298"/>
      <c r="I2" s="298"/>
      <c r="J2" s="298" t="s">
        <v>720</v>
      </c>
      <c r="K2" s="298"/>
      <c r="L2" s="298"/>
    </row>
    <row r="3" spans="1:13" ht="18">
      <c r="A3" s="79" t="s">
        <v>646</v>
      </c>
      <c r="B3" s="80">
        <f>'[1]1. NAMA PESERTA'!$B$4</f>
        <v>0</v>
      </c>
      <c r="C3" s="8"/>
      <c r="D3" s="8"/>
      <c r="E3" s="8"/>
      <c r="F3" s="8"/>
      <c r="G3" s="8"/>
      <c r="H3" s="147"/>
      <c r="I3" s="9"/>
      <c r="J3" s="9"/>
      <c r="K3" s="79" t="s">
        <v>646</v>
      </c>
      <c r="L3" s="10">
        <f>'1. NAMA PESERTA'!B4</f>
        <v>0</v>
      </c>
    </row>
    <row r="4" spans="1:13" ht="18">
      <c r="A4" s="79" t="s">
        <v>643</v>
      </c>
      <c r="B4" s="80">
        <f>'[1]1. NAMA PESERTA'!$B$5</f>
        <v>0</v>
      </c>
      <c r="C4" s="8"/>
      <c r="D4" s="8"/>
      <c r="E4" s="8"/>
      <c r="F4" s="8"/>
      <c r="G4" s="8"/>
      <c r="H4" s="147"/>
      <c r="I4" s="9"/>
      <c r="J4" s="9"/>
      <c r="K4" s="79" t="s">
        <v>643</v>
      </c>
      <c r="L4" s="10">
        <f>'1. NAMA PESERTA'!B5</f>
        <v>0</v>
      </c>
    </row>
    <row r="5" spans="1:13" ht="15.75" customHeight="1">
      <c r="A5" s="79" t="s">
        <v>369</v>
      </c>
      <c r="B5" s="80">
        <f>'[1]1. NAMA PESERTA'!$B$6</f>
        <v>0</v>
      </c>
      <c r="C5" s="8"/>
      <c r="D5" s="8"/>
      <c r="E5" s="8"/>
      <c r="F5" s="8"/>
      <c r="G5" s="8"/>
      <c r="H5" s="147"/>
      <c r="I5" s="11"/>
      <c r="J5" s="11"/>
      <c r="K5" s="79" t="s">
        <v>369</v>
      </c>
      <c r="L5" s="10">
        <f>'1. NAMA PESERTA'!B6</f>
        <v>0</v>
      </c>
    </row>
    <row r="6" spans="1:13" ht="15.75" customHeight="1">
      <c r="A6" s="79" t="s">
        <v>370</v>
      </c>
      <c r="B6" s="80">
        <f>'[1]1. NAMA PESERTA'!$B$7</f>
        <v>0</v>
      </c>
      <c r="C6" s="8" t="s">
        <v>678</v>
      </c>
      <c r="D6" s="8"/>
      <c r="E6" s="8"/>
      <c r="F6" s="8"/>
      <c r="G6" s="8"/>
      <c r="H6" s="147"/>
      <c r="I6" s="12"/>
      <c r="J6" s="12"/>
      <c r="K6" s="79" t="s">
        <v>370</v>
      </c>
      <c r="L6" s="10">
        <f>'1. NAMA PESERTA'!B7</f>
        <v>0</v>
      </c>
      <c r="M6" t="s">
        <v>678</v>
      </c>
    </row>
    <row r="7" spans="1:13" ht="15.75" customHeight="1">
      <c r="A7" s="79" t="s">
        <v>371</v>
      </c>
      <c r="B7" s="80">
        <f>'[1]1. NAMA PESERTA'!$B$8</f>
        <v>0</v>
      </c>
      <c r="C7" s="8"/>
      <c r="D7" s="8"/>
      <c r="E7" s="8"/>
      <c r="F7" s="8"/>
      <c r="G7" s="8"/>
      <c r="H7" s="147"/>
      <c r="I7" s="12"/>
      <c r="J7" s="12"/>
      <c r="K7" s="79" t="s">
        <v>371</v>
      </c>
      <c r="L7" s="10">
        <f>'1. NAMA PESERTA'!B8</f>
        <v>0</v>
      </c>
    </row>
    <row r="8" spans="1:13" ht="15.75" customHeight="1">
      <c r="A8" s="79" t="s">
        <v>368</v>
      </c>
      <c r="B8" s="80">
        <f>'[1]1. NAMA PESERTA'!$B$9</f>
        <v>0</v>
      </c>
      <c r="C8" s="8"/>
      <c r="D8" s="8"/>
      <c r="E8" s="8"/>
      <c r="F8" s="8"/>
      <c r="G8" s="8"/>
      <c r="H8" s="147"/>
      <c r="I8" s="12"/>
      <c r="J8" s="12"/>
      <c r="K8" s="79" t="s">
        <v>368</v>
      </c>
      <c r="L8" s="10">
        <f>'1. NAMA PESERTA'!B9</f>
        <v>0</v>
      </c>
    </row>
    <row r="9" spans="1:13" ht="15.75" customHeight="1">
      <c r="A9" s="79" t="s">
        <v>644</v>
      </c>
      <c r="B9" s="154">
        <f>'[1]1. NAMA PESERTA'!$B$10</f>
        <v>0</v>
      </c>
      <c r="C9" s="8"/>
      <c r="D9" s="8"/>
      <c r="E9" s="8"/>
      <c r="F9" s="8"/>
      <c r="G9" s="8"/>
      <c r="H9" s="147"/>
      <c r="I9" s="12"/>
      <c r="J9" s="12"/>
      <c r="K9" s="79" t="s">
        <v>644</v>
      </c>
      <c r="L9" s="258">
        <f>'1. NAMA PESERTA'!B10</f>
        <v>0</v>
      </c>
    </row>
    <row r="10" spans="1:13" ht="15.75" customHeight="1">
      <c r="A10" s="79" t="s">
        <v>645</v>
      </c>
      <c r="B10" s="80">
        <f>'[1]1. NAMA PESERTA'!$B$11</f>
        <v>0</v>
      </c>
      <c r="C10" s="8"/>
      <c r="D10" s="8"/>
      <c r="E10" s="8"/>
      <c r="F10" s="8"/>
      <c r="G10" s="8"/>
      <c r="H10" s="147"/>
      <c r="I10" s="12"/>
      <c r="J10" s="12"/>
      <c r="K10" s="79" t="s">
        <v>645</v>
      </c>
      <c r="L10" s="10">
        <f>'1. NAMA PESERTA'!B11</f>
        <v>0</v>
      </c>
    </row>
    <row r="11" spans="1:13" ht="28.5" customHeight="1">
      <c r="A11" s="13" t="s">
        <v>127</v>
      </c>
      <c r="B11" s="12"/>
      <c r="C11" s="12"/>
      <c r="D11" s="12"/>
      <c r="E11" s="12"/>
      <c r="F11" s="12"/>
      <c r="G11" s="12"/>
      <c r="H11" s="14"/>
      <c r="I11" s="12"/>
      <c r="J11" s="13" t="s">
        <v>127</v>
      </c>
      <c r="K11" s="12"/>
      <c r="L11" s="12"/>
    </row>
    <row r="12" spans="1:13" ht="32.25" customHeight="1">
      <c r="A12" s="15" t="s">
        <v>122</v>
      </c>
      <c r="B12" s="12"/>
      <c r="C12" s="12"/>
      <c r="D12" s="12"/>
      <c r="E12" s="12"/>
      <c r="F12" s="12"/>
      <c r="G12" s="12"/>
      <c r="H12" s="14"/>
      <c r="I12" s="16"/>
      <c r="J12" s="15" t="s">
        <v>122</v>
      </c>
      <c r="K12" s="148"/>
      <c r="L12" s="83" t="s">
        <v>344</v>
      </c>
    </row>
    <row r="13" spans="1:13" ht="100.2" customHeight="1">
      <c r="A13" s="67" t="s">
        <v>346</v>
      </c>
      <c r="B13" s="330" t="s">
        <v>374</v>
      </c>
      <c r="C13" s="331"/>
      <c r="D13" s="331"/>
      <c r="E13" s="331"/>
      <c r="F13" s="331"/>
      <c r="G13" s="331"/>
      <c r="H13" s="331"/>
      <c r="I13" s="68"/>
      <c r="J13" s="67" t="s">
        <v>346</v>
      </c>
      <c r="K13" s="198" t="e">
        <f>HITUNG!$I$40</f>
        <v>#N/A</v>
      </c>
      <c r="L13" s="17" t="e">
        <f>'INTERPRETASI SKOR (2)'!B13</f>
        <v>#N/A</v>
      </c>
    </row>
    <row r="14" spans="1:13" ht="100.2" customHeight="1">
      <c r="A14" s="67" t="s">
        <v>362</v>
      </c>
      <c r="B14" s="330" t="s">
        <v>372</v>
      </c>
      <c r="C14" s="331"/>
      <c r="D14" s="331"/>
      <c r="E14" s="331"/>
      <c r="F14" s="331"/>
      <c r="G14" s="331"/>
      <c r="H14" s="331"/>
      <c r="I14" s="68"/>
      <c r="J14" s="67" t="s">
        <v>362</v>
      </c>
      <c r="K14" s="199" t="e">
        <f>HITUNG!$H$40</f>
        <v>#N/A</v>
      </c>
      <c r="L14" s="18" t="e">
        <f>'INTERPRETASI SKOR (2)'!B27</f>
        <v>#N/A</v>
      </c>
    </row>
    <row r="15" spans="1:13" ht="100.2" customHeight="1">
      <c r="A15" s="67" t="s">
        <v>363</v>
      </c>
      <c r="B15" s="330" t="s">
        <v>373</v>
      </c>
      <c r="C15" s="331"/>
      <c r="D15" s="331"/>
      <c r="E15" s="331"/>
      <c r="F15" s="331"/>
      <c r="G15" s="331"/>
      <c r="H15" s="331"/>
      <c r="I15" s="68"/>
      <c r="J15" s="67" t="s">
        <v>363</v>
      </c>
      <c r="K15" s="200" t="e">
        <f>HITUNG!$H$27</f>
        <v>#N/A</v>
      </c>
      <c r="L15" s="19" t="e">
        <f>'INTERPRETASI SKOR (2)'!B41</f>
        <v>#N/A</v>
      </c>
    </row>
    <row r="16" spans="1:13" ht="100.2" customHeight="1">
      <c r="A16" s="67" t="s">
        <v>364</v>
      </c>
      <c r="B16" s="330" t="s">
        <v>377</v>
      </c>
      <c r="C16" s="331"/>
      <c r="D16" s="331"/>
      <c r="E16" s="331"/>
      <c r="F16" s="331"/>
      <c r="G16" s="331"/>
      <c r="H16" s="331"/>
      <c r="I16" s="68"/>
      <c r="J16" s="67" t="s">
        <v>364</v>
      </c>
      <c r="K16" s="198" t="e">
        <f>HITUNG!$P$27</f>
        <v>#N/A</v>
      </c>
      <c r="L16" s="17" t="e">
        <f>'INTERPRETASI SKOR (2)'!B55</f>
        <v>#N/A</v>
      </c>
    </row>
    <row r="17" spans="1:12" ht="100.2" customHeight="1">
      <c r="A17" s="67" t="s">
        <v>347</v>
      </c>
      <c r="B17" s="330" t="s">
        <v>376</v>
      </c>
      <c r="C17" s="331"/>
      <c r="D17" s="331"/>
      <c r="E17" s="331"/>
      <c r="F17" s="331"/>
      <c r="G17" s="331"/>
      <c r="H17" s="331"/>
      <c r="I17" s="68"/>
      <c r="J17" s="67" t="s">
        <v>347</v>
      </c>
      <c r="K17" s="199" t="e">
        <f>HITUNG!$O$27</f>
        <v>#N/A</v>
      </c>
      <c r="L17" s="18" t="e">
        <f>'INTERPRETASI SKOR (2)'!B69</f>
        <v>#N/A</v>
      </c>
    </row>
    <row r="18" spans="1:12" ht="100.2" customHeight="1">
      <c r="A18" s="67" t="s">
        <v>348</v>
      </c>
      <c r="B18" s="330" t="s">
        <v>375</v>
      </c>
      <c r="C18" s="331"/>
      <c r="D18" s="331"/>
      <c r="E18" s="331"/>
      <c r="F18" s="331"/>
      <c r="G18" s="331"/>
      <c r="H18" s="331"/>
      <c r="I18" s="68"/>
      <c r="J18" s="67" t="s">
        <v>348</v>
      </c>
      <c r="K18" s="200" t="e">
        <f>HITUNG!$N$27</f>
        <v>#N/A</v>
      </c>
      <c r="L18" s="19" t="e">
        <f>'INTERPRETASI SKOR (2)'!B83</f>
        <v>#N/A</v>
      </c>
    </row>
    <row r="19" spans="1:12" ht="100.2" customHeight="1">
      <c r="A19" s="67" t="s">
        <v>349</v>
      </c>
      <c r="B19" s="330" t="s">
        <v>378</v>
      </c>
      <c r="C19" s="331"/>
      <c r="D19" s="331"/>
      <c r="E19" s="331"/>
      <c r="F19" s="331"/>
      <c r="G19" s="331"/>
      <c r="H19" s="331"/>
      <c r="I19" s="68"/>
      <c r="J19" s="67" t="s">
        <v>349</v>
      </c>
      <c r="K19" s="199" t="e">
        <f>HITUNG!$K$27</f>
        <v>#N/A</v>
      </c>
      <c r="L19" s="18" t="e">
        <f>'INTERPRETASI SKOR (2)'!B97</f>
        <v>#N/A</v>
      </c>
    </row>
    <row r="20" spans="1:12" ht="100.2" customHeight="1">
      <c r="A20" s="67" t="s">
        <v>350</v>
      </c>
      <c r="B20" s="330" t="s">
        <v>379</v>
      </c>
      <c r="C20" s="331"/>
      <c r="D20" s="331"/>
      <c r="E20" s="331"/>
      <c r="F20" s="331"/>
      <c r="G20" s="331"/>
      <c r="H20" s="331"/>
      <c r="I20" s="68"/>
      <c r="J20" s="67" t="s">
        <v>350</v>
      </c>
      <c r="K20" s="200" t="e">
        <f>HITUNG!$L$27</f>
        <v>#N/A</v>
      </c>
      <c r="L20" s="19" t="e">
        <f>'INTERPRETASI SKOR (2)'!B111</f>
        <v>#N/A</v>
      </c>
    </row>
    <row r="21" spans="1:12">
      <c r="A21" s="12"/>
      <c r="B21" s="12"/>
      <c r="C21" s="12"/>
      <c r="D21" s="12"/>
      <c r="E21" s="12"/>
      <c r="F21" s="12"/>
      <c r="G21" s="12"/>
      <c r="H21" s="14"/>
      <c r="I21" s="12"/>
      <c r="J21" s="12"/>
      <c r="K21" s="6"/>
      <c r="L21" s="12"/>
    </row>
    <row r="22" spans="1:12">
      <c r="A22" s="15" t="s">
        <v>123</v>
      </c>
      <c r="B22" s="12"/>
      <c r="C22" s="12"/>
      <c r="D22" s="12"/>
      <c r="E22" s="12"/>
      <c r="F22" s="12"/>
      <c r="G22" s="12"/>
      <c r="H22" s="14"/>
      <c r="I22" s="12"/>
      <c r="J22" s="15" t="s">
        <v>123</v>
      </c>
      <c r="K22" s="6"/>
      <c r="L22" s="12"/>
    </row>
    <row r="23" spans="1:12" ht="100.2" customHeight="1">
      <c r="A23" s="67" t="s">
        <v>351</v>
      </c>
      <c r="B23" s="333" t="s">
        <v>380</v>
      </c>
      <c r="C23" s="334"/>
      <c r="D23" s="334"/>
      <c r="E23" s="334"/>
      <c r="F23" s="334"/>
      <c r="G23" s="334"/>
      <c r="H23" s="334"/>
      <c r="I23" s="68"/>
      <c r="J23" s="67" t="s">
        <v>351</v>
      </c>
      <c r="K23" s="187" t="e">
        <f>HITUNG!$P$40</f>
        <v>#N/A</v>
      </c>
      <c r="L23" s="18" t="e">
        <f>'INTERPRETASI SKOR (2)'!B125</f>
        <v>#N/A</v>
      </c>
    </row>
    <row r="24" spans="1:12" ht="100.2" customHeight="1">
      <c r="A24" s="67" t="s">
        <v>352</v>
      </c>
      <c r="B24" s="333" t="s">
        <v>382</v>
      </c>
      <c r="C24" s="334"/>
      <c r="D24" s="334"/>
      <c r="E24" s="334"/>
      <c r="F24" s="334"/>
      <c r="G24" s="334"/>
      <c r="H24" s="334"/>
      <c r="I24" s="68"/>
      <c r="J24" s="67" t="s">
        <v>352</v>
      </c>
      <c r="K24" s="188" t="e">
        <f>HITUNG!$Q$40</f>
        <v>#N/A</v>
      </c>
      <c r="L24" s="19" t="e">
        <f>'INTERPRETASI SKOR (2)'!B139</f>
        <v>#N/A</v>
      </c>
    </row>
    <row r="25" spans="1:12">
      <c r="A25" s="20">
        <f>B3</f>
        <v>0</v>
      </c>
      <c r="B25" s="12"/>
      <c r="C25" s="12"/>
      <c r="D25" s="12"/>
      <c r="E25" s="12"/>
      <c r="F25" s="335" t="s">
        <v>723</v>
      </c>
      <c r="G25" s="335"/>
      <c r="H25" s="335"/>
      <c r="I25" s="335"/>
      <c r="J25" s="20">
        <f>B3</f>
        <v>0</v>
      </c>
      <c r="K25" s="7"/>
      <c r="L25" s="152" t="s">
        <v>723</v>
      </c>
    </row>
    <row r="26" spans="1:12">
      <c r="A26" s="15" t="s">
        <v>124</v>
      </c>
      <c r="B26" s="12"/>
      <c r="C26" s="12"/>
      <c r="D26" s="12"/>
      <c r="E26" s="12"/>
      <c r="F26" s="12"/>
      <c r="G26" s="12"/>
      <c r="H26" s="14"/>
      <c r="I26" s="12"/>
      <c r="J26" s="15" t="s">
        <v>124</v>
      </c>
      <c r="K26" s="6"/>
      <c r="L26" s="12"/>
    </row>
    <row r="27" spans="1:12" ht="100.2" customHeight="1">
      <c r="A27" s="67" t="s">
        <v>381</v>
      </c>
      <c r="B27" s="330" t="s">
        <v>383</v>
      </c>
      <c r="C27" s="331"/>
      <c r="D27" s="331"/>
      <c r="E27" s="331"/>
      <c r="F27" s="331"/>
      <c r="G27" s="331"/>
      <c r="H27" s="331"/>
      <c r="I27" s="68"/>
      <c r="J27" s="67" t="s">
        <v>381</v>
      </c>
      <c r="K27" s="189" t="e">
        <f>HITUNG!$I$27</f>
        <v>#N/A</v>
      </c>
      <c r="L27" s="17" t="e">
        <f>'INTERPRETASI SKOR (2)'!B153</f>
        <v>#N/A</v>
      </c>
    </row>
    <row r="28" spans="1:12" ht="100.2" customHeight="1">
      <c r="A28" s="67" t="s">
        <v>353</v>
      </c>
      <c r="B28" s="330" t="s">
        <v>384</v>
      </c>
      <c r="C28" s="331"/>
      <c r="D28" s="331"/>
      <c r="E28" s="331"/>
      <c r="F28" s="331"/>
      <c r="G28" s="331"/>
      <c r="H28" s="331"/>
      <c r="I28" s="68"/>
      <c r="J28" s="67" t="s">
        <v>353</v>
      </c>
      <c r="K28" s="190" t="e">
        <f>HITUNG!$J$40</f>
        <v>#N/A</v>
      </c>
      <c r="L28" s="18" t="e">
        <f>'INTERPRETASI SKOR (2)'!B167</f>
        <v>#N/A</v>
      </c>
    </row>
    <row r="29" spans="1:12" ht="100.2" customHeight="1">
      <c r="A29" s="67" t="s">
        <v>354</v>
      </c>
      <c r="B29" s="330" t="s">
        <v>385</v>
      </c>
      <c r="C29" s="332"/>
      <c r="D29" s="332"/>
      <c r="E29" s="332"/>
      <c r="F29" s="332"/>
      <c r="G29" s="332"/>
      <c r="H29" s="332"/>
      <c r="I29" s="68"/>
      <c r="J29" s="67" t="s">
        <v>354</v>
      </c>
      <c r="K29" s="191" t="e">
        <f>HITUNG!$J$27</f>
        <v>#N/A</v>
      </c>
      <c r="L29" s="19" t="e">
        <f>'INTERPRETASI SKOR (2)'!B181</f>
        <v>#N/A</v>
      </c>
    </row>
    <row r="30" spans="1:12">
      <c r="A30" s="12"/>
      <c r="B30" s="12"/>
      <c r="C30" s="12"/>
      <c r="D30" s="12"/>
      <c r="E30" s="12"/>
      <c r="F30" s="12"/>
      <c r="G30" s="12"/>
      <c r="H30" s="14"/>
      <c r="I30" s="12"/>
      <c r="J30" s="12"/>
      <c r="K30" s="6"/>
      <c r="L30" s="21"/>
    </row>
    <row r="31" spans="1:12">
      <c r="A31" s="15" t="s">
        <v>125</v>
      </c>
      <c r="B31" s="12"/>
      <c r="C31" s="12"/>
      <c r="D31" s="12"/>
      <c r="E31" s="12"/>
      <c r="F31" s="12"/>
      <c r="G31" s="12"/>
      <c r="H31" s="14"/>
      <c r="I31" s="12"/>
      <c r="J31" s="15" t="s">
        <v>125</v>
      </c>
      <c r="K31" s="6"/>
      <c r="L31" s="12"/>
    </row>
    <row r="32" spans="1:12" ht="100.2" customHeight="1">
      <c r="A32" s="67" t="s">
        <v>355</v>
      </c>
      <c r="B32" s="330" t="s">
        <v>386</v>
      </c>
      <c r="C32" s="331"/>
      <c r="D32" s="331"/>
      <c r="E32" s="331"/>
      <c r="F32" s="331"/>
      <c r="G32" s="331"/>
      <c r="H32" s="331"/>
      <c r="I32" s="68"/>
      <c r="J32" s="67" t="s">
        <v>355</v>
      </c>
      <c r="K32" s="192" t="e">
        <f>HITUNG!$M$27</f>
        <v>#N/A</v>
      </c>
      <c r="L32" s="17" t="e">
        <f>'INTERPRETASI SKOR (2)'!B195</f>
        <v>#N/A</v>
      </c>
    </row>
    <row r="33" spans="1:12" ht="100.2" customHeight="1">
      <c r="A33" s="67" t="s">
        <v>356</v>
      </c>
      <c r="B33" s="330" t="s">
        <v>387</v>
      </c>
      <c r="C33" s="331"/>
      <c r="D33" s="331"/>
      <c r="E33" s="331"/>
      <c r="F33" s="331"/>
      <c r="G33" s="331"/>
      <c r="H33" s="331"/>
      <c r="I33" s="68"/>
      <c r="J33" s="67" t="s">
        <v>356</v>
      </c>
      <c r="K33" s="193" t="e">
        <f>HITUNG!$L$40</f>
        <v>#N/A</v>
      </c>
      <c r="L33" s="18" t="e">
        <f>'INTERPRETASI SKOR (2)'!B209</f>
        <v>#N/A</v>
      </c>
    </row>
    <row r="34" spans="1:12" ht="100.2" customHeight="1">
      <c r="A34" s="67" t="s">
        <v>357</v>
      </c>
      <c r="B34" s="330" t="s">
        <v>389</v>
      </c>
      <c r="C34" s="332"/>
      <c r="D34" s="332"/>
      <c r="E34" s="332"/>
      <c r="F34" s="332"/>
      <c r="G34" s="332"/>
      <c r="H34" s="332"/>
      <c r="I34" s="68"/>
      <c r="J34" s="67" t="s">
        <v>357</v>
      </c>
      <c r="K34" s="194" t="e">
        <f>HITUNG!$M$40</f>
        <v>#N/A</v>
      </c>
      <c r="L34" s="22" t="e">
        <f>'INTERPRETASI SKOR (2)'!B223</f>
        <v>#N/A</v>
      </c>
    </row>
    <row r="35" spans="1:12" ht="100.2" customHeight="1">
      <c r="A35" s="67" t="s">
        <v>358</v>
      </c>
      <c r="B35" s="330" t="s">
        <v>388</v>
      </c>
      <c r="C35" s="332"/>
      <c r="D35" s="332"/>
      <c r="E35" s="332"/>
      <c r="F35" s="332"/>
      <c r="G35" s="332"/>
      <c r="H35" s="332"/>
      <c r="I35" s="68"/>
      <c r="J35" s="67" t="s">
        <v>358</v>
      </c>
      <c r="K35" s="193" t="e">
        <f>HITUNG!$K$40</f>
        <v>#N/A</v>
      </c>
      <c r="L35" s="18" t="e">
        <f>'INTERPRETASI SKOR (2)'!B237</f>
        <v>#N/A</v>
      </c>
    </row>
    <row r="36" spans="1:12">
      <c r="A36" s="20">
        <f>B3</f>
        <v>0</v>
      </c>
      <c r="B36" s="12"/>
      <c r="C36" s="12"/>
      <c r="D36" s="12"/>
      <c r="E36" s="12"/>
      <c r="F36" s="12"/>
      <c r="G36" s="12"/>
      <c r="H36" s="335" t="s">
        <v>722</v>
      </c>
      <c r="I36" s="335"/>
      <c r="J36" s="20">
        <f>B3</f>
        <v>0</v>
      </c>
      <c r="K36" s="6"/>
      <c r="L36" s="152" t="s">
        <v>722</v>
      </c>
    </row>
    <row r="37" spans="1:12">
      <c r="A37" s="15" t="s">
        <v>126</v>
      </c>
      <c r="B37" s="12"/>
      <c r="C37" s="12"/>
      <c r="D37" s="12"/>
      <c r="E37" s="12"/>
      <c r="F37" s="12"/>
      <c r="G37" s="12"/>
      <c r="H37" s="14"/>
      <c r="I37" s="12"/>
      <c r="J37" s="15" t="s">
        <v>126</v>
      </c>
      <c r="K37" s="6"/>
      <c r="L37" s="12"/>
    </row>
    <row r="38" spans="1:12" ht="100.2" customHeight="1">
      <c r="A38" s="67" t="s">
        <v>359</v>
      </c>
      <c r="B38" s="330" t="s">
        <v>391</v>
      </c>
      <c r="C38" s="332"/>
      <c r="D38" s="332"/>
      <c r="E38" s="332"/>
      <c r="F38" s="332"/>
      <c r="G38" s="332"/>
      <c r="H38" s="332"/>
      <c r="I38" s="68"/>
      <c r="J38" s="67" t="s">
        <v>359</v>
      </c>
      <c r="K38" s="195" t="e">
        <f>HITUNG!$Q$27</f>
        <v>#N/A</v>
      </c>
      <c r="L38" s="17" t="e">
        <f>'INTERPRETASI SKOR (2)'!B251</f>
        <v>#N/A</v>
      </c>
    </row>
    <row r="39" spans="1:12" ht="100.2" customHeight="1">
      <c r="A39" s="67" t="s">
        <v>360</v>
      </c>
      <c r="B39" s="330" t="s">
        <v>392</v>
      </c>
      <c r="C39" s="332"/>
      <c r="D39" s="332"/>
      <c r="E39" s="332"/>
      <c r="F39" s="332"/>
      <c r="G39" s="332"/>
      <c r="H39" s="332"/>
      <c r="I39" s="68"/>
      <c r="J39" s="67" t="s">
        <v>360</v>
      </c>
      <c r="K39" s="196" t="e">
        <f>HITUNG!$O$40</f>
        <v>#N/A</v>
      </c>
      <c r="L39" s="18" t="e">
        <f>'INTERPRETASI SKOR (2)'!B265</f>
        <v>#N/A</v>
      </c>
    </row>
    <row r="40" spans="1:12" ht="100.2" customHeight="1">
      <c r="A40" s="67" t="s">
        <v>361</v>
      </c>
      <c r="B40" s="330" t="s">
        <v>390</v>
      </c>
      <c r="C40" s="332"/>
      <c r="D40" s="332"/>
      <c r="E40" s="332"/>
      <c r="F40" s="332"/>
      <c r="G40" s="332"/>
      <c r="H40" s="332"/>
      <c r="I40" s="68"/>
      <c r="J40" s="67" t="s">
        <v>361</v>
      </c>
      <c r="K40" s="197" t="e">
        <f>HITUNG!$N$40</f>
        <v>#N/A</v>
      </c>
      <c r="L40" s="19" t="e">
        <f>'INTERPRETASI SKOR (2)'!B279</f>
        <v>#N/A</v>
      </c>
    </row>
    <row r="41" spans="1:12">
      <c r="A41" s="20">
        <f>B3</f>
        <v>0</v>
      </c>
      <c r="B41" s="12"/>
      <c r="C41" s="12"/>
      <c r="D41" s="335" t="s">
        <v>721</v>
      </c>
      <c r="E41" s="335"/>
      <c r="F41" s="335"/>
      <c r="G41" s="335"/>
      <c r="H41" s="335"/>
      <c r="I41" s="335"/>
      <c r="J41" s="69">
        <f>B3</f>
        <v>0</v>
      </c>
      <c r="K41" s="7"/>
      <c r="L41" s="153" t="s">
        <v>721</v>
      </c>
    </row>
    <row r="42" spans="1:12" ht="12" customHeight="1">
      <c r="A42" s="71"/>
      <c r="B42" s="61"/>
      <c r="C42" s="43"/>
      <c r="D42" s="43"/>
      <c r="E42" s="43"/>
      <c r="F42" s="43"/>
      <c r="G42" s="43"/>
      <c r="H42" s="43"/>
      <c r="I42" s="43"/>
      <c r="J42" s="71"/>
      <c r="K42" s="61"/>
      <c r="L42" s="70"/>
    </row>
    <row r="43" spans="1:12" ht="30" customHeight="1">
      <c r="A43" s="324" t="s">
        <v>367</v>
      </c>
      <c r="B43" s="324"/>
      <c r="C43" s="324"/>
      <c r="D43" s="324"/>
      <c r="E43" s="324"/>
      <c r="F43" s="324"/>
      <c r="G43" s="324"/>
      <c r="H43" s="324"/>
      <c r="I43" s="324"/>
      <c r="J43" s="325" t="s">
        <v>367</v>
      </c>
      <c r="K43" s="325"/>
      <c r="L43" s="325"/>
    </row>
    <row r="44" spans="1:12" ht="15.75" customHeight="1">
      <c r="A44" s="326" t="s">
        <v>713</v>
      </c>
      <c r="B44" s="327"/>
      <c r="C44" s="327"/>
      <c r="D44" s="327"/>
      <c r="E44" s="327"/>
      <c r="F44" s="327"/>
      <c r="G44" s="327"/>
      <c r="H44" s="327"/>
      <c r="I44" s="327"/>
      <c r="J44" s="328" t="s">
        <v>713</v>
      </c>
      <c r="K44" s="328"/>
      <c r="L44" s="328"/>
    </row>
  </sheetData>
  <mergeCells count="31">
    <mergeCell ref="J2:L2"/>
    <mergeCell ref="J1:L1"/>
    <mergeCell ref="A44:I44"/>
    <mergeCell ref="J44:L44"/>
    <mergeCell ref="D41:I41"/>
    <mergeCell ref="A1:I1"/>
    <mergeCell ref="A2:I2"/>
    <mergeCell ref="F25:I25"/>
    <mergeCell ref="B34:H34"/>
    <mergeCell ref="B35:H35"/>
    <mergeCell ref="B38:H38"/>
    <mergeCell ref="B27:H27"/>
    <mergeCell ref="B28:H28"/>
    <mergeCell ref="B29:H29"/>
    <mergeCell ref="B32:H32"/>
    <mergeCell ref="B33:H33"/>
    <mergeCell ref="A43:I43"/>
    <mergeCell ref="J43:L43"/>
    <mergeCell ref="B13:H13"/>
    <mergeCell ref="B14:H14"/>
    <mergeCell ref="B15:H15"/>
    <mergeCell ref="B16:H16"/>
    <mergeCell ref="B17:H17"/>
    <mergeCell ref="B18:H18"/>
    <mergeCell ref="B19:H19"/>
    <mergeCell ref="B20:H20"/>
    <mergeCell ref="B39:H39"/>
    <mergeCell ref="B40:H40"/>
    <mergeCell ref="B23:H23"/>
    <mergeCell ref="B24:H24"/>
    <mergeCell ref="H36:I36"/>
  </mergeCells>
  <hyperlinks>
    <hyperlink ref="A44" r:id="rId1" display="PSIKOGRAM/04-2015/@ Dr.Ir. RITA MARKUS I.M.Psi.T"/>
  </hyperlinks>
  <pageMargins left="1.56" right="0.70866141732283472" top="0.38" bottom="0.48" header="0.31496062992125984" footer="0.31496062992125984"/>
  <pageSetup paperSize="5" scale="85" orientation="landscape" r:id="rId2"/>
  <rowBreaks count="1" manualBreakCount="1">
    <brk id="25" max="12" man="1"/>
  </rowBreaks>
  <colBreaks count="2" manualBreakCount="2">
    <brk id="9" max="43" man="1"/>
    <brk id="12" max="43" man="1"/>
  </colBreak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52"/>
  <sheetViews>
    <sheetView view="pageBreakPreview" topLeftCell="A140" zoomScaleSheetLayoutView="100" workbookViewId="0">
      <selection activeCell="D14" sqref="D14:L14"/>
    </sheetView>
  </sheetViews>
  <sheetFormatPr defaultRowHeight="14.4"/>
  <sheetData>
    <row r="2" spans="1:12">
      <c r="B2" s="155"/>
      <c r="C2" s="156" t="s">
        <v>3</v>
      </c>
      <c r="D2" s="156" t="s">
        <v>25</v>
      </c>
      <c r="E2" s="156" t="s">
        <v>35</v>
      </c>
      <c r="F2" s="156" t="s">
        <v>16</v>
      </c>
      <c r="G2" s="156" t="s">
        <v>17</v>
      </c>
      <c r="H2" s="156" t="s">
        <v>39</v>
      </c>
      <c r="I2" s="156" t="s">
        <v>14</v>
      </c>
      <c r="J2" s="156" t="s">
        <v>5</v>
      </c>
      <c r="K2" s="156" t="s">
        <v>4</v>
      </c>
      <c r="L2" s="156" t="s">
        <v>48</v>
      </c>
    </row>
    <row r="3" spans="1:12">
      <c r="C3" t="e">
        <f>HITUNG!$H$26</f>
        <v>#N/A</v>
      </c>
      <c r="D3" t="e">
        <f>HITUNG!$I$26</f>
        <v>#N/A</v>
      </c>
      <c r="E3" t="e">
        <f>HITUNG!$J$26</f>
        <v>#N/A</v>
      </c>
      <c r="F3" t="e">
        <f>HITUNG!$K$26</f>
        <v>#N/A</v>
      </c>
      <c r="G3" t="e">
        <f>HITUNG!$L$26</f>
        <v>#N/A</v>
      </c>
      <c r="H3" t="e">
        <f>HITUNG!$M$26</f>
        <v>#N/A</v>
      </c>
      <c r="I3" t="e">
        <f>HITUNG!$N$26</f>
        <v>#N/A</v>
      </c>
      <c r="J3" t="e">
        <f>HITUNG!$O$26</f>
        <v>#N/A</v>
      </c>
      <c r="K3" t="e">
        <f>HITUNG!$P$26</f>
        <v>#N/A</v>
      </c>
      <c r="L3" t="e">
        <f>HITUNG!$Q$26</f>
        <v>#N/A</v>
      </c>
    </row>
    <row r="5" spans="1:12">
      <c r="B5" s="155"/>
      <c r="C5" s="156" t="s">
        <v>2</v>
      </c>
      <c r="D5" s="156" t="s">
        <v>1</v>
      </c>
      <c r="E5" s="156" t="s">
        <v>30</v>
      </c>
      <c r="F5" s="156" t="s">
        <v>45</v>
      </c>
      <c r="G5" s="156" t="s">
        <v>41</v>
      </c>
      <c r="H5" s="156" t="s">
        <v>43</v>
      </c>
      <c r="I5" s="156" t="s">
        <v>55</v>
      </c>
      <c r="J5" s="156" t="s">
        <v>51</v>
      </c>
      <c r="K5" s="156" t="s">
        <v>22</v>
      </c>
      <c r="L5" s="156" t="s">
        <v>19</v>
      </c>
    </row>
    <row r="6" spans="1:12">
      <c r="C6" t="e">
        <f>HITUNG!$H$39</f>
        <v>#N/A</v>
      </c>
      <c r="D6" t="e">
        <f>HITUNG!$I$39</f>
        <v>#N/A</v>
      </c>
      <c r="E6" t="e">
        <f>HITUNG!$J$39</f>
        <v>#N/A</v>
      </c>
      <c r="F6" t="e">
        <f>HITUNG!$K$39</f>
        <v>#N/A</v>
      </c>
      <c r="G6" t="e">
        <f>HITUNG!$L$39</f>
        <v>#N/A</v>
      </c>
      <c r="H6" t="e">
        <f>HITUNG!$M$39</f>
        <v>#N/A</v>
      </c>
      <c r="I6" t="e">
        <f>HITUNG!$N$39</f>
        <v>#N/A</v>
      </c>
      <c r="J6" t="e">
        <f>HITUNG!$O$39</f>
        <v>#N/A</v>
      </c>
      <c r="K6" t="e">
        <f>HITUNG!$P$39</f>
        <v>#N/A</v>
      </c>
      <c r="L6" t="e">
        <f>HITUNG!$Q$39</f>
        <v>#N/A</v>
      </c>
    </row>
    <row r="7" spans="1:12" ht="15" thickBot="1"/>
    <row r="8" spans="1:12" ht="18.600000000000001" thickBot="1">
      <c r="B8" t="s">
        <v>647</v>
      </c>
      <c r="C8" t="s">
        <v>647</v>
      </c>
      <c r="D8" s="336" t="s">
        <v>677</v>
      </c>
      <c r="E8" s="337"/>
      <c r="F8" s="337"/>
      <c r="G8" s="337"/>
      <c r="H8" s="337"/>
      <c r="I8" s="337"/>
      <c r="J8" s="337"/>
      <c r="K8" s="337"/>
      <c r="L8" s="338"/>
    </row>
    <row r="9" spans="1:12" ht="28.2" customHeight="1">
      <c r="A9" s="157" t="s">
        <v>648</v>
      </c>
      <c r="B9" s="158" t="e">
        <f>'I.RANGE ANALYSIS'!K14</f>
        <v>#N/A</v>
      </c>
      <c r="C9" s="158" t="e">
        <f>'I.RANGE ANALYSIS'!K15</f>
        <v>#N/A</v>
      </c>
      <c r="D9" s="339" t="e">
        <f>IF(AND(C3&gt;=7,C6&gt;=6),"Pekerja keras yang sangat tekun, konsisten, tuntas.", "-----")</f>
        <v>#N/A</v>
      </c>
      <c r="E9" s="340"/>
      <c r="F9" s="340"/>
      <c r="G9" s="340"/>
      <c r="H9" s="340"/>
      <c r="I9" s="340"/>
      <c r="J9" s="340"/>
      <c r="K9" s="340"/>
      <c r="L9" s="341"/>
    </row>
    <row r="10" spans="1:12" ht="28.2" customHeight="1">
      <c r="A10" s="159"/>
      <c r="B10" s="160"/>
      <c r="C10" s="160"/>
      <c r="D10" s="342" t="e">
        <f>IF(AND(C3&gt;=7,C6&lt;=3),"Pekerja keras, tapi komitmen rendah; melompat dari satu tugas ke tugas lain sebelum tuntas.", "-----")</f>
        <v>#N/A</v>
      </c>
      <c r="E10" s="343"/>
      <c r="F10" s="343"/>
      <c r="G10" s="343"/>
      <c r="H10" s="343"/>
      <c r="I10" s="343"/>
      <c r="J10" s="343"/>
      <c r="K10" s="343"/>
      <c r="L10" s="344"/>
    </row>
    <row r="11" spans="1:12" ht="28.2" customHeight="1">
      <c r="A11" s="159"/>
      <c r="B11" s="160"/>
      <c r="C11" s="160"/>
      <c r="D11" s="342" t="e">
        <f>IF(AND(C3&lt;=3,C6&lt;=3),"Santai dan senang menangani beberapa tugas sekaligus tapi tidak tuntas. ", "-----")</f>
        <v>#N/A</v>
      </c>
      <c r="E11" s="343"/>
      <c r="F11" s="343"/>
      <c r="G11" s="343"/>
      <c r="H11" s="343"/>
      <c r="I11" s="343"/>
      <c r="J11" s="343"/>
      <c r="K11" s="343"/>
      <c r="L11" s="344"/>
    </row>
    <row r="12" spans="1:12" ht="28.2" customHeight="1" thickBot="1">
      <c r="A12" s="161"/>
      <c r="B12" s="162"/>
      <c r="C12" s="162"/>
      <c r="D12" s="345" t="e">
        <f>IF(AND(C3&lt;=3,C6&gt;=6),"Santai tapi konsisten, dapat diandalkan untuk menuntaskan tugas.", "-----")</f>
        <v>#N/A</v>
      </c>
      <c r="E12" s="346"/>
      <c r="F12" s="346"/>
      <c r="G12" s="346"/>
      <c r="H12" s="346"/>
      <c r="I12" s="346"/>
      <c r="J12" s="346"/>
      <c r="K12" s="346"/>
      <c r="L12" s="347"/>
    </row>
    <row r="13" spans="1:12" ht="15" thickBot="1">
      <c r="D13" s="215"/>
      <c r="E13" s="215"/>
      <c r="F13" s="215"/>
      <c r="G13" s="215"/>
      <c r="H13" s="215"/>
      <c r="I13" s="215"/>
      <c r="J13" s="215"/>
      <c r="K13" s="215"/>
      <c r="L13" s="215"/>
    </row>
    <row r="14" spans="1:12" ht="28.2" customHeight="1">
      <c r="A14" s="157" t="s">
        <v>649</v>
      </c>
      <c r="B14" s="158" t="e">
        <f>'I.RANGE ANALYSIS'!K15</f>
        <v>#N/A</v>
      </c>
      <c r="C14" s="158" t="e">
        <f>'I.RANGE ANALYSIS'!K13</f>
        <v>#N/A</v>
      </c>
      <c r="D14" s="339" t="e">
        <f>IF(AND(C3&gt;=7,D6&gt;=7),"Pekerja yang bersemangat tinggi dan ambisius.", "-----")</f>
        <v>#N/A</v>
      </c>
      <c r="E14" s="340"/>
      <c r="F14" s="340"/>
      <c r="G14" s="340"/>
      <c r="H14" s="340"/>
      <c r="I14" s="340"/>
      <c r="J14" s="340"/>
      <c r="K14" s="340"/>
      <c r="L14" s="341"/>
    </row>
    <row r="15" spans="1:12" ht="28.2" customHeight="1">
      <c r="A15" s="159"/>
      <c r="B15" s="160"/>
      <c r="C15" s="160"/>
      <c r="D15" s="342" t="e">
        <f>IF(AND(C3&gt;=7,D6&lt;=2),"Pekerja keras, tapi tidak tahu tujuannya; bekerja lebih berat dari yang direncanakan/diinginkan.", "-----")</f>
        <v>#N/A</v>
      </c>
      <c r="E15" s="343"/>
      <c r="F15" s="343"/>
      <c r="G15" s="343"/>
      <c r="H15" s="343"/>
      <c r="I15" s="343"/>
      <c r="J15" s="343"/>
      <c r="K15" s="343"/>
      <c r="L15" s="344"/>
    </row>
    <row r="16" spans="1:12" ht="28.2" customHeight="1">
      <c r="A16" s="159"/>
      <c r="B16" s="160"/>
      <c r="C16" s="160"/>
      <c r="D16" s="342" t="e">
        <f>IF(AND(C3&lt;=3,D6&lt;=2),"Santai, tidak kompetitif, tidak memanfaatkan kapasitas secara optimal.", "-----")</f>
        <v>#N/A</v>
      </c>
      <c r="E16" s="343"/>
      <c r="F16" s="343"/>
      <c r="G16" s="343"/>
      <c r="H16" s="343"/>
      <c r="I16" s="343"/>
      <c r="J16" s="343"/>
      <c r="K16" s="343"/>
      <c r="L16" s="344"/>
    </row>
    <row r="17" spans="1:12" ht="28.2" customHeight="1" thickBot="1">
      <c r="A17" s="161"/>
      <c r="B17" s="162"/>
      <c r="C17" s="162"/>
      <c r="D17" s="345" t="e">
        <f>IF(AND(C3&lt;=3,D6&gt;=7),"Ambisius tapi santai; tidak mencapai semua yang ia harapkan.", "-----")</f>
        <v>#N/A</v>
      </c>
      <c r="E17" s="346"/>
      <c r="F17" s="346"/>
      <c r="G17" s="346"/>
      <c r="H17" s="346"/>
      <c r="I17" s="346"/>
      <c r="J17" s="346"/>
      <c r="K17" s="346"/>
      <c r="L17" s="347"/>
    </row>
    <row r="18" spans="1:12" ht="15" thickBot="1">
      <c r="D18" s="215"/>
      <c r="E18" s="215"/>
      <c r="F18" s="215"/>
      <c r="G18" s="215"/>
      <c r="H18" s="215"/>
      <c r="I18" s="215"/>
      <c r="J18" s="215"/>
      <c r="K18" s="215"/>
      <c r="L18" s="215"/>
    </row>
    <row r="19" spans="1:12" ht="28.2" customHeight="1">
      <c r="A19" s="157" t="s">
        <v>650</v>
      </c>
      <c r="B19" s="158" t="e">
        <f>'I.RANGE ANALYSIS'!K14</f>
        <v>#N/A</v>
      </c>
      <c r="C19" s="158" t="e">
        <f>'I.RANGE ANALYSIS'!K24</f>
        <v>#N/A</v>
      </c>
      <c r="D19" s="339" t="e">
        <f>IF(AND(C6&gt;=6,L6&gt;=6),"Sangat bersungguh-sungguh; tekun tapi butuh uraian tugas yang jelas.", "-----")</f>
        <v>#N/A</v>
      </c>
      <c r="E19" s="340"/>
      <c r="F19" s="340"/>
      <c r="G19" s="340"/>
      <c r="H19" s="340"/>
      <c r="I19" s="340"/>
      <c r="J19" s="340"/>
      <c r="K19" s="340"/>
      <c r="L19" s="341"/>
    </row>
    <row r="20" spans="1:12" ht="29.4" customHeight="1">
      <c r="A20" s="159"/>
      <c r="B20" s="160"/>
      <c r="C20" s="160"/>
      <c r="D20" s="348" t="e">
        <f>IF(AND(C6&gt;=6,L6&lt;=1),"Dapat diandalkan untuk menuntaskan tugas yang didelegasikan.", "-----")</f>
        <v>#N/A</v>
      </c>
      <c r="E20" s="349"/>
      <c r="F20" s="349"/>
      <c r="G20" s="349"/>
      <c r="H20" s="349"/>
      <c r="I20" s="349"/>
      <c r="J20" s="349"/>
      <c r="K20" s="349"/>
      <c r="L20" s="350"/>
    </row>
    <row r="21" spans="1:12" ht="28.2" customHeight="1">
      <c r="A21" s="159"/>
      <c r="B21" s="160"/>
      <c r="C21" s="160"/>
      <c r="D21" s="342" t="e">
        <f>IF(AND(C6&lt;=2,L6&lt;=1),"Mendelegasikan sebagian besar tugas dan membiarkan orang lain menyelesaikannya (orang bisa merasa tidak aman).", "-----")</f>
        <v>#N/A</v>
      </c>
      <c r="E21" s="343"/>
      <c r="F21" s="343"/>
      <c r="G21" s="343"/>
      <c r="H21" s="343"/>
      <c r="I21" s="343"/>
      <c r="J21" s="343"/>
      <c r="K21" s="343"/>
      <c r="L21" s="344"/>
    </row>
    <row r="22" spans="1:12" ht="28.2" customHeight="1" thickBot="1">
      <c r="A22" s="161"/>
      <c r="B22" s="162"/>
      <c r="C22" s="162"/>
      <c r="D22" s="345" t="e">
        <f>IF(AND(C6&lt;=2,L6&gt;=6),"Membutuhkan pengawasan secara konstan; jika pengawasan longgar, mungkin tidak melanjutkan kerja; paling baik jika diberikan tugas satu demi satu.", "-----")</f>
        <v>#N/A</v>
      </c>
      <c r="E22" s="346"/>
      <c r="F22" s="346"/>
      <c r="G22" s="346"/>
      <c r="H22" s="346"/>
      <c r="I22" s="346"/>
      <c r="J22" s="346"/>
      <c r="K22" s="346"/>
      <c r="L22" s="347"/>
    </row>
    <row r="23" spans="1:12" ht="15" thickBot="1">
      <c r="D23" s="215"/>
      <c r="E23" s="215"/>
      <c r="F23" s="215"/>
      <c r="G23" s="215"/>
      <c r="H23" s="215"/>
      <c r="I23" s="215"/>
      <c r="J23" s="215"/>
      <c r="K23" s="215"/>
      <c r="L23" s="215"/>
    </row>
    <row r="24" spans="1:12" ht="28.2" customHeight="1">
      <c r="A24" s="157" t="s">
        <v>651</v>
      </c>
      <c r="B24" s="158" t="e">
        <f>'I.RANGE ANALYSIS'!K15</f>
        <v>#N/A</v>
      </c>
      <c r="C24" s="158" t="e">
        <f>'I.RANGE ANALYSIS'!K34</f>
        <v>#N/A</v>
      </c>
      <c r="D24" s="339" t="e">
        <f>IF(AND(C3&gt;=8,H6&gt;=7),"Bekerja keras untuk mendapatkan penghargaan orang tertentu.", "-----")</f>
        <v>#N/A</v>
      </c>
      <c r="E24" s="340"/>
      <c r="F24" s="340"/>
      <c r="G24" s="340"/>
      <c r="H24" s="340"/>
      <c r="I24" s="340"/>
      <c r="J24" s="340"/>
      <c r="K24" s="340"/>
      <c r="L24" s="341"/>
    </row>
    <row r="25" spans="1:12" ht="28.2" customHeight="1">
      <c r="A25" s="159"/>
      <c r="B25" s="160"/>
      <c r="C25" s="160"/>
      <c r="D25" s="342" t="e">
        <f>IF(AND(C3&gt;=8,H6&lt;=1),"Pekerja keras yang obyektif.", "-----")</f>
        <v>#N/A</v>
      </c>
      <c r="E25" s="343"/>
      <c r="F25" s="343"/>
      <c r="G25" s="343"/>
      <c r="H25" s="343"/>
      <c r="I25" s="343"/>
      <c r="J25" s="343"/>
      <c r="K25" s="343"/>
      <c r="L25" s="344"/>
    </row>
    <row r="26" spans="1:12" ht="28.2" customHeight="1">
      <c r="A26" s="159"/>
      <c r="B26" s="160"/>
      <c r="C26" s="160"/>
      <c r="D26" s="342" t="e">
        <f>IF(AND(C3&lt;=2,H6&lt;=1),"XXXXX", "-----")</f>
        <v>#N/A</v>
      </c>
      <c r="E26" s="343"/>
      <c r="F26" s="343"/>
      <c r="G26" s="343"/>
      <c r="H26" s="343"/>
      <c r="I26" s="343"/>
      <c r="J26" s="343"/>
      <c r="K26" s="343"/>
      <c r="L26" s="344"/>
    </row>
    <row r="27" spans="1:12" ht="28.2" customHeight="1" thickBot="1">
      <c r="A27" s="161"/>
      <c r="B27" s="162"/>
      <c r="C27" s="162"/>
      <c r="D27" s="345" t="e">
        <f>IF(AND(C3&lt;=2,H6&gt;=7),"Menghindari kerja, bermain dengan hubungan pribadi.", "-----")</f>
        <v>#N/A</v>
      </c>
      <c r="E27" s="346"/>
      <c r="F27" s="346"/>
      <c r="G27" s="346"/>
      <c r="H27" s="346"/>
      <c r="I27" s="346"/>
      <c r="J27" s="346"/>
      <c r="K27" s="346"/>
      <c r="L27" s="347"/>
    </row>
    <row r="28" spans="1:12" ht="15" thickBot="1">
      <c r="D28" s="215"/>
      <c r="E28" s="215"/>
      <c r="F28" s="215"/>
      <c r="G28" s="215"/>
      <c r="H28" s="215"/>
      <c r="I28" s="215"/>
      <c r="J28" s="215"/>
      <c r="K28" s="215"/>
      <c r="L28" s="215"/>
    </row>
    <row r="29" spans="1:12" ht="28.2" customHeight="1">
      <c r="A29" s="157" t="s">
        <v>652</v>
      </c>
      <c r="B29" s="158" t="e">
        <f>'I.RANGE ANALYSIS'!K16</f>
        <v>#N/A</v>
      </c>
      <c r="C29" s="158" t="e">
        <f>'I.RANGE ANALYSIS'!K17</f>
        <v>#N/A</v>
      </c>
      <c r="D29" s="339" t="e">
        <f>IF(AND(K3&gt;=6,J3&gt;=5),"Sangat cermat dalam menangani detil, teratur dan teliti.", "-----")</f>
        <v>#N/A</v>
      </c>
      <c r="E29" s="340"/>
      <c r="F29" s="340"/>
      <c r="G29" s="340"/>
      <c r="H29" s="340"/>
      <c r="I29" s="340"/>
      <c r="J29" s="340"/>
      <c r="K29" s="340"/>
      <c r="L29" s="341"/>
    </row>
    <row r="30" spans="1:12" ht="28.2" customHeight="1">
      <c r="A30" s="159"/>
      <c r="B30" s="160"/>
      <c r="C30" s="160"/>
      <c r="D30" s="342" t="e">
        <f>IF(AND(K3&gt;=6,J3&lt;=1),"Menata tugas secara sistematis dan mendelegasikan.", "-----")</f>
        <v>#N/A</v>
      </c>
      <c r="E30" s="343"/>
      <c r="F30" s="343"/>
      <c r="G30" s="343"/>
      <c r="H30" s="343"/>
      <c r="I30" s="343"/>
      <c r="J30" s="343"/>
      <c r="K30" s="343"/>
      <c r="L30" s="344"/>
    </row>
    <row r="31" spans="1:12" ht="28.2" customHeight="1">
      <c r="A31" s="159"/>
      <c r="B31" s="160"/>
      <c r="C31" s="160"/>
      <c r="D31" s="342" t="e">
        <f>IF(AND(K3&lt;=1,J3&lt;=1),"Tidak berminat dan ceroboh dalam menangani detil.", "-----")</f>
        <v>#N/A</v>
      </c>
      <c r="E31" s="343"/>
      <c r="F31" s="343"/>
      <c r="G31" s="343"/>
      <c r="H31" s="343"/>
      <c r="I31" s="343"/>
      <c r="J31" s="343"/>
      <c r="K31" s="343"/>
      <c r="L31" s="344"/>
    </row>
    <row r="32" spans="1:12" ht="28.2" customHeight="1" thickBot="1">
      <c r="A32" s="161"/>
      <c r="B32" s="162"/>
      <c r="C32" s="162"/>
      <c r="D32" s="345" t="e">
        <f>IF(AND(K3&lt;=1,J3&gt;=5),"Menyukai detil, tapi tidak mempunyai sistem untuk menanganinya, sehingga dapat menjadi bingung menghadapi data yang terkumpul.", "-----")</f>
        <v>#N/A</v>
      </c>
      <c r="E32" s="346"/>
      <c r="F32" s="346"/>
      <c r="G32" s="346"/>
      <c r="H32" s="346"/>
      <c r="I32" s="346"/>
      <c r="J32" s="346"/>
      <c r="K32" s="346"/>
      <c r="L32" s="347"/>
    </row>
    <row r="33" spans="1:12" ht="15" thickBot="1">
      <c r="D33" s="215"/>
      <c r="E33" s="215"/>
      <c r="F33" s="215"/>
      <c r="G33" s="215"/>
      <c r="H33" s="215"/>
      <c r="I33" s="215"/>
      <c r="J33" s="215"/>
      <c r="K33" s="215"/>
      <c r="L33" s="215"/>
    </row>
    <row r="34" spans="1:12" ht="28.2" customHeight="1">
      <c r="A34" s="157" t="s">
        <v>653</v>
      </c>
      <c r="B34" s="158" t="e">
        <f>'I.RANGE ANALYSIS'!K18</f>
        <v>#N/A</v>
      </c>
      <c r="C34" s="158" t="e">
        <f>'I.RANGE ANALYSIS'!K17</f>
        <v>#N/A</v>
      </c>
      <c r="D34" s="339" t="e">
        <f>IF(AND(I3&gt;=8,J3&gt;=5),"Berpikir secara teliti, rinci, dan rumit/berbelit-belit; sulit memisahkan hal penting dari yang kurang penting; perencana jangka panjang.", "-----")</f>
        <v>#N/A</v>
      </c>
      <c r="E34" s="340"/>
      <c r="F34" s="340"/>
      <c r="G34" s="340"/>
      <c r="H34" s="340"/>
      <c r="I34" s="340"/>
      <c r="J34" s="340"/>
      <c r="K34" s="340"/>
      <c r="L34" s="341"/>
    </row>
    <row r="35" spans="1:12" ht="28.2" customHeight="1">
      <c r="A35" s="159"/>
      <c r="B35" s="160"/>
      <c r="C35" s="160"/>
      <c r="D35" s="342" t="e">
        <f>IF(AND(I3&gt;=8,J3&lt;=1),"Hanya berminat pada tugas konseptual yang besar dan penting; akan mendelagasikan detil.", "-----")</f>
        <v>#N/A</v>
      </c>
      <c r="E35" s="343"/>
      <c r="F35" s="343"/>
      <c r="G35" s="343"/>
      <c r="H35" s="343"/>
      <c r="I35" s="343"/>
      <c r="J35" s="343"/>
      <c r="K35" s="343"/>
      <c r="L35" s="344"/>
    </row>
    <row r="36" spans="1:12" ht="28.2" customHeight="1">
      <c r="A36" s="159"/>
      <c r="B36" s="160"/>
      <c r="C36" s="160"/>
      <c r="D36" s="342" t="e">
        <f>IF(AND(I3&lt;=3,J3&lt;=1),"Tidak mempunyai waktu untuk teori atau detil; ingin segera bertindak.", "-----")</f>
        <v>#N/A</v>
      </c>
      <c r="E36" s="343"/>
      <c r="F36" s="343"/>
      <c r="G36" s="343"/>
      <c r="H36" s="343"/>
      <c r="I36" s="343"/>
      <c r="J36" s="343"/>
      <c r="K36" s="343"/>
      <c r="L36" s="344"/>
    </row>
    <row r="37" spans="1:12" ht="28.2" customHeight="1" thickBot="1">
      <c r="A37" s="161"/>
      <c r="B37" s="162"/>
      <c r="C37" s="162"/>
      <c r="D37" s="345" t="e">
        <f>IF(AND(I3&lt;=3,J3&gt;=5),"Pekerja yang memperhatikan fakta dan data, berpikir praktis.", "-----")</f>
        <v>#N/A</v>
      </c>
      <c r="E37" s="346"/>
      <c r="F37" s="346"/>
      <c r="G37" s="346"/>
      <c r="H37" s="346"/>
      <c r="I37" s="346"/>
      <c r="J37" s="346"/>
      <c r="K37" s="346"/>
      <c r="L37" s="347"/>
    </row>
    <row r="38" spans="1:12" ht="15" thickBot="1">
      <c r="D38" s="215"/>
      <c r="E38" s="215"/>
      <c r="F38" s="215"/>
      <c r="G38" s="215"/>
      <c r="H38" s="215"/>
      <c r="I38" s="215"/>
      <c r="J38" s="215"/>
      <c r="K38" s="215"/>
      <c r="L38" s="215"/>
    </row>
    <row r="39" spans="1:12" ht="28.2" customHeight="1">
      <c r="A39" s="157" t="s">
        <v>654</v>
      </c>
      <c r="B39" s="158" t="e">
        <f>'I.RANGE ANALYSIS'!K13</f>
        <v>#N/A</v>
      </c>
      <c r="C39" s="158" t="e">
        <f>'I.RANGE ANALYSIS'!K18</f>
        <v>#N/A</v>
      </c>
      <c r="D39" s="339" t="e">
        <f>IF(AND(D6&gt;=8,I3&gt;=8),"Rencana yang ambisius; mungkin tidak realistis sehingga tidak praktis.", "-----")</f>
        <v>#N/A</v>
      </c>
      <c r="E39" s="340"/>
      <c r="F39" s="340"/>
      <c r="G39" s="340"/>
      <c r="H39" s="340"/>
      <c r="I39" s="340"/>
      <c r="J39" s="340"/>
      <c r="K39" s="340"/>
      <c r="L39" s="341"/>
    </row>
    <row r="40" spans="1:12" ht="28.2" customHeight="1">
      <c r="A40" s="159"/>
      <c r="B40" s="160"/>
      <c r="C40" s="160"/>
      <c r="D40" s="342" t="e">
        <f>IF(AND(D6&gt;=8,I3&lt;=2),"Tidak sabaran, ingin segera bertindak.", "-----")</f>
        <v>#N/A</v>
      </c>
      <c r="E40" s="343"/>
      <c r="F40" s="343"/>
      <c r="G40" s="343"/>
      <c r="H40" s="343"/>
      <c r="I40" s="343"/>
      <c r="J40" s="343"/>
      <c r="K40" s="343"/>
      <c r="L40" s="344"/>
    </row>
    <row r="41" spans="1:12" ht="28.2" customHeight="1">
      <c r="A41" s="159"/>
      <c r="B41" s="160"/>
      <c r="C41" s="160"/>
      <c r="D41" s="342" t="e">
        <f>IF(AND(D6&lt;=2,I3&lt;=2),"Tidak tertarik pada teori dan kurang mampu merencana.", "-----")</f>
        <v>#N/A</v>
      </c>
      <c r="E41" s="343"/>
      <c r="F41" s="343"/>
      <c r="G41" s="343"/>
      <c r="H41" s="343"/>
      <c r="I41" s="343"/>
      <c r="J41" s="343"/>
      <c r="K41" s="343"/>
      <c r="L41" s="344"/>
    </row>
    <row r="42" spans="1:12" ht="28.2" customHeight="1" thickBot="1">
      <c r="A42" s="161"/>
      <c r="B42" s="162"/>
      <c r="C42" s="162"/>
      <c r="D42" s="345" t="e">
        <f>IF(AND(D6&lt;=2,I3&gt;=8),"Mungkin kehilangan arah dalam berpikir.", "-----")</f>
        <v>#N/A</v>
      </c>
      <c r="E42" s="346"/>
      <c r="F42" s="346"/>
      <c r="G42" s="346"/>
      <c r="H42" s="346"/>
      <c r="I42" s="346"/>
      <c r="J42" s="346"/>
      <c r="K42" s="346"/>
      <c r="L42" s="347"/>
    </row>
    <row r="43" spans="1:12" ht="15" thickBot="1">
      <c r="D43" s="215"/>
      <c r="E43" s="215"/>
      <c r="F43" s="215"/>
      <c r="G43" s="215"/>
      <c r="H43" s="215"/>
      <c r="I43" s="215"/>
      <c r="J43" s="215"/>
      <c r="K43" s="215"/>
      <c r="L43" s="215"/>
    </row>
    <row r="44" spans="1:12" ht="28.2" customHeight="1">
      <c r="A44" s="157" t="s">
        <v>655</v>
      </c>
      <c r="B44" s="158" t="e">
        <f>'I.RANGE ANALYSIS'!K18</f>
        <v>#N/A</v>
      </c>
      <c r="C44" s="158" t="e">
        <f>'I.RANGE ANALYSIS'!K34</f>
        <v>#N/A</v>
      </c>
      <c r="D44" s="339" t="e">
        <f>IF(AND(I3&gt;=8,H6&gt;=7),"Pemikirannya dipengaruhi oleh individu tertentu.", "-----")</f>
        <v>#N/A</v>
      </c>
      <c r="E44" s="340"/>
      <c r="F44" s="340"/>
      <c r="G44" s="340"/>
      <c r="H44" s="340"/>
      <c r="I44" s="340"/>
      <c r="J44" s="340"/>
      <c r="K44" s="340"/>
      <c r="L44" s="341"/>
    </row>
    <row r="45" spans="1:12" ht="28.2" customHeight="1">
      <c r="A45" s="159"/>
      <c r="B45" s="160"/>
      <c r="C45" s="160"/>
      <c r="D45" s="342" t="e">
        <f>IF(AND(I3&gt;=8,H6&lt;=2),"Berpikir kritis, analitis dan obyektif.", "-----")</f>
        <v>#N/A</v>
      </c>
      <c r="E45" s="343"/>
      <c r="F45" s="343"/>
      <c r="G45" s="343"/>
      <c r="H45" s="343"/>
      <c r="I45" s="343"/>
      <c r="J45" s="343"/>
      <c r="K45" s="343"/>
      <c r="L45" s="344"/>
    </row>
    <row r="46" spans="1:12" ht="28.2" customHeight="1">
      <c r="A46" s="159"/>
      <c r="B46" s="160"/>
      <c r="C46" s="160"/>
      <c r="D46" s="342" t="e">
        <f>IF(AND(I3&lt;=2,H6&lt;=2),"Pemikirannya lebih didasari intuisi (sesuai pengalaman).", "-----")</f>
        <v>#N/A</v>
      </c>
      <c r="E46" s="343"/>
      <c r="F46" s="343"/>
      <c r="G46" s="343"/>
      <c r="H46" s="343"/>
      <c r="I46" s="343"/>
      <c r="J46" s="343"/>
      <c r="K46" s="343"/>
      <c r="L46" s="344"/>
    </row>
    <row r="47" spans="1:12" ht="28.2" customHeight="1" thickBot="1">
      <c r="A47" s="161"/>
      <c r="B47" s="162"/>
      <c r="C47" s="162"/>
      <c r="D47" s="345" t="e">
        <f>IF(AND(I3&lt;=2,H6&gt;=7),"Pelaksana; tindakan lebih didasari oleh perasaan daripada ratio.", "-----")</f>
        <v>#N/A</v>
      </c>
      <c r="E47" s="346"/>
      <c r="F47" s="346"/>
      <c r="G47" s="346"/>
      <c r="H47" s="346"/>
      <c r="I47" s="346"/>
      <c r="J47" s="346"/>
      <c r="K47" s="346"/>
      <c r="L47" s="347"/>
    </row>
    <row r="48" spans="1:12" ht="15" thickBot="1">
      <c r="D48" s="215"/>
      <c r="E48" s="215"/>
      <c r="F48" s="215"/>
      <c r="G48" s="215"/>
      <c r="H48" s="215"/>
      <c r="I48" s="215"/>
      <c r="J48" s="215"/>
      <c r="K48" s="215"/>
      <c r="L48" s="215"/>
    </row>
    <row r="49" spans="1:12" ht="28.2" customHeight="1">
      <c r="A49" s="157" t="s">
        <v>656</v>
      </c>
      <c r="B49" s="158" t="e">
        <f>'I.RANGE ANALYSIS'!K19</f>
        <v>#N/A</v>
      </c>
      <c r="C49" s="158" t="e">
        <f>'I.RANGE ANALYSIS'!K20</f>
        <v>#N/A</v>
      </c>
      <c r="D49" s="339" t="e">
        <f>IF(AND(G3&gt;=6,F3&gt;=6),"Giat dan aktif", "-----")</f>
        <v>#N/A</v>
      </c>
      <c r="E49" s="340"/>
      <c r="F49" s="340"/>
      <c r="G49" s="340"/>
      <c r="H49" s="340"/>
      <c r="I49" s="340"/>
      <c r="J49" s="340"/>
      <c r="K49" s="340"/>
      <c r="L49" s="341"/>
    </row>
    <row r="50" spans="1:12" ht="28.2" customHeight="1">
      <c r="A50" s="159"/>
      <c r="B50" s="160"/>
      <c r="C50" s="160"/>
      <c r="D50" s="342" t="e">
        <f>IF(AND(G3&gt;=6,F3&lt;=1),"Menggunakan energi fisik secara efisien.", "-----")</f>
        <v>#N/A</v>
      </c>
      <c r="E50" s="343"/>
      <c r="F50" s="343"/>
      <c r="G50" s="343"/>
      <c r="H50" s="343"/>
      <c r="I50" s="343"/>
      <c r="J50" s="343"/>
      <c r="K50" s="343"/>
      <c r="L50" s="344"/>
    </row>
    <row r="51" spans="1:12" ht="28.2" customHeight="1">
      <c r="A51" s="159"/>
      <c r="B51" s="160"/>
      <c r="C51" s="160"/>
      <c r="D51" s="342" t="e">
        <f>IF(AND(G3&lt;=1,F3&lt;=1),"Lamban dan mudah lelah.", "-----")</f>
        <v>#N/A</v>
      </c>
      <c r="E51" s="343"/>
      <c r="F51" s="343"/>
      <c r="G51" s="343"/>
      <c r="H51" s="343"/>
      <c r="I51" s="343"/>
      <c r="J51" s="343"/>
      <c r="K51" s="343"/>
      <c r="L51" s="344"/>
    </row>
    <row r="52" spans="1:12" ht="28.2" customHeight="1" thickBot="1">
      <c r="A52" s="161"/>
      <c r="B52" s="162"/>
      <c r="C52" s="162"/>
      <c r="D52" s="345" t="e">
        <f>IF(AND(G3&lt;=1,F3&gt;=6),"Menggunakan energi mental secara efisien.", "-----")</f>
        <v>#N/A</v>
      </c>
      <c r="E52" s="346"/>
      <c r="F52" s="346"/>
      <c r="G52" s="346"/>
      <c r="H52" s="346"/>
      <c r="I52" s="346"/>
      <c r="J52" s="346"/>
      <c r="K52" s="346"/>
      <c r="L52" s="347"/>
    </row>
    <row r="53" spans="1:12" ht="15" thickBot="1">
      <c r="D53" s="215"/>
      <c r="E53" s="215"/>
      <c r="F53" s="215"/>
      <c r="G53" s="215"/>
      <c r="H53" s="215"/>
      <c r="I53" s="215"/>
      <c r="J53" s="215"/>
      <c r="K53" s="215"/>
      <c r="L53" s="215"/>
    </row>
    <row r="54" spans="1:12" ht="28.2" customHeight="1">
      <c r="A54" s="157" t="s">
        <v>657</v>
      </c>
      <c r="B54" s="158" t="e">
        <f>'I.RANGE ANALYSIS'!K23</f>
        <v>#N/A</v>
      </c>
      <c r="C54" s="158" t="e">
        <f>'I.RANGE ANALYSIS'!K39</f>
        <v>#N/A</v>
      </c>
      <c r="D54" s="339" t="e">
        <f>IF(AND(K6&gt;=8,J6&gt;=7),"Sangat menghormati atasan tapi dengan memendam rasa permusuhan.", "-----")</f>
        <v>#N/A</v>
      </c>
      <c r="E54" s="340"/>
      <c r="F54" s="340"/>
      <c r="G54" s="340"/>
      <c r="H54" s="340"/>
      <c r="I54" s="340"/>
      <c r="J54" s="340"/>
      <c r="K54" s="340"/>
      <c r="L54" s="341"/>
    </row>
    <row r="55" spans="1:12" ht="28.2" customHeight="1">
      <c r="A55" s="159"/>
      <c r="B55" s="160"/>
      <c r="C55" s="160"/>
      <c r="D55" s="342" t="e">
        <f>IF(AND(K6&gt;=8,J6&lt;=2),"Rendah hati, sederhana, menghormati dan suka memuji-muji atasan.", "-----")</f>
        <v>#N/A</v>
      </c>
      <c r="E55" s="343"/>
      <c r="F55" s="343"/>
      <c r="G55" s="343"/>
      <c r="H55" s="343"/>
      <c r="I55" s="343"/>
      <c r="J55" s="343"/>
      <c r="K55" s="343"/>
      <c r="L55" s="344"/>
    </row>
    <row r="56" spans="1:12" ht="28.2" customHeight="1">
      <c r="A56" s="159"/>
      <c r="B56" s="160"/>
      <c r="C56" s="160"/>
      <c r="D56" s="342" t="e">
        <f>IF(AND(K6&lt;=2,J6&lt;=2),"Memperlakukan atasan/ otoritas sebagai mitra yang setara.", "-----")</f>
        <v>#N/A</v>
      </c>
      <c r="E56" s="343"/>
      <c r="F56" s="343"/>
      <c r="G56" s="343"/>
      <c r="H56" s="343"/>
      <c r="I56" s="343"/>
      <c r="J56" s="343"/>
      <c r="K56" s="343"/>
      <c r="L56" s="344"/>
    </row>
    <row r="57" spans="1:12" ht="28.2" customHeight="1" thickBot="1">
      <c r="A57" s="161"/>
      <c r="B57" s="162"/>
      <c r="C57" s="162"/>
      <c r="D57" s="345" t="e">
        <f>IF(AND(K6&lt;=2,J6&gt;=7),"Menolak otoritas.", "-----")</f>
        <v>#N/A</v>
      </c>
      <c r="E57" s="346"/>
      <c r="F57" s="346"/>
      <c r="G57" s="346"/>
      <c r="H57" s="346"/>
      <c r="I57" s="346"/>
      <c r="J57" s="346"/>
      <c r="K57" s="346"/>
      <c r="L57" s="347"/>
    </row>
    <row r="58" spans="1:12" ht="15" thickBot="1">
      <c r="D58" s="215"/>
      <c r="E58" s="215"/>
      <c r="F58" s="215"/>
      <c r="G58" s="215"/>
      <c r="H58" s="215"/>
      <c r="I58" s="215"/>
      <c r="J58" s="215"/>
      <c r="K58" s="215"/>
      <c r="L58" s="215"/>
    </row>
    <row r="59" spans="1:12" ht="28.2" customHeight="1">
      <c r="A59" s="157" t="s">
        <v>658</v>
      </c>
      <c r="B59" s="158" t="e">
        <f>'I.RANGE ANALYSIS'!K23</f>
        <v>#N/A</v>
      </c>
      <c r="C59" s="158" t="e">
        <f>'I.RANGE ANALYSIS'!K24</f>
        <v>#N/A</v>
      </c>
      <c r="D59" s="339" t="e">
        <f>IF(AND(K6&gt;=8,L6&gt;=6),"Menerima dan tunduk pada peraturan dan otoritas.", "-----")</f>
        <v>#N/A</v>
      </c>
      <c r="E59" s="340"/>
      <c r="F59" s="340"/>
      <c r="G59" s="340"/>
      <c r="H59" s="340"/>
      <c r="I59" s="340"/>
      <c r="J59" s="340"/>
      <c r="K59" s="340"/>
      <c r="L59" s="341"/>
    </row>
    <row r="60" spans="1:12" ht="28.2" customHeight="1">
      <c r="A60" s="159"/>
      <c r="B60" s="160"/>
      <c r="C60" s="160"/>
      <c r="D60" s="342" t="e">
        <f>IF(AND(K6&gt;=8,L6&lt;=1),"Menginginkan kepercayaan bukan pengawasan; bekerja sangat baik bila ada sentuhan pribadi.", "-----")</f>
        <v>#N/A</v>
      </c>
      <c r="E60" s="343"/>
      <c r="F60" s="343"/>
      <c r="G60" s="343"/>
      <c r="H60" s="343"/>
      <c r="I60" s="343"/>
      <c r="J60" s="343"/>
      <c r="K60" s="343"/>
      <c r="L60" s="344"/>
    </row>
    <row r="61" spans="1:12" ht="28.2" customHeight="1">
      <c r="A61" s="159"/>
      <c r="B61" s="160"/>
      <c r="C61" s="160"/>
      <c r="D61" s="342" t="e">
        <f>IF(AND(K6&lt;=2,L6&lt;=1),"Menolak otoritas; bekerja paling baik jika pekerjaan didelegasikan sepenuhnya.", "-----")</f>
        <v>#N/A</v>
      </c>
      <c r="E61" s="343"/>
      <c r="F61" s="343"/>
      <c r="G61" s="343"/>
      <c r="H61" s="343"/>
      <c r="I61" s="343"/>
      <c r="J61" s="343"/>
      <c r="K61" s="343"/>
      <c r="L61" s="344"/>
    </row>
    <row r="62" spans="1:12" ht="28.2" customHeight="1" thickBot="1">
      <c r="A62" s="161"/>
      <c r="B62" s="162"/>
      <c r="C62" s="162"/>
      <c r="D62" s="345" t="e">
        <f>IF(AND(K6&lt;=2,L6&gt;=6),"Membutuhkan pengarahan tapi menolak otoritas; tanggapan akan lebih baik dengan instruksi tertulis daripada lisan.", "-----")</f>
        <v>#N/A</v>
      </c>
      <c r="E62" s="346"/>
      <c r="F62" s="346"/>
      <c r="G62" s="346"/>
      <c r="H62" s="346"/>
      <c r="I62" s="346"/>
      <c r="J62" s="346"/>
      <c r="K62" s="346"/>
      <c r="L62" s="347"/>
    </row>
    <row r="63" spans="1:12" ht="15" thickBot="1">
      <c r="D63" s="215"/>
      <c r="E63" s="215"/>
      <c r="F63" s="215"/>
      <c r="G63" s="215"/>
      <c r="H63" s="215"/>
      <c r="I63" s="215"/>
      <c r="J63" s="215"/>
      <c r="K63" s="215"/>
      <c r="L63" s="215"/>
    </row>
    <row r="64" spans="1:12" ht="28.2" customHeight="1">
      <c r="A64" s="157" t="s">
        <v>659</v>
      </c>
      <c r="B64" s="158" t="e">
        <f>'I.RANGE ANALYSIS'!K35</f>
        <v>#N/A</v>
      </c>
      <c r="C64" s="158" t="e">
        <f>'I.RANGE ANALYSIS'!K23</f>
        <v>#N/A</v>
      </c>
      <c r="D64" s="339" t="e">
        <f>IF(AND(F6&gt;=6,K6&gt;=8),"Menuntut perhatian dan pengakuan.", "-----")</f>
        <v>#N/A</v>
      </c>
      <c r="E64" s="340"/>
      <c r="F64" s="340"/>
      <c r="G64" s="340"/>
      <c r="H64" s="340"/>
      <c r="I64" s="340"/>
      <c r="J64" s="340"/>
      <c r="K64" s="340"/>
      <c r="L64" s="341"/>
    </row>
    <row r="65" spans="1:12" ht="28.2" customHeight="1">
      <c r="A65" s="159"/>
      <c r="B65" s="160"/>
      <c r="C65" s="160"/>
      <c r="D65" s="342" t="e">
        <f>IF(AND(F6&gt;=6,K6&lt;=1),"Cenderung tidak patuh dan mengabaikan kesepakatan.", "-----")</f>
        <v>#N/A</v>
      </c>
      <c r="E65" s="343"/>
      <c r="F65" s="343"/>
      <c r="G65" s="343"/>
      <c r="H65" s="343"/>
      <c r="I65" s="343"/>
      <c r="J65" s="343"/>
      <c r="K65" s="343"/>
      <c r="L65" s="344"/>
    </row>
    <row r="66" spans="1:12" ht="28.2" customHeight="1">
      <c r="A66" s="159"/>
      <c r="B66" s="160"/>
      <c r="C66" s="160"/>
      <c r="D66" s="342" t="e">
        <f>IF(AND(F6=0,K6&lt;=1),"Sangat tidak tergantung pada organisasi dan tidak perduli akan pengakuan.", "-----")</f>
        <v>#N/A</v>
      </c>
      <c r="E66" s="343"/>
      <c r="F66" s="343"/>
      <c r="G66" s="343"/>
      <c r="H66" s="343"/>
      <c r="I66" s="343"/>
      <c r="J66" s="343"/>
      <c r="K66" s="343"/>
      <c r="L66" s="344"/>
    </row>
    <row r="67" spans="1:12" ht="28.2" customHeight="1" thickBot="1">
      <c r="A67" s="161"/>
      <c r="B67" s="162"/>
      <c r="C67" s="162"/>
      <c r="D67" s="345" t="e">
        <f>IF(AND(F6=0,K6&gt;=8),"Konvensional, melakukan hal-hal yang diharapkan dari dirinya.", "-----")</f>
        <v>#N/A</v>
      </c>
      <c r="E67" s="346"/>
      <c r="F67" s="346"/>
      <c r="G67" s="346"/>
      <c r="H67" s="346"/>
      <c r="I67" s="346"/>
      <c r="J67" s="346"/>
      <c r="K67" s="346"/>
      <c r="L67" s="347"/>
    </row>
    <row r="68" spans="1:12" ht="15" thickBot="1">
      <c r="D68" s="215"/>
      <c r="E68" s="215"/>
      <c r="F68" s="215"/>
      <c r="G68" s="215"/>
      <c r="H68" s="215"/>
      <c r="I68" s="215"/>
      <c r="J68" s="215"/>
      <c r="K68" s="215"/>
      <c r="L68" s="215"/>
    </row>
    <row r="69" spans="1:12" ht="28.2" customHeight="1">
      <c r="A69" s="157" t="s">
        <v>660</v>
      </c>
      <c r="B69" s="158" t="e">
        <f>'I.RANGE ANALYSIS'!K27</f>
        <v>#N/A</v>
      </c>
      <c r="C69" s="158" t="e">
        <f>'I.RANGE ANALYSIS'!K28</f>
        <v>#N/A</v>
      </c>
      <c r="D69" s="339" t="e">
        <f>IF(AND(D3&gt;=6,E6&gt;=6),"Pemimpin yang dominan dan bertanggung jawab.", "-----")</f>
        <v>#N/A</v>
      </c>
      <c r="E69" s="340"/>
      <c r="F69" s="340"/>
      <c r="G69" s="340"/>
      <c r="H69" s="340"/>
      <c r="I69" s="340"/>
      <c r="J69" s="340"/>
      <c r="K69" s="340"/>
      <c r="L69" s="341"/>
    </row>
    <row r="70" spans="1:12" ht="28.2" customHeight="1">
      <c r="A70" s="159"/>
      <c r="B70" s="160"/>
      <c r="C70" s="160"/>
      <c r="D70" s="342" t="e">
        <f>IF(AND(D3&gt;=6,E6&lt;=1),"Pemimpin yang agresif, tidak suka mengontrol orang lain dan enggan memikul tanggung jawab atas hasil kerja bawahan; jika tertekan, maka akan melampiaskan kemarahannya kepada bawahan.", "-----")</f>
        <v>#N/A</v>
      </c>
      <c r="E70" s="343"/>
      <c r="F70" s="343"/>
      <c r="G70" s="343"/>
      <c r="H70" s="343"/>
      <c r="I70" s="343"/>
      <c r="J70" s="343"/>
      <c r="K70" s="343"/>
      <c r="L70" s="344"/>
    </row>
    <row r="71" spans="1:12" ht="28.2" customHeight="1">
      <c r="A71" s="159"/>
      <c r="B71" s="160"/>
      <c r="C71" s="160"/>
      <c r="D71" s="342" t="e">
        <f>IF(AND(D3&lt;=1,E6&lt;=1),"Tidak mau memimpin orang lain dan tidak menginginkan peran kepemimpinan.", "-----")</f>
        <v>#N/A</v>
      </c>
      <c r="E71" s="343"/>
      <c r="F71" s="343"/>
      <c r="G71" s="343"/>
      <c r="H71" s="343"/>
      <c r="I71" s="343"/>
      <c r="J71" s="343"/>
      <c r="K71" s="343"/>
      <c r="L71" s="344"/>
    </row>
    <row r="72" spans="1:12" ht="28.2" customHeight="1" thickBot="1">
      <c r="A72" s="161"/>
      <c r="B72" s="162"/>
      <c r="C72" s="162"/>
      <c r="D72" s="345" t="e">
        <f>IF(AND(D3&lt;=1,E6&gt;=6),"Ingin mengontrol orang lain, tapi tidak punya kepercayaan diri. Hasilnya mungkin: meremehkan otoritas. kekuatan di balik layar. bersembunyi di balik nama atasan.", "-----")</f>
        <v>#N/A</v>
      </c>
      <c r="E72" s="346"/>
      <c r="F72" s="346"/>
      <c r="G72" s="346"/>
      <c r="H72" s="346"/>
      <c r="I72" s="346"/>
      <c r="J72" s="346"/>
      <c r="K72" s="346"/>
      <c r="L72" s="347"/>
    </row>
    <row r="73" spans="1:12" ht="15" thickBot="1">
      <c r="D73" s="215"/>
      <c r="E73" s="215"/>
      <c r="F73" s="215"/>
      <c r="G73" s="215"/>
      <c r="H73" s="215"/>
      <c r="I73" s="215"/>
      <c r="J73" s="215"/>
      <c r="K73" s="215"/>
      <c r="L73" s="215"/>
    </row>
    <row r="74" spans="1:12" ht="28.2" customHeight="1">
      <c r="A74" s="157" t="s">
        <v>661</v>
      </c>
      <c r="B74" s="158" t="e">
        <f>'I.RANGE ANALYSIS'!K27</f>
        <v>#N/A</v>
      </c>
      <c r="C74" s="158" t="e">
        <f>'I.RANGE ANALYSIS'!K13</f>
        <v>#N/A</v>
      </c>
      <c r="D74" s="339" t="e">
        <f>IF(AND(D3&gt;=6,D6&gt;=7),"Pemimpin yang sangat percaya diri dan bangga terhadap dirinya.", "-----")</f>
        <v>#N/A</v>
      </c>
      <c r="E74" s="340"/>
      <c r="F74" s="340"/>
      <c r="G74" s="340"/>
      <c r="H74" s="340"/>
      <c r="I74" s="340"/>
      <c r="J74" s="340"/>
      <c r="K74" s="340"/>
      <c r="L74" s="341"/>
    </row>
    <row r="75" spans="1:12" ht="28.2" customHeight="1">
      <c r="A75" s="159"/>
      <c r="B75" s="160"/>
      <c r="C75" s="160"/>
      <c r="D75" s="342" t="e">
        <f>IF(AND(D3&gt;=6,D6&lt;=2),"Pemimpin yang percaya diri tapi tidak ambisius, atau pemimpin yang sudah mapan sehingga tidak bisa atau tidak mau bergerak ke atas lagi.", "-----")</f>
        <v>#N/A</v>
      </c>
      <c r="E75" s="343"/>
      <c r="F75" s="343"/>
      <c r="G75" s="343"/>
      <c r="H75" s="343"/>
      <c r="I75" s="343"/>
      <c r="J75" s="343"/>
      <c r="K75" s="343"/>
      <c r="L75" s="344"/>
    </row>
    <row r="76" spans="1:12" ht="28.2" customHeight="1">
      <c r="A76" s="159"/>
      <c r="B76" s="160"/>
      <c r="C76" s="160"/>
      <c r="D76" s="342" t="e">
        <f>IF(AND(D3&lt;=1,D6&lt;=2),"Bukan pemimpin, tidak memiliki kepercayaan diri dan tidak berambisi.", "-----")</f>
        <v>#N/A</v>
      </c>
      <c r="E76" s="343"/>
      <c r="F76" s="343"/>
      <c r="G76" s="343"/>
      <c r="H76" s="343"/>
      <c r="I76" s="343"/>
      <c r="J76" s="343"/>
      <c r="K76" s="343"/>
      <c r="L76" s="344"/>
    </row>
    <row r="77" spans="1:12" ht="28.2" customHeight="1" thickBot="1">
      <c r="A77" s="161"/>
      <c r="B77" s="162"/>
      <c r="C77" s="162"/>
      <c r="D77" s="345" t="e">
        <f>IF(AND(D3&lt;=1,D6&gt;=7),"Bukan pemimpin, tidak percaya diri untuk berperan sebagai pemimpin; lebih suka berprestasi sendiri.", "-----")</f>
        <v>#N/A</v>
      </c>
      <c r="E77" s="346"/>
      <c r="F77" s="346"/>
      <c r="G77" s="346"/>
      <c r="H77" s="346"/>
      <c r="I77" s="346"/>
      <c r="J77" s="346"/>
      <c r="K77" s="346"/>
      <c r="L77" s="347"/>
    </row>
    <row r="78" spans="1:12" ht="15" thickBot="1">
      <c r="D78" s="215"/>
      <c r="E78" s="215"/>
      <c r="F78" s="215"/>
      <c r="G78" s="215"/>
      <c r="H78" s="215"/>
      <c r="I78" s="215"/>
      <c r="J78" s="215"/>
      <c r="K78" s="215"/>
      <c r="L78" s="215"/>
    </row>
    <row r="79" spans="1:12" ht="28.2" customHeight="1">
      <c r="A79" s="163" t="s">
        <v>662</v>
      </c>
      <c r="B79" s="158"/>
      <c r="C79" s="158"/>
      <c r="D79" s="339" t="e">
        <f>IF(AND(D3&gt;=6,E6&gt;=6,H3&gt;=6,G6&gt;=6),"Pemimpin yang demokratis", "-----")</f>
        <v>#N/A</v>
      </c>
      <c r="E79" s="340"/>
      <c r="F79" s="340"/>
      <c r="G79" s="340"/>
      <c r="H79" s="340"/>
      <c r="I79" s="340"/>
      <c r="J79" s="340"/>
      <c r="K79" s="340"/>
      <c r="L79" s="341"/>
    </row>
    <row r="80" spans="1:12" ht="28.2" customHeight="1">
      <c r="A80" s="159"/>
      <c r="B80" s="160"/>
      <c r="C80" s="160"/>
      <c r="D80" s="342" t="e">
        <f>IF(AND(D3&gt;=6,E6&gt;=6,H3&lt;=3,G6&lt;=3),"Pemimpin yang otokratis", "-----")</f>
        <v>#N/A</v>
      </c>
      <c r="E80" s="343"/>
      <c r="F80" s="343"/>
      <c r="G80" s="343"/>
      <c r="H80" s="343"/>
      <c r="I80" s="343"/>
      <c r="J80" s="343"/>
      <c r="K80" s="343"/>
      <c r="L80" s="344"/>
    </row>
    <row r="81" spans="1:12" ht="28.2" customHeight="1">
      <c r="A81" s="159"/>
      <c r="B81" s="160"/>
      <c r="C81" s="160"/>
      <c r="D81" s="342" t="e">
        <f>IF(AND(D3&lt;=2,E6&lt;=2,H3&lt;=3,G6&lt;=3),"Bukan pemimpin, berorientasi pada diri sendiri.", "-----")</f>
        <v>#N/A</v>
      </c>
      <c r="E81" s="343"/>
      <c r="F81" s="343"/>
      <c r="G81" s="343"/>
      <c r="H81" s="343"/>
      <c r="I81" s="343"/>
      <c r="J81" s="343"/>
      <c r="K81" s="343"/>
      <c r="L81" s="344"/>
    </row>
    <row r="82" spans="1:12" ht="28.2" customHeight="1" thickBot="1">
      <c r="A82" s="161"/>
      <c r="B82" s="162"/>
      <c r="C82" s="162"/>
      <c r="D82" s="345" t="e">
        <f>IF(AND(D3&lt;=2,E6&lt;=2,H3&gt;=6,G6&gt;=6),"Bukan pemimpin, lebih mengutamakan hubungan sosial.", "-----")</f>
        <v>#N/A</v>
      </c>
      <c r="E82" s="346"/>
      <c r="F82" s="346"/>
      <c r="G82" s="346"/>
      <c r="H82" s="346"/>
      <c r="I82" s="346"/>
      <c r="J82" s="346"/>
      <c r="K82" s="346"/>
      <c r="L82" s="347"/>
    </row>
    <row r="83" spans="1:12" ht="15" thickBot="1">
      <c r="D83" s="215"/>
      <c r="E83" s="215"/>
      <c r="F83" s="215"/>
      <c r="G83" s="215"/>
      <c r="H83" s="215"/>
      <c r="I83" s="215"/>
      <c r="J83" s="215"/>
      <c r="K83" s="215"/>
      <c r="L83" s="215"/>
    </row>
    <row r="84" spans="1:12" ht="28.2" customHeight="1">
      <c r="A84" s="163" t="s">
        <v>663</v>
      </c>
      <c r="B84" s="158"/>
      <c r="C84" s="158"/>
      <c r="D84" s="339" t="e">
        <f>IF(AND(D3&gt;=6,E6&gt;=6,K6&gt;=5),"Pemimpin yang loyal dan mendukung atasan.", "-----")</f>
        <v>#N/A</v>
      </c>
      <c r="E84" s="340"/>
      <c r="F84" s="340"/>
      <c r="G84" s="340"/>
      <c r="H84" s="340"/>
      <c r="I84" s="340"/>
      <c r="J84" s="340"/>
      <c r="K84" s="340"/>
      <c r="L84" s="341"/>
    </row>
    <row r="85" spans="1:12" ht="28.2" customHeight="1">
      <c r="A85" s="159"/>
      <c r="B85" s="160"/>
      <c r="C85" s="160"/>
      <c r="D85" s="342" t="e">
        <f>IF(AND(D3&gt;=6,E6&gt;=6,K6&lt;=2),"Lebih suka menjadi pemimpin dan tidak suka dipimpin.", "-----")</f>
        <v>#N/A</v>
      </c>
      <c r="E85" s="343"/>
      <c r="F85" s="343"/>
      <c r="G85" s="343"/>
      <c r="H85" s="343"/>
      <c r="I85" s="343"/>
      <c r="J85" s="343"/>
      <c r="K85" s="343"/>
      <c r="L85" s="344"/>
    </row>
    <row r="86" spans="1:12" ht="28.2" customHeight="1">
      <c r="A86" s="159"/>
      <c r="B86" s="160"/>
      <c r="C86" s="160"/>
      <c r="D86" s="342" t="e">
        <f>IF(AND(D3&lt;=2,E6&lt;=2,K6&lt;=2),"Ingin bebas dari pengawasan; tidak mau mengawasi atau diawasi. ", "-----")</f>
        <v>#N/A</v>
      </c>
      <c r="E86" s="343"/>
      <c r="F86" s="343"/>
      <c r="G86" s="343"/>
      <c r="H86" s="343"/>
      <c r="I86" s="343"/>
      <c r="J86" s="343"/>
      <c r="K86" s="343"/>
      <c r="L86" s="344"/>
    </row>
    <row r="87" spans="1:12" ht="28.2" customHeight="1" thickBot="1">
      <c r="A87" s="161"/>
      <c r="B87" s="162"/>
      <c r="C87" s="162"/>
      <c r="D87" s="345" t="e">
        <f>IF(AND(D3&lt;=2,E6&lt;=2,K6&gt;=5),"Menolak peran kepemimpinan tapi merupakan pengikut yang baik.", "-----")</f>
        <v>#N/A</v>
      </c>
      <c r="E87" s="346"/>
      <c r="F87" s="346"/>
      <c r="G87" s="346"/>
      <c r="H87" s="346"/>
      <c r="I87" s="346"/>
      <c r="J87" s="346"/>
      <c r="K87" s="346"/>
      <c r="L87" s="347"/>
    </row>
    <row r="88" spans="1:12" ht="15" thickBot="1">
      <c r="D88" s="215"/>
      <c r="E88" s="215"/>
      <c r="F88" s="215"/>
      <c r="G88" s="215"/>
      <c r="H88" s="215"/>
      <c r="I88" s="215"/>
      <c r="J88" s="215"/>
      <c r="K88" s="215"/>
      <c r="L88" s="215"/>
    </row>
    <row r="89" spans="1:12" ht="28.2" customHeight="1">
      <c r="A89" s="157" t="s">
        <v>664</v>
      </c>
      <c r="B89" s="158" t="e">
        <f>'I.RANGE ANALYSIS'!K27</f>
        <v>#N/A</v>
      </c>
      <c r="C89" s="158" t="e">
        <f>'I.RANGE ANALYSIS'!K17</f>
        <v>#N/A</v>
      </c>
      <c r="D89" s="339" t="e">
        <f>IF(AND(D3&gt;=8,J3&gt;=6),"Pemimpin yang menyukai detil dan menuntut agar perhatian diberikan pada detil.", "-----")</f>
        <v>#N/A</v>
      </c>
      <c r="E89" s="340"/>
      <c r="F89" s="340"/>
      <c r="G89" s="340"/>
      <c r="H89" s="340"/>
      <c r="I89" s="340"/>
      <c r="J89" s="340"/>
      <c r="K89" s="340"/>
      <c r="L89" s="341"/>
    </row>
    <row r="90" spans="1:12" ht="28.2" customHeight="1">
      <c r="A90" s="159"/>
      <c r="B90" s="160"/>
      <c r="C90" s="160"/>
      <c r="D90" s="342" t="e">
        <f>IF(AND(D3&gt;=8,J3=0),"Pemimpin yang menaruh minat tinggi pada gagasan –gagasan besar.", "-----")</f>
        <v>#N/A</v>
      </c>
      <c r="E90" s="343"/>
      <c r="F90" s="343"/>
      <c r="G90" s="343"/>
      <c r="H90" s="343"/>
      <c r="I90" s="343"/>
      <c r="J90" s="343"/>
      <c r="K90" s="343"/>
      <c r="L90" s="344"/>
    </row>
    <row r="91" spans="1:12" ht="28.2" customHeight="1">
      <c r="A91" s="159"/>
      <c r="B91" s="160"/>
      <c r="C91" s="160"/>
      <c r="D91" s="342" t="e">
        <f>IF(AND(D3&lt;=1,J3=0),"Bukan tipe pemimpin dan bukan tipe pekerja yang menyukai detil.", "-----")</f>
        <v>#N/A</v>
      </c>
      <c r="E91" s="343"/>
      <c r="F91" s="343"/>
      <c r="G91" s="343"/>
      <c r="H91" s="343"/>
      <c r="I91" s="343"/>
      <c r="J91" s="343"/>
      <c r="K91" s="343"/>
      <c r="L91" s="344"/>
    </row>
    <row r="92" spans="1:12" ht="28.2" customHeight="1" thickBot="1">
      <c r="A92" s="161"/>
      <c r="B92" s="162"/>
      <c r="C92" s="162"/>
      <c r="D92" s="345" t="e">
        <f>IF(AND(D3&lt;=1,J3&gt;=6),"Bukan tipe pemimpin, melainkan pekerja yang mneyukai detil; jika harus memimpin, akan bersembunyi di balik detil.", "-----")</f>
        <v>#N/A</v>
      </c>
      <c r="E92" s="346"/>
      <c r="F92" s="346"/>
      <c r="G92" s="346"/>
      <c r="H92" s="346"/>
      <c r="I92" s="346"/>
      <c r="J92" s="346"/>
      <c r="K92" s="346"/>
      <c r="L92" s="347"/>
    </row>
    <row r="93" spans="1:12" ht="15" thickBot="1">
      <c r="D93" s="215"/>
      <c r="E93" s="215"/>
      <c r="F93" s="215"/>
      <c r="G93" s="215"/>
      <c r="H93" s="215"/>
      <c r="I93" s="215"/>
      <c r="J93" s="215"/>
      <c r="K93" s="215"/>
      <c r="L93" s="215"/>
    </row>
    <row r="94" spans="1:12" ht="28.2" customHeight="1">
      <c r="A94" s="157" t="s">
        <v>665</v>
      </c>
      <c r="B94" s="158" t="e">
        <f>'I.RANGE ANALYSIS'!K28</f>
        <v>#N/A</v>
      </c>
      <c r="C94" s="158" t="e">
        <f>'I.RANGE ANALYSIS'!K16</f>
        <v>#N/A</v>
      </c>
      <c r="D94" s="339" t="e">
        <f>IF(AND(E6&gt;=7,K3&gt;=7),"Bertanggung jawab atas hasil kerja bawahan dan memperhatikan struktur dan sistem.", "-----")</f>
        <v>#N/A</v>
      </c>
      <c r="E94" s="340"/>
      <c r="F94" s="340"/>
      <c r="G94" s="340"/>
      <c r="H94" s="340"/>
      <c r="I94" s="340"/>
      <c r="J94" s="340"/>
      <c r="K94" s="340"/>
      <c r="L94" s="341"/>
    </row>
    <row r="95" spans="1:12" ht="28.2" customHeight="1">
      <c r="A95" s="159"/>
      <c r="B95" s="160"/>
      <c r="C95" s="160"/>
      <c r="D95" s="342" t="e">
        <f>IF(AND(E6&gt;=7,K3&lt;=1),"Bertanggung jawab atas hasil kerja bawahan tapi kurang memperhatikan struktur atau sistem.", "-----")</f>
        <v>#N/A</v>
      </c>
      <c r="E95" s="343"/>
      <c r="F95" s="343"/>
      <c r="G95" s="343"/>
      <c r="H95" s="343"/>
      <c r="I95" s="343"/>
      <c r="J95" s="343"/>
      <c r="K95" s="343"/>
      <c r="L95" s="344"/>
    </row>
    <row r="96" spans="1:12" ht="28.2" customHeight="1">
      <c r="A96" s="159"/>
      <c r="B96" s="160"/>
      <c r="C96" s="160"/>
      <c r="D96" s="342" t="e">
        <f>IF(AND(E6=0,K3&lt;=1),"Menghindar dari tanggung jawab atas hasil kerja orang lain atau penataan pekerjaan.", "-----")</f>
        <v>#N/A</v>
      </c>
      <c r="E96" s="343"/>
      <c r="F96" s="343"/>
      <c r="G96" s="343"/>
      <c r="H96" s="343"/>
      <c r="I96" s="343"/>
      <c r="J96" s="343"/>
      <c r="K96" s="343"/>
      <c r="L96" s="344"/>
    </row>
    <row r="97" spans="1:12" ht="28.2" customHeight="1" thickBot="1">
      <c r="A97" s="161"/>
      <c r="B97" s="162"/>
      <c r="C97" s="162"/>
      <c r="D97" s="345" t="e">
        <f>IF(AND(E6=0,K3&gt;=7),"Bertanggung jawab atas tugas (menata dengan baik) tapi enggan bertanggung jawab atas hasil kerja orang lain.", "-----")</f>
        <v>#N/A</v>
      </c>
      <c r="E97" s="346"/>
      <c r="F97" s="346"/>
      <c r="G97" s="346"/>
      <c r="H97" s="346"/>
      <c r="I97" s="346"/>
      <c r="J97" s="346"/>
      <c r="K97" s="346"/>
      <c r="L97" s="347"/>
    </row>
    <row r="98" spans="1:12" ht="15" thickBot="1">
      <c r="D98" s="215"/>
      <c r="E98" s="215"/>
      <c r="F98" s="215"/>
      <c r="G98" s="215"/>
      <c r="H98" s="215"/>
      <c r="I98" s="215"/>
      <c r="J98" s="215"/>
      <c r="K98" s="215"/>
      <c r="L98" s="215"/>
    </row>
    <row r="99" spans="1:12" ht="28.2" customHeight="1">
      <c r="A99" s="157" t="s">
        <v>666</v>
      </c>
      <c r="B99" s="158" t="e">
        <f>'I.RANGE ANALYSIS'!K29</f>
        <v>#N/A</v>
      </c>
      <c r="C99" s="158" t="e">
        <f>'I.RANGE ANALYSIS'!K28</f>
        <v>#N/A</v>
      </c>
      <c r="D99" s="339" t="e">
        <f>IF(AND(E3&gt;=8,E6&gt;=6),"Dapat membuat keputusan dengan cepat dan siap mempertanggung jawabkan hasilnya.", "-----")</f>
        <v>#N/A</v>
      </c>
      <c r="E99" s="340"/>
      <c r="F99" s="340"/>
      <c r="G99" s="340"/>
      <c r="H99" s="340"/>
      <c r="I99" s="340"/>
      <c r="J99" s="340"/>
      <c r="K99" s="340"/>
      <c r="L99" s="341"/>
    </row>
    <row r="100" spans="1:12" ht="28.2" customHeight="1">
      <c r="A100" s="159"/>
      <c r="B100" s="160"/>
      <c r="C100" s="160"/>
      <c r="D100" s="342" t="e">
        <f>IF(AND(E3&gt;=8,E6&lt;=2),"Optimis, berani menempuh resiko, tapi tidak siap mempertanggung jawabkan akibatnya (menggampang-kan masalah)", "-----")</f>
        <v>#N/A</v>
      </c>
      <c r="E100" s="343"/>
      <c r="F100" s="343"/>
      <c r="G100" s="343"/>
      <c r="H100" s="343"/>
      <c r="I100" s="343"/>
      <c r="J100" s="343"/>
      <c r="K100" s="343"/>
      <c r="L100" s="344"/>
    </row>
    <row r="101" spans="1:12" ht="28.2" customHeight="1">
      <c r="A101" s="159"/>
      <c r="B101" s="160"/>
      <c r="C101" s="160"/>
      <c r="D101" s="342" t="e">
        <f>IF(AND(E3&lt;=1,E6&lt;=2),"Pasif, enggan mengambil keputusan apalagi jika menyangkut kepentingan orang lain.", "-----")</f>
        <v>#N/A</v>
      </c>
      <c r="E101" s="343"/>
      <c r="F101" s="343"/>
      <c r="G101" s="343"/>
      <c r="H101" s="343"/>
      <c r="I101" s="343"/>
      <c r="J101" s="343"/>
      <c r="K101" s="343"/>
      <c r="L101" s="344"/>
    </row>
    <row r="102" spans="1:12" ht="28.2" customHeight="1" thickBot="1">
      <c r="A102" s="161"/>
      <c r="B102" s="162"/>
      <c r="C102" s="162"/>
      <c r="D102" s="345" t="e">
        <f>IF(AND(E3&lt;=1,E6&gt;=6),"Bertanggung jawab tapi takut menempuh resiko sehingga tegang dalam mengambil keputusan.", "-----")</f>
        <v>#N/A</v>
      </c>
      <c r="E102" s="346"/>
      <c r="F102" s="346"/>
      <c r="G102" s="346"/>
      <c r="H102" s="346"/>
      <c r="I102" s="346"/>
      <c r="J102" s="346"/>
      <c r="K102" s="346"/>
      <c r="L102" s="347"/>
    </row>
    <row r="103" spans="1:12" ht="15" thickBot="1">
      <c r="D103" s="215"/>
      <c r="E103" s="215"/>
      <c r="F103" s="215"/>
      <c r="G103" s="215"/>
      <c r="H103" s="215"/>
      <c r="I103" s="215"/>
      <c r="J103" s="215"/>
      <c r="K103" s="215"/>
      <c r="L103" s="215"/>
    </row>
    <row r="104" spans="1:12" ht="28.2" customHeight="1">
      <c r="A104" s="157" t="s">
        <v>667</v>
      </c>
      <c r="B104" s="158" t="e">
        <f>'I.RANGE ANALYSIS'!K29</f>
        <v>#N/A</v>
      </c>
      <c r="C104" s="158" t="e">
        <f>'I.RANGE ANALYSIS'!K19</f>
        <v>#N/A</v>
      </c>
      <c r="D104" s="339" t="e">
        <f>IF(AND(E3&gt;=7,F3&gt;=7),"Cepat dalam berpikir", "-----")</f>
        <v>#N/A</v>
      </c>
      <c r="E104" s="340"/>
      <c r="F104" s="340"/>
      <c r="G104" s="340"/>
      <c r="H104" s="340"/>
      <c r="I104" s="340"/>
      <c r="J104" s="340"/>
      <c r="K104" s="340"/>
      <c r="L104" s="341"/>
    </row>
    <row r="105" spans="1:12" ht="28.2" customHeight="1">
      <c r="A105" s="159"/>
      <c r="B105" s="160"/>
      <c r="C105" s="160"/>
      <c r="D105" s="342" t="e">
        <f>IF(AND(E3&gt;=7,F3&lt;=1),"Angin-anginan, kadang-kadang membuat keputusan dengan sangat cepat atau secara impulsif, bertindak tanpa berpikir panjang.", "-----")</f>
        <v>#N/A</v>
      </c>
      <c r="E105" s="343"/>
      <c r="F105" s="343"/>
      <c r="G105" s="343"/>
      <c r="H105" s="343"/>
      <c r="I105" s="343"/>
      <c r="J105" s="343"/>
      <c r="K105" s="343"/>
      <c r="L105" s="344"/>
    </row>
    <row r="106" spans="1:12" ht="28.2" customHeight="1">
      <c r="A106" s="159"/>
      <c r="B106" s="160"/>
      <c r="C106" s="160"/>
      <c r="D106" s="342" t="e">
        <f>IF(AND(E3&lt;=2,F3&lt;=1),"Enggan membuat keputusan, lamban dalam mengambil keputusan.", "-----")</f>
        <v>#N/A</v>
      </c>
      <c r="E106" s="343"/>
      <c r="F106" s="343"/>
      <c r="G106" s="343"/>
      <c r="H106" s="343"/>
      <c r="I106" s="343"/>
      <c r="J106" s="343"/>
      <c r="K106" s="343"/>
      <c r="L106" s="344"/>
    </row>
    <row r="107" spans="1:12" ht="28.2" customHeight="1" thickBot="1">
      <c r="A107" s="161"/>
      <c r="B107" s="162"/>
      <c r="C107" s="162"/>
      <c r="D107" s="345" t="e">
        <f>IF(AND(E3&lt;=2,F3&gt;=7),"Merenung, sulit membuat keputusan dengan cepat.", "-----")</f>
        <v>#N/A</v>
      </c>
      <c r="E107" s="346"/>
      <c r="F107" s="346"/>
      <c r="G107" s="346"/>
      <c r="H107" s="346"/>
      <c r="I107" s="346"/>
      <c r="J107" s="346"/>
      <c r="K107" s="346"/>
      <c r="L107" s="347"/>
    </row>
    <row r="108" spans="1:12" ht="15" thickBot="1">
      <c r="D108" s="215"/>
      <c r="E108" s="215"/>
      <c r="F108" s="215"/>
      <c r="G108" s="215"/>
      <c r="H108" s="215"/>
      <c r="I108" s="215"/>
      <c r="J108" s="215"/>
      <c r="K108" s="215"/>
      <c r="L108" s="215"/>
    </row>
    <row r="109" spans="1:12" ht="28.2" customHeight="1">
      <c r="A109" s="157" t="s">
        <v>668</v>
      </c>
      <c r="B109" s="158" t="e">
        <f>'I.RANGE ANALYSIS'!K29</f>
        <v>#N/A</v>
      </c>
      <c r="C109" s="158" t="e">
        <f>'I.RANGE ANALYSIS'!K40</f>
        <v>#N/A</v>
      </c>
      <c r="D109" s="339" t="e">
        <f>IF(AND(E3&gt;=8,I6&gt;=8),"Tidak sabaran dan impulsif dalam mengambil keputusan.", "-----")</f>
        <v>#N/A</v>
      </c>
      <c r="E109" s="340"/>
      <c r="F109" s="340"/>
      <c r="G109" s="340"/>
      <c r="H109" s="340"/>
      <c r="I109" s="340"/>
      <c r="J109" s="340"/>
      <c r="K109" s="340"/>
      <c r="L109" s="341"/>
    </row>
    <row r="110" spans="1:12" ht="28.2" customHeight="1">
      <c r="A110" s="159"/>
      <c r="B110" s="160"/>
      <c r="C110" s="160"/>
      <c r="D110" s="342" t="e">
        <f>IF(AND(E3&gt;=8,I6&lt;=2),"Ingin segera memutuskan tapi tidak suka perubahan (konflik).", "-----")</f>
        <v>#N/A</v>
      </c>
      <c r="E110" s="343"/>
      <c r="F110" s="343"/>
      <c r="G110" s="343"/>
      <c r="H110" s="343"/>
      <c r="I110" s="343"/>
      <c r="J110" s="343"/>
      <c r="K110" s="343"/>
      <c r="L110" s="344"/>
    </row>
    <row r="111" spans="1:12" ht="28.2" customHeight="1">
      <c r="A111" s="159"/>
      <c r="B111" s="160"/>
      <c r="C111" s="160"/>
      <c r="D111" s="342" t="e">
        <f>IF(AND(E3&lt;=1,I6&lt;=2),"Merasa tidak aman akan perubahan, tidak berani memutuskan.", "-----")</f>
        <v>#N/A</v>
      </c>
      <c r="E111" s="343"/>
      <c r="F111" s="343"/>
      <c r="G111" s="343"/>
      <c r="H111" s="343"/>
      <c r="I111" s="343"/>
      <c r="J111" s="343"/>
      <c r="K111" s="343"/>
      <c r="L111" s="344"/>
    </row>
    <row r="112" spans="1:12" ht="28.2" customHeight="1" thickBot="1">
      <c r="A112" s="161"/>
      <c r="B112" s="162"/>
      <c r="C112" s="162"/>
      <c r="D112" s="345" t="e">
        <f>IF(AND(E3&lt;=1,I6&gt;=8),"Tidak sabaran tapi tidak berani menempuh resiko (tidak tahu harus berbuat apa)", "-----")</f>
        <v>#N/A</v>
      </c>
      <c r="E112" s="346"/>
      <c r="F112" s="346"/>
      <c r="G112" s="346"/>
      <c r="H112" s="346"/>
      <c r="I112" s="346"/>
      <c r="J112" s="346"/>
      <c r="K112" s="346"/>
      <c r="L112" s="347"/>
    </row>
    <row r="113" spans="1:12" ht="15" thickBot="1">
      <c r="D113" s="215"/>
      <c r="E113" s="215"/>
      <c r="F113" s="215"/>
      <c r="G113" s="215"/>
      <c r="H113" s="215"/>
      <c r="I113" s="215"/>
      <c r="J113" s="215"/>
      <c r="K113" s="215"/>
      <c r="L113" s="215"/>
    </row>
    <row r="114" spans="1:12" ht="28.2" customHeight="1">
      <c r="A114" s="157" t="s">
        <v>669</v>
      </c>
      <c r="B114" s="158" t="e">
        <f>'I.RANGE ANALYSIS'!K32</f>
        <v>#N/A</v>
      </c>
      <c r="C114" s="158" t="e">
        <f>'I.RANGE ANALYSIS'!K35</f>
        <v>#N/A</v>
      </c>
      <c r="D114" s="339" t="e">
        <f>IF(AND(H3&gt;=7,F6&gt;=6),"Terbuka, sangat suka bergaul dan mempengaruhi orang lain.", "-----")</f>
        <v>#N/A</v>
      </c>
      <c r="E114" s="340"/>
      <c r="F114" s="340"/>
      <c r="G114" s="340"/>
      <c r="H114" s="340"/>
      <c r="I114" s="340"/>
      <c r="J114" s="340"/>
      <c r="K114" s="340"/>
      <c r="L114" s="341"/>
    </row>
    <row r="115" spans="1:12" ht="28.2" customHeight="1">
      <c r="A115" s="159"/>
      <c r="B115" s="160"/>
      <c r="C115" s="160"/>
      <c r="D115" s="342" t="e">
        <f>IF(AND(S3&gt;=7,F6&lt;=1),"Tipe orang yang ramah dan tulus, anggota kelompok yang menyenangkan.", "-----")</f>
        <v>#N/A</v>
      </c>
      <c r="E115" s="343"/>
      <c r="F115" s="343"/>
      <c r="G115" s="343"/>
      <c r="H115" s="343"/>
      <c r="I115" s="343"/>
      <c r="J115" s="343"/>
      <c r="K115" s="343"/>
      <c r="L115" s="344"/>
    </row>
    <row r="116" spans="1:12" ht="28.2" customHeight="1">
      <c r="A116" s="159"/>
      <c r="B116" s="160"/>
      <c r="C116" s="160"/>
      <c r="D116" s="342" t="e">
        <f>IF(AND(H3&lt;=1,X6&lt;=1),"Tertutup, merasa lebih asyik bekerja daripada bergaul.", "-----")</f>
        <v>#N/A</v>
      </c>
      <c r="E116" s="343"/>
      <c r="F116" s="343"/>
      <c r="G116" s="343"/>
      <c r="H116" s="343"/>
      <c r="I116" s="343"/>
      <c r="J116" s="343"/>
      <c r="K116" s="343"/>
      <c r="L116" s="344"/>
    </row>
    <row r="117" spans="1:12" ht="28.2" customHeight="1" thickBot="1">
      <c r="A117" s="161"/>
      <c r="B117" s="162"/>
      <c r="C117" s="162"/>
      <c r="D117" s="345" t="e">
        <f>IF(AND(H3&lt;=1,F6&gt;=6),"XXXXX", "-----")</f>
        <v>#N/A</v>
      </c>
      <c r="E117" s="346"/>
      <c r="F117" s="346"/>
      <c r="G117" s="346"/>
      <c r="H117" s="346"/>
      <c r="I117" s="346"/>
      <c r="J117" s="346"/>
      <c r="K117" s="346"/>
      <c r="L117" s="347"/>
    </row>
    <row r="118" spans="1:12" ht="15" thickBot="1">
      <c r="D118" s="215"/>
      <c r="E118" s="215"/>
      <c r="F118" s="215"/>
      <c r="G118" s="215"/>
      <c r="H118" s="215"/>
      <c r="I118" s="215"/>
      <c r="J118" s="215"/>
      <c r="K118" s="215"/>
      <c r="L118" s="215"/>
    </row>
    <row r="119" spans="1:12" ht="28.2" customHeight="1">
      <c r="A119" s="157" t="s">
        <v>670</v>
      </c>
      <c r="B119" s="158" t="e">
        <f>'I.RANGE ANALYSIS'!K32</f>
        <v>#N/A</v>
      </c>
      <c r="C119" s="158" t="e">
        <f>'I.RANGE ANALYSIS'!K33</f>
        <v>#N/A</v>
      </c>
      <c r="D119" s="339" t="e">
        <f>IF(AND(H3&gt;=7,G6&gt;=7),"Berinteraksi secara kuat dan efektif dengan kelompok.", "-----")</f>
        <v>#N/A</v>
      </c>
      <c r="E119" s="340"/>
      <c r="F119" s="340"/>
      <c r="G119" s="340"/>
      <c r="H119" s="340"/>
      <c r="I119" s="340"/>
      <c r="J119" s="340"/>
      <c r="K119" s="340"/>
      <c r="L119" s="341"/>
    </row>
    <row r="120" spans="1:12" ht="28.2" customHeight="1">
      <c r="A120" s="159"/>
      <c r="B120" s="160"/>
      <c r="C120" s="160"/>
      <c r="D120" s="342" t="e">
        <f>IF(AND(H3&gt;=7,G6&lt;=2),"Suka bergaul dengan semua orang, tapi obyektif.", "-----")</f>
        <v>#N/A</v>
      </c>
      <c r="E120" s="343"/>
      <c r="F120" s="343"/>
      <c r="G120" s="343"/>
      <c r="H120" s="343"/>
      <c r="I120" s="343"/>
      <c r="J120" s="343"/>
      <c r="K120" s="343"/>
      <c r="L120" s="344"/>
    </row>
    <row r="121" spans="1:12" ht="28.2" customHeight="1">
      <c r="A121" s="159"/>
      <c r="B121" s="160"/>
      <c r="C121" s="160"/>
      <c r="D121" s="342" t="e">
        <f>IF(AND(H3&lt;=3,G6&lt;=2),"Penyendiri", "-----")</f>
        <v>#N/A</v>
      </c>
      <c r="E121" s="343"/>
      <c r="F121" s="343"/>
      <c r="G121" s="343"/>
      <c r="H121" s="343"/>
      <c r="I121" s="343"/>
      <c r="J121" s="343"/>
      <c r="K121" s="343"/>
      <c r="L121" s="344"/>
    </row>
    <row r="122" spans="1:12" ht="28.2" customHeight="1" thickBot="1">
      <c r="A122" s="161"/>
      <c r="B122" s="162"/>
      <c r="C122" s="162"/>
      <c r="D122" s="345" t="e">
        <f>IF(AND(H3&lt;=3,G6&gt;=7),"Anggota kelompok yang antusias tapi pendiam, dipengaruhi oleh kelompok.", "-----")</f>
        <v>#N/A</v>
      </c>
      <c r="E122" s="346"/>
      <c r="F122" s="346"/>
      <c r="G122" s="346"/>
      <c r="H122" s="346"/>
      <c r="I122" s="346"/>
      <c r="J122" s="346"/>
      <c r="K122" s="346"/>
      <c r="L122" s="347"/>
    </row>
    <row r="123" spans="1:12" ht="15" thickBot="1">
      <c r="D123" s="215"/>
      <c r="E123" s="215"/>
      <c r="F123" s="215"/>
      <c r="G123" s="215"/>
      <c r="H123" s="215"/>
      <c r="I123" s="215"/>
      <c r="J123" s="215"/>
      <c r="K123" s="215"/>
      <c r="L123" s="215"/>
    </row>
    <row r="124" spans="1:12" ht="28.2" customHeight="1">
      <c r="A124" s="157" t="s">
        <v>671</v>
      </c>
      <c r="B124" s="158" t="e">
        <f>'I.RANGE ANALYSIS'!K33</f>
        <v>#N/A</v>
      </c>
      <c r="C124" s="158" t="e">
        <f>'I.RANGE ANALYSIS'!K34</f>
        <v>#N/A</v>
      </c>
      <c r="D124" s="339" t="e">
        <f>IF(AND(G6&gt;=7,H6&gt;=6),"Orang yang hangat dan menyenangkan.", "-----")</f>
        <v>#N/A</v>
      </c>
      <c r="E124" s="340"/>
      <c r="F124" s="340"/>
      <c r="G124" s="340"/>
      <c r="H124" s="340"/>
      <c r="I124" s="340"/>
      <c r="J124" s="340"/>
      <c r="K124" s="340"/>
      <c r="L124" s="341"/>
    </row>
    <row r="125" spans="1:12" ht="28.2" customHeight="1">
      <c r="A125" s="159"/>
      <c r="B125" s="160"/>
      <c r="C125" s="160"/>
      <c r="D125" s="342" t="e">
        <f>IF(AND(G6&gt;=7,H6&lt;=1),"Menjalin hubungan yang lugas dengan kelompok.", "-----")</f>
        <v>#N/A</v>
      </c>
      <c r="E125" s="343"/>
      <c r="F125" s="343"/>
      <c r="G125" s="343"/>
      <c r="H125" s="343"/>
      <c r="I125" s="343"/>
      <c r="J125" s="343"/>
      <c r="K125" s="343"/>
      <c r="L125" s="344"/>
    </row>
    <row r="126" spans="1:12" ht="28.2" customHeight="1">
      <c r="A126" s="159"/>
      <c r="B126" s="160"/>
      <c r="C126" s="160"/>
      <c r="D126" s="342" t="e">
        <f>IF(AND(G6&lt;=1,H6&lt;=1),"Tidak tergantung pada kelompok sosial; pada dasarnya tidak tertarik untuk berada bersama orang lain. ", "-----")</f>
        <v>#N/A</v>
      </c>
      <c r="E126" s="343"/>
      <c r="F126" s="343"/>
      <c r="G126" s="343"/>
      <c r="H126" s="343"/>
      <c r="I126" s="343"/>
      <c r="J126" s="343"/>
      <c r="K126" s="343"/>
      <c r="L126" s="344"/>
    </row>
    <row r="127" spans="1:12" ht="28.2" customHeight="1" thickBot="1">
      <c r="A127" s="161"/>
      <c r="B127" s="162"/>
      <c r="C127" s="162"/>
      <c r="D127" s="345" t="e">
        <f>IF(AND(G6&lt;=1,H6&gt;=7),"Menjalin hubungan dengan individu bukan kelompok; bila berada dalam kelompok, akan mengikat diri pada individu tertentu.", "-----")</f>
        <v>#N/A</v>
      </c>
      <c r="E127" s="346"/>
      <c r="F127" s="346"/>
      <c r="G127" s="346"/>
      <c r="H127" s="346"/>
      <c r="I127" s="346"/>
      <c r="J127" s="346"/>
      <c r="K127" s="346"/>
      <c r="L127" s="347"/>
    </row>
    <row r="128" spans="1:12" ht="15" thickBot="1">
      <c r="D128" s="215"/>
      <c r="E128" s="215"/>
      <c r="F128" s="215"/>
      <c r="G128" s="215"/>
      <c r="H128" s="215"/>
      <c r="I128" s="215"/>
      <c r="J128" s="215"/>
      <c r="K128" s="215"/>
      <c r="L128" s="215"/>
    </row>
    <row r="129" spans="1:12" ht="28.2" customHeight="1">
      <c r="A129" s="157" t="s">
        <v>672</v>
      </c>
      <c r="B129" s="158" t="e">
        <f>'I.RANGE ANALYSIS'!K32</f>
        <v>#N/A</v>
      </c>
      <c r="C129" s="158" t="e">
        <f>'I.RANGE ANALYSIS'!K34</f>
        <v>#N/A</v>
      </c>
      <c r="D129" s="339" t="e">
        <f>IF(AND(H3&gt;=7,H6&gt;=7),"Terbuka, hangat, tulus, peka, sangat menyukai interaksi sosial, dapat menjalin komunikasi yang kuat.", "-----")</f>
        <v>#N/A</v>
      </c>
      <c r="E129" s="340"/>
      <c r="F129" s="340"/>
      <c r="G129" s="340"/>
      <c r="H129" s="340"/>
      <c r="I129" s="340"/>
      <c r="J129" s="340"/>
      <c r="K129" s="340"/>
      <c r="L129" s="341"/>
    </row>
    <row r="130" spans="1:12" ht="28.2" customHeight="1">
      <c r="A130" s="159"/>
      <c r="B130" s="160"/>
      <c r="C130" s="160"/>
      <c r="D130" s="342" t="e">
        <f>IF(AND(H3&gt;=7,H6&lt;=1),"Manipulator; peramah tapi mungkin tidak tulus.", "-----")</f>
        <v>#N/A</v>
      </c>
      <c r="E130" s="343"/>
      <c r="F130" s="343"/>
      <c r="G130" s="343"/>
      <c r="H130" s="343"/>
      <c r="I130" s="343"/>
      <c r="J130" s="343"/>
      <c r="K130" s="343"/>
      <c r="L130" s="344"/>
    </row>
    <row r="131" spans="1:12" ht="28.2" customHeight="1">
      <c r="A131" s="159"/>
      <c r="B131" s="160"/>
      <c r="C131" s="160"/>
      <c r="D131" s="342" t="e">
        <f>IF(AND(H3&lt;=2,H6&lt;=1),"Tertutup dan dingin", "-----")</f>
        <v>#N/A</v>
      </c>
      <c r="E131" s="343"/>
      <c r="F131" s="343"/>
      <c r="G131" s="343"/>
      <c r="H131" s="343"/>
      <c r="I131" s="343"/>
      <c r="J131" s="343"/>
      <c r="K131" s="343"/>
      <c r="L131" s="344"/>
    </row>
    <row r="132" spans="1:12" ht="28.2" customHeight="1" thickBot="1">
      <c r="A132" s="161"/>
      <c r="B132" s="162"/>
      <c r="C132" s="162"/>
      <c r="D132" s="345" t="e">
        <f>IF(AND(H3&lt;=2,H6&gt;=7),"Tertutup tapi hangat dan peka; dapat dimanipulasi; sulit menjalin hubungan sosial.", "-----")</f>
        <v>#N/A</v>
      </c>
      <c r="E132" s="346"/>
      <c r="F132" s="346"/>
      <c r="G132" s="346"/>
      <c r="H132" s="346"/>
      <c r="I132" s="346"/>
      <c r="J132" s="346"/>
      <c r="K132" s="346"/>
      <c r="L132" s="347"/>
    </row>
    <row r="133" spans="1:12" ht="15" thickBot="1">
      <c r="D133" s="215"/>
      <c r="E133" s="215"/>
      <c r="F133" s="215"/>
      <c r="G133" s="215"/>
      <c r="H133" s="215"/>
      <c r="I133" s="215"/>
      <c r="J133" s="215"/>
      <c r="K133" s="215"/>
      <c r="L133" s="215"/>
    </row>
    <row r="134" spans="1:12" ht="28.2" customHeight="1">
      <c r="A134" s="157" t="s">
        <v>673</v>
      </c>
      <c r="B134" s="158" t="e">
        <f>'I.RANGE ANALYSIS'!K33</f>
        <v>#N/A</v>
      </c>
      <c r="C134" s="158" t="e">
        <f>'I.RANGE ANALYSIS'!K14</f>
        <v>#N/A</v>
      </c>
      <c r="D134" s="339" t="e">
        <f>IF(AND(G6&gt;=8,C6&gt;=8),"Anggota kelompok yang penyabar.", "-----")</f>
        <v>#N/A</v>
      </c>
      <c r="E134" s="340"/>
      <c r="F134" s="340"/>
      <c r="G134" s="340"/>
      <c r="H134" s="340"/>
      <c r="I134" s="340"/>
      <c r="J134" s="340"/>
      <c r="K134" s="340"/>
      <c r="L134" s="341"/>
    </row>
    <row r="135" spans="1:12" ht="28.2" customHeight="1">
      <c r="A135" s="159"/>
      <c r="B135" s="160"/>
      <c r="C135" s="160"/>
      <c r="D135" s="342" t="e">
        <f>IF(AND(G6&gt;=8,C6&lt;=1),"Suka berteman dan dapat bergaul dengan banyak orang di dalam kelompok.", "-----")</f>
        <v>#N/A</v>
      </c>
      <c r="E135" s="343"/>
      <c r="F135" s="343"/>
      <c r="G135" s="343"/>
      <c r="H135" s="343"/>
      <c r="I135" s="343"/>
      <c r="J135" s="343"/>
      <c r="K135" s="343"/>
      <c r="L135" s="344"/>
    </row>
    <row r="136" spans="1:12" ht="28.2" customHeight="1">
      <c r="A136" s="159"/>
      <c r="B136" s="160"/>
      <c r="C136" s="160"/>
      <c r="D136" s="342" t="e">
        <f>IF(AND(G6&lt;=1,C6&lt;=3),"Memiliki komitmen yang rendah, baik pada kelompok maupun pekerjaan.", "-----")</f>
        <v>#N/A</v>
      </c>
      <c r="E136" s="343"/>
      <c r="F136" s="343"/>
      <c r="G136" s="343"/>
      <c r="H136" s="343"/>
      <c r="I136" s="343"/>
      <c r="J136" s="343"/>
      <c r="K136" s="343"/>
      <c r="L136" s="344"/>
    </row>
    <row r="137" spans="1:12" ht="28.2" customHeight="1" thickBot="1">
      <c r="A137" s="161"/>
      <c r="B137" s="162"/>
      <c r="C137" s="162"/>
      <c r="D137" s="345" t="e">
        <f>IF(AND(G6&lt;=1,C6&gt;=8),"Lebih berorientasi pada pekerjaan daripada kelompok; akan berpegang pada pendiriannya, sekalipun bertentangan dengan gagasan kelompok.", "-----")</f>
        <v>#N/A</v>
      </c>
      <c r="E137" s="346"/>
      <c r="F137" s="346"/>
      <c r="G137" s="346"/>
      <c r="H137" s="346"/>
      <c r="I137" s="346"/>
      <c r="J137" s="346"/>
      <c r="K137" s="346"/>
      <c r="L137" s="347"/>
    </row>
    <row r="138" spans="1:12" ht="15" thickBot="1">
      <c r="D138" s="215"/>
      <c r="E138" s="215"/>
      <c r="F138" s="215"/>
      <c r="G138" s="215"/>
      <c r="H138" s="215"/>
      <c r="I138" s="215"/>
      <c r="J138" s="215"/>
      <c r="K138" s="215"/>
      <c r="L138" s="215"/>
    </row>
    <row r="139" spans="1:12" ht="28.2" customHeight="1">
      <c r="A139" s="157" t="s">
        <v>674</v>
      </c>
      <c r="B139" s="158" t="e">
        <f>'I.RANGE ANALYSIS'!K38</f>
        <v>#N/A</v>
      </c>
      <c r="C139" s="158" t="e">
        <f>'I.RANGE ANALYSIS'!K40</f>
        <v>#N/A</v>
      </c>
      <c r="D139" s="339" t="e">
        <f>IF(AND(L3&gt;=5,I6&gt;=8),"Tidak sabaran tapi disembunyikan.", "-----")</f>
        <v>#N/A</v>
      </c>
      <c r="E139" s="340"/>
      <c r="F139" s="340"/>
      <c r="G139" s="340"/>
      <c r="H139" s="340"/>
      <c r="I139" s="340"/>
      <c r="J139" s="340"/>
      <c r="K139" s="340"/>
      <c r="L139" s="341"/>
    </row>
    <row r="140" spans="1:12" ht="28.2" customHeight="1">
      <c r="A140" s="159"/>
      <c r="B140" s="160"/>
      <c r="C140" s="160"/>
      <c r="D140" s="342" t="e">
        <f>IF(AND(L3&gt;=5,I6&lt;=3),"Tenang, konsisten, dapat dipercaya.", "-----")</f>
        <v>#N/A</v>
      </c>
      <c r="E140" s="343"/>
      <c r="F140" s="343"/>
      <c r="G140" s="343"/>
      <c r="H140" s="343"/>
      <c r="I140" s="343"/>
      <c r="J140" s="343"/>
      <c r="K140" s="343"/>
      <c r="L140" s="344"/>
    </row>
    <row r="141" spans="1:12" ht="28.2" customHeight="1">
      <c r="A141" s="159"/>
      <c r="B141" s="160"/>
      <c r="C141" s="160"/>
      <c r="D141" s="342" t="e">
        <f>IF(AND(L3&lt;=1,I6&lt;=3),"Nyata menolak perubahan", "-----")</f>
        <v>#N/A</v>
      </c>
      <c r="E141" s="343"/>
      <c r="F141" s="343"/>
      <c r="G141" s="343"/>
      <c r="H141" s="343"/>
      <c r="I141" s="343"/>
      <c r="J141" s="343"/>
      <c r="K141" s="343"/>
      <c r="L141" s="344"/>
    </row>
    <row r="142" spans="1:12" ht="28.2" customHeight="1" thickBot="1">
      <c r="A142" s="161"/>
      <c r="B142" s="162"/>
      <c r="C142" s="162"/>
      <c r="D142" s="345" t="e">
        <f>IF(AND(L3&lt;=1,I6&gt;=8),"Tidak sabaran, mudah bosan, uring-uringan.", "-----")</f>
        <v>#N/A</v>
      </c>
      <c r="E142" s="346"/>
      <c r="F142" s="346"/>
      <c r="G142" s="346"/>
      <c r="H142" s="346"/>
      <c r="I142" s="346"/>
      <c r="J142" s="346"/>
      <c r="K142" s="346"/>
      <c r="L142" s="347"/>
    </row>
    <row r="143" spans="1:12" ht="15" thickBot="1">
      <c r="D143" s="215"/>
      <c r="E143" s="215"/>
      <c r="F143" s="215"/>
      <c r="G143" s="215"/>
      <c r="H143" s="215"/>
      <c r="I143" s="215"/>
      <c r="J143" s="215"/>
      <c r="K143" s="215"/>
      <c r="L143" s="215"/>
    </row>
    <row r="144" spans="1:12" ht="28.2" customHeight="1">
      <c r="A144" s="157" t="s">
        <v>675</v>
      </c>
      <c r="B144" s="158" t="e">
        <f>'I.RANGE ANALYSIS'!K38</f>
        <v>#N/A</v>
      </c>
      <c r="C144" s="158" t="e">
        <f>'I.RANGE ANALYSIS'!K39</f>
        <v>#N/A</v>
      </c>
      <c r="D144" s="339" t="e">
        <f>IF(AND(L3&gt;=5,J6&gt;=8),"Mudah tersinggung", "-----")</f>
        <v>#N/A</v>
      </c>
      <c r="E144" s="340"/>
      <c r="F144" s="340"/>
      <c r="G144" s="340"/>
      <c r="H144" s="340"/>
      <c r="I144" s="340"/>
      <c r="J144" s="340"/>
      <c r="K144" s="340"/>
      <c r="L144" s="341"/>
    </row>
    <row r="145" spans="1:12" ht="28.2" customHeight="1">
      <c r="A145" s="159"/>
      <c r="B145" s="160"/>
      <c r="C145" s="160"/>
      <c r="D145" s="342" t="e">
        <f>IF(AND(L3&gt;=5,J6&lt;=3),"Menjauhkan diri, tak acuh.", "-----")</f>
        <v>#N/A</v>
      </c>
      <c r="E145" s="343"/>
      <c r="F145" s="343"/>
      <c r="G145" s="343"/>
      <c r="H145" s="343"/>
      <c r="I145" s="343"/>
      <c r="J145" s="343"/>
      <c r="K145" s="343"/>
      <c r="L145" s="344"/>
    </row>
    <row r="146" spans="1:12" ht="28.2" customHeight="1">
      <c r="A146" s="159"/>
      <c r="B146" s="160"/>
      <c r="C146" s="160"/>
      <c r="D146" s="342" t="e">
        <f>IF(AND(L3&lt;=1,J6&lt;=3),"Uring-uringan tanpa sebab yang jelas; menumpuk di dalam kemudian menumpahkan, berkata tanpa berpikir", "-----")</f>
        <v>#N/A</v>
      </c>
      <c r="E146" s="343"/>
      <c r="F146" s="343"/>
      <c r="G146" s="343"/>
      <c r="H146" s="343"/>
      <c r="I146" s="343"/>
      <c r="J146" s="343"/>
      <c r="K146" s="343"/>
      <c r="L146" s="344"/>
    </row>
    <row r="147" spans="1:12" ht="28.2" customHeight="1" thickBot="1">
      <c r="A147" s="161"/>
      <c r="B147" s="162"/>
      <c r="C147" s="162"/>
      <c r="D147" s="345" t="e">
        <f>IF(AND(L3&lt;=1,J6&gt;=8),"Agresif dan emosional", "-----")</f>
        <v>#N/A</v>
      </c>
      <c r="E147" s="346"/>
      <c r="F147" s="346"/>
      <c r="G147" s="346"/>
      <c r="H147" s="346"/>
      <c r="I147" s="346"/>
      <c r="J147" s="346"/>
      <c r="K147" s="346"/>
      <c r="L147" s="347"/>
    </row>
    <row r="148" spans="1:12" ht="15" thickBot="1">
      <c r="D148" s="215"/>
      <c r="E148" s="215"/>
      <c r="F148" s="215"/>
      <c r="G148" s="215"/>
      <c r="H148" s="215"/>
      <c r="I148" s="215"/>
      <c r="J148" s="215"/>
      <c r="K148" s="215"/>
      <c r="L148" s="215"/>
    </row>
    <row r="149" spans="1:12" ht="28.95" customHeight="1">
      <c r="A149" s="157" t="s">
        <v>676</v>
      </c>
      <c r="B149" s="158" t="e">
        <f>'I.RANGE ANALYSIS'!K19</f>
        <v>#N/A</v>
      </c>
      <c r="C149" s="158" t="e">
        <f>'I.RANGE ANALYSIS'!K38</f>
        <v>#N/A</v>
      </c>
      <c r="D149" s="339" t="e">
        <f>IF(AND(F3&gt;=7,L3&gt;=7),"Konsisten, bersungguh –sungguh, hati-hati.", "-----")</f>
        <v>#N/A</v>
      </c>
      <c r="E149" s="340"/>
      <c r="F149" s="340"/>
      <c r="G149" s="340"/>
      <c r="H149" s="340"/>
      <c r="I149" s="340"/>
      <c r="J149" s="340"/>
      <c r="K149" s="340"/>
      <c r="L149" s="341"/>
    </row>
    <row r="150" spans="1:12" ht="28.95" customHeight="1">
      <c r="A150" s="159"/>
      <c r="B150" s="160"/>
      <c r="C150" s="160"/>
      <c r="D150" s="342" t="e">
        <f>IF(AND(F3&gt;=7,L3=0),"Cepat mengekspresikan emosi.", "-----")</f>
        <v>#N/A</v>
      </c>
      <c r="E150" s="343"/>
      <c r="F150" s="343"/>
      <c r="G150" s="343"/>
      <c r="H150" s="343"/>
      <c r="I150" s="343"/>
      <c r="J150" s="343"/>
      <c r="K150" s="343"/>
      <c r="L150" s="344"/>
    </row>
    <row r="151" spans="1:12" ht="28.95" customHeight="1">
      <c r="A151" s="159"/>
      <c r="B151" s="160"/>
      <c r="C151" s="160"/>
      <c r="D151" s="342" t="e">
        <f>IF(AND(F3&lt;=1,L3=0),"Uring-uringan", "-----")</f>
        <v>#N/A</v>
      </c>
      <c r="E151" s="343"/>
      <c r="F151" s="343"/>
      <c r="G151" s="343"/>
      <c r="H151" s="343"/>
      <c r="I151" s="343"/>
      <c r="J151" s="343"/>
      <c r="K151" s="343"/>
      <c r="L151" s="344"/>
    </row>
    <row r="152" spans="1:12" ht="28.95" customHeight="1" thickBot="1">
      <c r="A152" s="161"/>
      <c r="B152" s="162"/>
      <c r="C152" s="162"/>
      <c r="D152" s="345" t="e">
        <f>IF(AND(F3&lt;=1,L3&gt;=7),"Tenang, kalem", "-----")</f>
        <v>#N/A</v>
      </c>
      <c r="E152" s="346"/>
      <c r="F152" s="346"/>
      <c r="G152" s="346"/>
      <c r="H152" s="346"/>
      <c r="I152" s="346"/>
      <c r="J152" s="346"/>
      <c r="K152" s="346"/>
      <c r="L152" s="347"/>
    </row>
  </sheetData>
  <mergeCells count="117">
    <mergeCell ref="D151:L151"/>
    <mergeCell ref="D152:L152"/>
    <mergeCell ref="D145:L145"/>
    <mergeCell ref="D146:L146"/>
    <mergeCell ref="D147:L147"/>
    <mergeCell ref="D149:L149"/>
    <mergeCell ref="D150:L150"/>
    <mergeCell ref="D139:L139"/>
    <mergeCell ref="D140:L140"/>
    <mergeCell ref="D141:L141"/>
    <mergeCell ref="D142:L142"/>
    <mergeCell ref="D144:L144"/>
    <mergeCell ref="D132:L132"/>
    <mergeCell ref="D134:L134"/>
    <mergeCell ref="D135:L135"/>
    <mergeCell ref="D136:L136"/>
    <mergeCell ref="D137:L137"/>
    <mergeCell ref="D126:L126"/>
    <mergeCell ref="D127:L127"/>
    <mergeCell ref="D129:L129"/>
    <mergeCell ref="D130:L130"/>
    <mergeCell ref="D131:L131"/>
    <mergeCell ref="D120:L120"/>
    <mergeCell ref="D121:L121"/>
    <mergeCell ref="D122:L122"/>
    <mergeCell ref="D124:L124"/>
    <mergeCell ref="D125:L125"/>
    <mergeCell ref="D114:L114"/>
    <mergeCell ref="D115:L115"/>
    <mergeCell ref="D116:L116"/>
    <mergeCell ref="D117:L117"/>
    <mergeCell ref="D119:L119"/>
    <mergeCell ref="D107:L107"/>
    <mergeCell ref="D109:L109"/>
    <mergeCell ref="D110:L110"/>
    <mergeCell ref="D111:L111"/>
    <mergeCell ref="D112:L112"/>
    <mergeCell ref="D101:L101"/>
    <mergeCell ref="D102:L102"/>
    <mergeCell ref="D104:L104"/>
    <mergeCell ref="D105:L105"/>
    <mergeCell ref="D106:L106"/>
    <mergeCell ref="D95:L95"/>
    <mergeCell ref="D96:L96"/>
    <mergeCell ref="D97:L97"/>
    <mergeCell ref="D99:L99"/>
    <mergeCell ref="D100:L100"/>
    <mergeCell ref="D89:L89"/>
    <mergeCell ref="D90:L90"/>
    <mergeCell ref="D91:L91"/>
    <mergeCell ref="D92:L92"/>
    <mergeCell ref="D94:L94"/>
    <mergeCell ref="D82:L82"/>
    <mergeCell ref="D84:L84"/>
    <mergeCell ref="D85:L85"/>
    <mergeCell ref="D86:L86"/>
    <mergeCell ref="D87:L87"/>
    <mergeCell ref="D76:L76"/>
    <mergeCell ref="D77:L77"/>
    <mergeCell ref="D79:L79"/>
    <mergeCell ref="D80:L80"/>
    <mergeCell ref="D81:L81"/>
    <mergeCell ref="D70:L70"/>
    <mergeCell ref="D71:L71"/>
    <mergeCell ref="D72:L72"/>
    <mergeCell ref="D74:L74"/>
    <mergeCell ref="D75:L75"/>
    <mergeCell ref="D64:L64"/>
    <mergeCell ref="D65:L65"/>
    <mergeCell ref="D66:L66"/>
    <mergeCell ref="D67:L67"/>
    <mergeCell ref="D69:L69"/>
    <mergeCell ref="D59:L59"/>
    <mergeCell ref="D60:L60"/>
    <mergeCell ref="D61:L61"/>
    <mergeCell ref="D62:L62"/>
    <mergeCell ref="D51:L51"/>
    <mergeCell ref="D52:L52"/>
    <mergeCell ref="D54:L54"/>
    <mergeCell ref="D55:L55"/>
    <mergeCell ref="D56:L56"/>
    <mergeCell ref="D47:L47"/>
    <mergeCell ref="D49:L49"/>
    <mergeCell ref="D50:L50"/>
    <mergeCell ref="D39:L39"/>
    <mergeCell ref="D40:L40"/>
    <mergeCell ref="D41:L41"/>
    <mergeCell ref="D42:L42"/>
    <mergeCell ref="D44:L44"/>
    <mergeCell ref="D57:L57"/>
    <mergeCell ref="D36:L36"/>
    <mergeCell ref="D37:L37"/>
    <mergeCell ref="D26:L26"/>
    <mergeCell ref="D27:L27"/>
    <mergeCell ref="D29:L29"/>
    <mergeCell ref="D30:L30"/>
    <mergeCell ref="D31:L31"/>
    <mergeCell ref="D45:L45"/>
    <mergeCell ref="D46:L46"/>
    <mergeCell ref="D25:L25"/>
    <mergeCell ref="D14:L14"/>
    <mergeCell ref="D15:L15"/>
    <mergeCell ref="D16:L16"/>
    <mergeCell ref="D17:L17"/>
    <mergeCell ref="D19:L19"/>
    <mergeCell ref="D32:L32"/>
    <mergeCell ref="D34:L34"/>
    <mergeCell ref="D35:L35"/>
    <mergeCell ref="D8:L8"/>
    <mergeCell ref="D9:L9"/>
    <mergeCell ref="D10:L10"/>
    <mergeCell ref="D11:L11"/>
    <mergeCell ref="D12:L12"/>
    <mergeCell ref="D20:L20"/>
    <mergeCell ref="D21:L21"/>
    <mergeCell ref="D22:L22"/>
    <mergeCell ref="D24:L24"/>
  </mergeCells>
  <pageMargins left="0.7" right="0.7" top="0.75" bottom="0.75" header="0.3" footer="0.3"/>
  <pageSetup scale="53"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2"/>
  <sheetViews>
    <sheetView view="pageBreakPreview" zoomScaleSheetLayoutView="100" workbookViewId="0">
      <selection activeCell="D107" sqref="D107"/>
    </sheetView>
  </sheetViews>
  <sheetFormatPr defaultRowHeight="14.4"/>
  <sheetData>
    <row r="2" spans="1:12">
      <c r="B2" s="155"/>
      <c r="C2" s="156" t="s">
        <v>3</v>
      </c>
      <c r="D2" s="156" t="s">
        <v>25</v>
      </c>
      <c r="E2" s="156" t="s">
        <v>35</v>
      </c>
      <c r="F2" s="156" t="s">
        <v>16</v>
      </c>
      <c r="G2" s="156" t="s">
        <v>17</v>
      </c>
      <c r="H2" s="156" t="s">
        <v>39</v>
      </c>
      <c r="I2" s="156" t="s">
        <v>14</v>
      </c>
      <c r="J2" s="156" t="s">
        <v>5</v>
      </c>
      <c r="K2" s="156" t="s">
        <v>4</v>
      </c>
      <c r="L2" s="156" t="s">
        <v>48</v>
      </c>
    </row>
    <row r="3" spans="1:12">
      <c r="C3" t="e">
        <f>HITUNG!$H$26</f>
        <v>#N/A</v>
      </c>
      <c r="D3" t="e">
        <f>HITUNG!$I$26</f>
        <v>#N/A</v>
      </c>
      <c r="E3" t="e">
        <f>HITUNG!$J$26</f>
        <v>#N/A</v>
      </c>
      <c r="F3" t="e">
        <f>HITUNG!$K$26</f>
        <v>#N/A</v>
      </c>
      <c r="G3" t="e">
        <f>HITUNG!$L$26</f>
        <v>#N/A</v>
      </c>
      <c r="H3" t="e">
        <f>HITUNG!$M$26</f>
        <v>#N/A</v>
      </c>
      <c r="I3" t="e">
        <f>HITUNG!$N$26</f>
        <v>#N/A</v>
      </c>
      <c r="J3" t="e">
        <f>HITUNG!$O$26</f>
        <v>#N/A</v>
      </c>
      <c r="K3" t="e">
        <f>HITUNG!$P$26</f>
        <v>#N/A</v>
      </c>
      <c r="L3" t="e">
        <f>HITUNG!$Q$26</f>
        <v>#N/A</v>
      </c>
    </row>
    <row r="5" spans="1:12">
      <c r="B5" s="155"/>
      <c r="C5" s="156" t="s">
        <v>2</v>
      </c>
      <c r="D5" s="156" t="s">
        <v>1</v>
      </c>
      <c r="E5" s="156" t="s">
        <v>30</v>
      </c>
      <c r="F5" s="156" t="s">
        <v>45</v>
      </c>
      <c r="G5" s="156" t="s">
        <v>41</v>
      </c>
      <c r="H5" s="156" t="s">
        <v>43</v>
      </c>
      <c r="I5" s="156" t="s">
        <v>55</v>
      </c>
      <c r="J5" s="156" t="s">
        <v>51</v>
      </c>
      <c r="K5" s="156" t="s">
        <v>22</v>
      </c>
      <c r="L5" s="156" t="s">
        <v>19</v>
      </c>
    </row>
    <row r="6" spans="1:12">
      <c r="C6" t="e">
        <f>HITUNG!$H$39</f>
        <v>#N/A</v>
      </c>
      <c r="D6" t="e">
        <f>HITUNG!$I$39</f>
        <v>#N/A</v>
      </c>
      <c r="E6" t="e">
        <f>HITUNG!$J$39</f>
        <v>#N/A</v>
      </c>
      <c r="F6" t="e">
        <f>HITUNG!$K$39</f>
        <v>#N/A</v>
      </c>
      <c r="G6" t="e">
        <f>HITUNG!$L$39</f>
        <v>#N/A</v>
      </c>
      <c r="H6" t="e">
        <f>HITUNG!$M$39</f>
        <v>#N/A</v>
      </c>
      <c r="I6" t="e">
        <f>HITUNG!$N$39</f>
        <v>#N/A</v>
      </c>
      <c r="J6" t="e">
        <f>HITUNG!$O$39</f>
        <v>#N/A</v>
      </c>
      <c r="K6" t="e">
        <f>HITUNG!$P$39</f>
        <v>#N/A</v>
      </c>
      <c r="L6" t="e">
        <f>HITUNG!$Q$39</f>
        <v>#N/A</v>
      </c>
    </row>
    <row r="7" spans="1:12" ht="15" thickBot="1"/>
    <row r="8" spans="1:12" ht="18.600000000000001" thickBot="1">
      <c r="B8" t="s">
        <v>647</v>
      </c>
      <c r="C8" t="s">
        <v>647</v>
      </c>
      <c r="D8" s="351" t="s">
        <v>698</v>
      </c>
      <c r="E8" s="352"/>
      <c r="F8" s="352"/>
      <c r="G8" s="352"/>
      <c r="H8" s="352"/>
      <c r="I8" s="352"/>
      <c r="J8" s="352"/>
      <c r="K8" s="352"/>
      <c r="L8" s="353"/>
    </row>
    <row r="9" spans="1:12" ht="64.95" customHeight="1">
      <c r="A9" s="176" t="s">
        <v>679</v>
      </c>
      <c r="B9" s="177" t="e">
        <f>'I.RANGE ANALYSIS'!K14</f>
        <v>#N/A</v>
      </c>
      <c r="C9" s="178" t="e">
        <f>'I.RANGE ANALYSIS'!K32</f>
        <v>#N/A</v>
      </c>
      <c r="D9" s="354" t="e">
        <f>IF(AND(C6&gt;=8,$H$3&gt;=6),"Mencoba ramah dengan semua orang; suka bersosialisasi dan banyak bicara.", "-----")</f>
        <v>#N/A</v>
      </c>
      <c r="E9" s="355"/>
      <c r="F9" s="355"/>
      <c r="G9" s="355"/>
      <c r="H9" s="355"/>
      <c r="I9" s="355"/>
      <c r="J9" s="355"/>
      <c r="K9" s="355"/>
      <c r="L9" s="356"/>
    </row>
    <row r="10" spans="1:12" ht="64.95" customHeight="1">
      <c r="A10" s="179"/>
      <c r="B10" s="160"/>
      <c r="C10" s="180"/>
      <c r="D10" s="357" t="e">
        <f>IF(AND(C6&gt;=8,$H$3&lt;=2),"Tidak suka bergaul, perhatian terpaku pada pekerjaan.", "-----")</f>
        <v>#N/A</v>
      </c>
      <c r="E10" s="343"/>
      <c r="F10" s="343"/>
      <c r="G10" s="343"/>
      <c r="H10" s="343"/>
      <c r="I10" s="343"/>
      <c r="J10" s="343"/>
      <c r="K10" s="343"/>
      <c r="L10" s="358"/>
    </row>
    <row r="11" spans="1:12" ht="64.95" customHeight="1">
      <c r="A11" s="179"/>
      <c r="B11" s="160"/>
      <c r="C11" s="180"/>
      <c r="D11" s="357" t="e">
        <f>IF(AND(C6&lt;=2,$H$3&lt;=2),"Cenderung sebagai tipe manager.", "-----")</f>
        <v>#N/A</v>
      </c>
      <c r="E11" s="343"/>
      <c r="F11" s="343"/>
      <c r="G11" s="343"/>
      <c r="H11" s="343"/>
      <c r="I11" s="343"/>
      <c r="J11" s="343"/>
      <c r="K11" s="343"/>
      <c r="L11" s="358"/>
    </row>
    <row r="12" spans="1:12" ht="64.95" customHeight="1" thickBot="1">
      <c r="A12" s="181"/>
      <c r="B12" s="182"/>
      <c r="C12" s="183"/>
      <c r="D12" s="359" t="e">
        <f>IF(AND(C6&lt;=2,$H$3&gt;=6),"Sangat suka mengobrol", "-----")</f>
        <v>#N/A</v>
      </c>
      <c r="E12" s="360"/>
      <c r="F12" s="360"/>
      <c r="G12" s="360"/>
      <c r="H12" s="360"/>
      <c r="I12" s="360"/>
      <c r="J12" s="360"/>
      <c r="K12" s="360"/>
      <c r="L12" s="361"/>
    </row>
    <row r="13" spans="1:12" ht="15" thickBot="1"/>
    <row r="14" spans="1:12" ht="64.95" customHeight="1">
      <c r="A14" s="176" t="s">
        <v>680</v>
      </c>
      <c r="B14" s="177" t="e">
        <f>'I.RANGE ANALYSIS'!K15</f>
        <v>#N/A</v>
      </c>
      <c r="C14" s="178" t="e">
        <f>'I.RANGE ANALYSIS'!K32</f>
        <v>#N/A</v>
      </c>
      <c r="D14" s="354" t="e">
        <f>IF(AND(C3&gt;=8,$H$3&gt;=6),"Sangat antusias menjalin hubungan sosial, senang bicara dan dapat mengembangkan pembicaraan.", "-----")</f>
        <v>#N/A</v>
      </c>
      <c r="E14" s="355"/>
      <c r="F14" s="355"/>
      <c r="G14" s="355"/>
      <c r="H14" s="355"/>
      <c r="I14" s="355"/>
      <c r="J14" s="355"/>
      <c r="K14" s="355"/>
      <c r="L14" s="356"/>
    </row>
    <row r="15" spans="1:12" ht="64.95" customHeight="1">
      <c r="A15" s="179"/>
      <c r="B15" s="160"/>
      <c r="C15" s="180"/>
      <c r="D15" s="357" t="e">
        <f>IF(AND(C3&gt;=8,$H$3&lt;=2),"Ingin bukti yang obyektif tentang prestasi.", "-----")</f>
        <v>#N/A</v>
      </c>
      <c r="E15" s="343"/>
      <c r="F15" s="343"/>
      <c r="G15" s="343"/>
      <c r="H15" s="343"/>
      <c r="I15" s="343"/>
      <c r="J15" s="343"/>
      <c r="K15" s="343"/>
      <c r="L15" s="358"/>
    </row>
    <row r="16" spans="1:12" ht="64.95" customHeight="1">
      <c r="A16" s="179"/>
      <c r="B16" s="160"/>
      <c r="C16" s="180"/>
      <c r="D16" s="357" t="e">
        <f>IF(AND(C3&lt;=2,$H$3&lt;=2),"XXXXX", "-----")</f>
        <v>#N/A</v>
      </c>
      <c r="E16" s="343"/>
      <c r="F16" s="343"/>
      <c r="G16" s="343"/>
      <c r="H16" s="343"/>
      <c r="I16" s="343"/>
      <c r="J16" s="343"/>
      <c r="K16" s="343"/>
      <c r="L16" s="358"/>
    </row>
    <row r="17" spans="1:12" ht="64.95" customHeight="1" thickBot="1">
      <c r="A17" s="181"/>
      <c r="B17" s="182"/>
      <c r="C17" s="183"/>
      <c r="D17" s="359" t="e">
        <f>IF(AND(C3&lt;=2,$H$3&gt;=6),"Sopan", "-----")</f>
        <v>#N/A</v>
      </c>
      <c r="E17" s="360"/>
      <c r="F17" s="360"/>
      <c r="G17" s="360"/>
      <c r="H17" s="360"/>
      <c r="I17" s="360"/>
      <c r="J17" s="360"/>
      <c r="K17" s="360"/>
      <c r="L17" s="361"/>
    </row>
    <row r="18" spans="1:12" ht="15" thickBot="1"/>
    <row r="19" spans="1:12" ht="64.95" customHeight="1">
      <c r="A19" s="176" t="s">
        <v>681</v>
      </c>
      <c r="B19" s="177" t="e">
        <f>'I.RANGE ANALYSIS'!K13</f>
        <v>#N/A</v>
      </c>
      <c r="C19" s="178" t="e">
        <f>'I.RANGE ANALYSIS'!K32</f>
        <v>#N/A</v>
      </c>
      <c r="D19" s="354" t="e">
        <f>IF(AND(D6&gt;=8,$H$3&gt;=6),"Sangat antusias dalam menjalin hubungan sosial, suka mengingat nama orang lain dan ingin mengenal keluarga orang lain.", "-----")</f>
        <v>#N/A</v>
      </c>
      <c r="E19" s="355"/>
      <c r="F19" s="355"/>
      <c r="G19" s="355"/>
      <c r="H19" s="355"/>
      <c r="I19" s="355"/>
      <c r="J19" s="355"/>
      <c r="K19" s="355"/>
      <c r="L19" s="356"/>
    </row>
    <row r="20" spans="1:12" ht="64.95" customHeight="1">
      <c r="A20" s="179"/>
      <c r="B20" s="160"/>
      <c r="C20" s="180"/>
      <c r="D20" s="357" t="e">
        <f>IF(AND(D6&gt;=8,$H$3&lt;=2),"Banyak bekerja sedikit bicara.", "-----")</f>
        <v>#N/A</v>
      </c>
      <c r="E20" s="343"/>
      <c r="F20" s="343"/>
      <c r="G20" s="343"/>
      <c r="H20" s="343"/>
      <c r="I20" s="343"/>
      <c r="J20" s="343"/>
      <c r="K20" s="343"/>
      <c r="L20" s="358"/>
    </row>
    <row r="21" spans="1:12" ht="64.95" customHeight="1">
      <c r="A21" s="179"/>
      <c r="B21" s="160"/>
      <c r="C21" s="180"/>
      <c r="D21" s="357" t="e">
        <f>IF(AND(D6&lt;=4,$H$3&lt;=2),"XXXXX", "-----")</f>
        <v>#N/A</v>
      </c>
      <c r="E21" s="343"/>
      <c r="F21" s="343"/>
      <c r="G21" s="343"/>
      <c r="H21" s="343"/>
      <c r="I21" s="343"/>
      <c r="J21" s="343"/>
      <c r="K21" s="343"/>
      <c r="L21" s="358"/>
    </row>
    <row r="22" spans="1:12" ht="64.95" customHeight="1" thickBot="1">
      <c r="A22" s="181"/>
      <c r="B22" s="182"/>
      <c r="C22" s="183"/>
      <c r="D22" s="359" t="e">
        <f>IF(AND(D6&lt;=4,$H$3&gt;=6),"Ramah dan tidak kompetitif; tidak akan bersaing untuk merebut jabatan orang lain.", "-----")</f>
        <v>#N/A</v>
      </c>
      <c r="E22" s="360"/>
      <c r="F22" s="360"/>
      <c r="G22" s="360"/>
      <c r="H22" s="360"/>
      <c r="I22" s="360"/>
      <c r="J22" s="360"/>
      <c r="K22" s="360"/>
      <c r="L22" s="361"/>
    </row>
    <row r="23" spans="1:12" ht="15" thickBot="1"/>
    <row r="24" spans="1:12" ht="64.95" customHeight="1">
      <c r="A24" s="176" t="s">
        <v>682</v>
      </c>
      <c r="B24" s="177" t="e">
        <f>'I.RANGE ANALYSIS'!K16</f>
        <v>#N/A</v>
      </c>
      <c r="C24" s="178" t="e">
        <f>'I.RANGE ANALYSIS'!K32</f>
        <v>#N/A</v>
      </c>
      <c r="D24" s="354" t="e">
        <f>IF(AND(K3&gt;=7,$H$3&gt;=6),"Orang yang senantiasa memperhatikan ketepatan dalam hubungan sosial.", "-----")</f>
        <v>#N/A</v>
      </c>
      <c r="E24" s="355"/>
      <c r="F24" s="355"/>
      <c r="G24" s="355"/>
      <c r="H24" s="355"/>
      <c r="I24" s="355"/>
      <c r="J24" s="355"/>
      <c r="K24" s="355"/>
      <c r="L24" s="356"/>
    </row>
    <row r="25" spans="1:12" ht="64.95" customHeight="1">
      <c r="A25" s="179"/>
      <c r="B25" s="160"/>
      <c r="C25" s="180"/>
      <c r="D25" s="357" t="e">
        <f>IF(AND(K3&gt;=7,$H$3&lt;=2),"ertutup dan perfeksionis.", "-----")</f>
        <v>#N/A</v>
      </c>
      <c r="E25" s="343"/>
      <c r="F25" s="343"/>
      <c r="G25" s="343"/>
      <c r="H25" s="343"/>
      <c r="I25" s="343"/>
      <c r="J25" s="343"/>
      <c r="K25" s="343"/>
      <c r="L25" s="358"/>
    </row>
    <row r="26" spans="1:12" ht="64.95" customHeight="1">
      <c r="A26" s="179"/>
      <c r="B26" s="160"/>
      <c r="C26" s="180"/>
      <c r="D26" s="357" t="e">
        <f>IF(AND(K3&lt;=2,$H$3&lt;=2),"XXXXX", "-----")</f>
        <v>#N/A</v>
      </c>
      <c r="E26" s="343"/>
      <c r="F26" s="343"/>
      <c r="G26" s="343"/>
      <c r="H26" s="343"/>
      <c r="I26" s="343"/>
      <c r="J26" s="343"/>
      <c r="K26" s="343"/>
      <c r="L26" s="358"/>
    </row>
    <row r="27" spans="1:12" ht="64.95" customHeight="1" thickBot="1">
      <c r="A27" s="181"/>
      <c r="B27" s="182"/>
      <c r="C27" s="183"/>
      <c r="D27" s="359" t="e">
        <f>IF(AND(K3&lt;=2,$H$3&gt;=6),"Terbuka, mudah menyesuaikan diri.", "-----")</f>
        <v>#N/A</v>
      </c>
      <c r="E27" s="360"/>
      <c r="F27" s="360"/>
      <c r="G27" s="360"/>
      <c r="H27" s="360"/>
      <c r="I27" s="360"/>
      <c r="J27" s="360"/>
      <c r="K27" s="360"/>
      <c r="L27" s="361"/>
    </row>
    <row r="28" spans="1:12" ht="15" thickBot="1"/>
    <row r="29" spans="1:12" ht="64.95" customHeight="1">
      <c r="A29" s="176" t="s">
        <v>683</v>
      </c>
      <c r="B29" s="177" t="e">
        <f>'I.RANGE ANALYSIS'!K17</f>
        <v>#N/A</v>
      </c>
      <c r="C29" s="178" t="e">
        <f>'I.RANGE ANALYSIS'!K32</f>
        <v>#N/A</v>
      </c>
      <c r="D29" s="354" t="e">
        <f>IF(AND(J3&gt;=7,$H$3&gt;=6),"XXXXX", "-----")</f>
        <v>#N/A</v>
      </c>
      <c r="E29" s="355"/>
      <c r="F29" s="355"/>
      <c r="G29" s="355"/>
      <c r="H29" s="355"/>
      <c r="I29" s="355"/>
      <c r="J29" s="355"/>
      <c r="K29" s="355"/>
      <c r="L29" s="356"/>
    </row>
    <row r="30" spans="1:12" ht="64.95" customHeight="1">
      <c r="A30" s="179"/>
      <c r="B30" s="160"/>
      <c r="C30" s="180"/>
      <c r="D30" s="357" t="e">
        <f>IF(AND(J3&gt;=7,$H$3&lt;=2),"Lebih tertarik pada detil daripada bersama orang lain.", "-----")</f>
        <v>#N/A</v>
      </c>
      <c r="E30" s="343"/>
      <c r="F30" s="343"/>
      <c r="G30" s="343"/>
      <c r="H30" s="343"/>
      <c r="I30" s="343"/>
      <c r="J30" s="343"/>
      <c r="K30" s="343"/>
      <c r="L30" s="358"/>
    </row>
    <row r="31" spans="1:12" ht="64.95" customHeight="1">
      <c r="A31" s="179"/>
      <c r="B31" s="160"/>
      <c r="C31" s="180"/>
      <c r="D31" s="357" t="e">
        <f>IF(AND(J3&lt;=1,$H$3&lt;=2),"Terbuka", "-----")</f>
        <v>#N/A</v>
      </c>
      <c r="E31" s="343"/>
      <c r="F31" s="343"/>
      <c r="G31" s="343"/>
      <c r="H31" s="343"/>
      <c r="I31" s="343"/>
      <c r="J31" s="343"/>
      <c r="K31" s="343"/>
      <c r="L31" s="358"/>
    </row>
    <row r="32" spans="1:12" ht="64.95" customHeight="1" thickBot="1">
      <c r="A32" s="181"/>
      <c r="B32" s="182"/>
      <c r="C32" s="183"/>
      <c r="D32" s="359" t="e">
        <f>IF(AND(J3&lt;=1,$H$3&gt;=6),"XXXXX", "-----")</f>
        <v>#N/A</v>
      </c>
      <c r="E32" s="360"/>
      <c r="F32" s="360"/>
      <c r="G32" s="360"/>
      <c r="H32" s="360"/>
      <c r="I32" s="360"/>
      <c r="J32" s="360"/>
      <c r="K32" s="360"/>
      <c r="L32" s="361"/>
    </row>
    <row r="33" spans="1:12" ht="15" thickBot="1"/>
    <row r="34" spans="1:12" ht="64.95" customHeight="1">
      <c r="A34" s="176" t="s">
        <v>684</v>
      </c>
      <c r="B34" s="177" t="e">
        <f>'I.RANGE ANALYSIS'!K18</f>
        <v>#N/A</v>
      </c>
      <c r="C34" s="178" t="e">
        <f>'I.RANGE ANALYSIS'!K32</f>
        <v>#N/A</v>
      </c>
      <c r="D34" s="354" t="e">
        <f>IF(AND(I3&gt;=8,$H$3&gt;=6),"Senang bergaul dan senang berbicara panjang, cenderung berbelit-belit.", "-----")</f>
        <v>#N/A</v>
      </c>
      <c r="E34" s="355"/>
      <c r="F34" s="355"/>
      <c r="G34" s="355"/>
      <c r="H34" s="355"/>
      <c r="I34" s="355"/>
      <c r="J34" s="355"/>
      <c r="K34" s="355"/>
      <c r="L34" s="356"/>
    </row>
    <row r="35" spans="1:12" ht="64.95" customHeight="1">
      <c r="A35" s="179"/>
      <c r="B35" s="160"/>
      <c r="C35" s="180"/>
      <c r="D35" s="357" t="e">
        <f>IF(AND(I3&gt;=8,$H$3&lt;=2),"Tidak melihat manusia dalam konteks sosial; tidak mau mendengarkan obrolan sosial.", "-----")</f>
        <v>#N/A</v>
      </c>
      <c r="E35" s="343"/>
      <c r="F35" s="343"/>
      <c r="G35" s="343"/>
      <c r="H35" s="343"/>
      <c r="I35" s="343"/>
      <c r="J35" s="343"/>
      <c r="K35" s="343"/>
      <c r="L35" s="358"/>
    </row>
    <row r="36" spans="1:12" ht="64.95" customHeight="1">
      <c r="A36" s="179"/>
      <c r="B36" s="160"/>
      <c r="C36" s="180"/>
      <c r="D36" s="357" t="e">
        <f>IF(AND(I3&lt;=3,$H$3&lt;=2),"XXXXX", "-----")</f>
        <v>#N/A</v>
      </c>
      <c r="E36" s="343"/>
      <c r="F36" s="343"/>
      <c r="G36" s="343"/>
      <c r="H36" s="343"/>
      <c r="I36" s="343"/>
      <c r="J36" s="343"/>
      <c r="K36" s="343"/>
      <c r="L36" s="358"/>
    </row>
    <row r="37" spans="1:12" ht="64.95" customHeight="1" thickBot="1">
      <c r="A37" s="181"/>
      <c r="B37" s="182"/>
      <c r="C37" s="183"/>
      <c r="D37" s="359" t="e">
        <f>IF(AND(I3&lt;=3,$H$3&gt;=6),"Melihat manusia dalam konteks sosial.", "-----")</f>
        <v>#N/A</v>
      </c>
      <c r="E37" s="360"/>
      <c r="F37" s="360"/>
      <c r="G37" s="360"/>
      <c r="H37" s="360"/>
      <c r="I37" s="360"/>
      <c r="J37" s="360"/>
      <c r="K37" s="360"/>
      <c r="L37" s="361"/>
    </row>
    <row r="38" spans="1:12" ht="15" thickBot="1"/>
    <row r="39" spans="1:12" ht="64.95" customHeight="1">
      <c r="A39" s="176" t="s">
        <v>685</v>
      </c>
      <c r="B39" s="177" t="e">
        <f>'I.RANGE ANALYSIS'!K23</f>
        <v>#N/A</v>
      </c>
      <c r="C39" s="178" t="e">
        <f>'I.RANGE ANALYSIS'!K32</f>
        <v>#N/A</v>
      </c>
      <c r="D39" s="354" t="e">
        <f>IF(AND(K6&gt;=8,$H$3&gt;=6),"Mudah bergaul, suka membantu dan mendukung orang lain/atasan.", "-----")</f>
        <v>#N/A</v>
      </c>
      <c r="E39" s="355"/>
      <c r="F39" s="355"/>
      <c r="G39" s="355"/>
      <c r="H39" s="355"/>
      <c r="I39" s="355"/>
      <c r="J39" s="355"/>
      <c r="K39" s="355"/>
      <c r="L39" s="356"/>
    </row>
    <row r="40" spans="1:12" ht="64.95" customHeight="1">
      <c r="A40" s="179"/>
      <c r="B40" s="160"/>
      <c r="C40" s="180"/>
      <c r="D40" s="357" t="e">
        <f>IF(AND(K6&gt;=8,$H$3&lt;=2),"Tipe orang yang pendiam, sangat menghormati orang lain/atasan, membutuhkan dukungan.", "-----")</f>
        <v>#N/A</v>
      </c>
      <c r="E40" s="343"/>
      <c r="F40" s="343"/>
      <c r="G40" s="343"/>
      <c r="H40" s="343"/>
      <c r="I40" s="343"/>
      <c r="J40" s="343"/>
      <c r="K40" s="343"/>
      <c r="L40" s="358"/>
    </row>
    <row r="41" spans="1:12" ht="64.95" customHeight="1">
      <c r="A41" s="179"/>
      <c r="B41" s="160"/>
      <c r="C41" s="180"/>
      <c r="D41" s="357" t="e">
        <f>IF(AND(K6&lt;=3,$H$3&lt;=2),"Pembangkang, ingin mandiri dari otoritas, tidak peka akan kebutuhan otoritas, tidak mudah beradaptasi dengan lingkungan sosial.", "-----")</f>
        <v>#N/A</v>
      </c>
      <c r="E41" s="343"/>
      <c r="F41" s="343"/>
      <c r="G41" s="343"/>
      <c r="H41" s="343"/>
      <c r="I41" s="343"/>
      <c r="J41" s="343"/>
      <c r="K41" s="343"/>
      <c r="L41" s="358"/>
    </row>
    <row r="42" spans="1:12" ht="64.95" customHeight="1" thickBot="1">
      <c r="A42" s="181"/>
      <c r="B42" s="182"/>
      <c r="C42" s="183"/>
      <c r="D42" s="359" t="e">
        <f>IF(AND(K6&lt;=3,$H$3&gt;=6),"Percaya diri dan mengandalkan kemampuan diri.", "-----")</f>
        <v>#N/A</v>
      </c>
      <c r="E42" s="360"/>
      <c r="F42" s="360"/>
      <c r="G42" s="360"/>
      <c r="H42" s="360"/>
      <c r="I42" s="360"/>
      <c r="J42" s="360"/>
      <c r="K42" s="360"/>
      <c r="L42" s="361"/>
    </row>
    <row r="43" spans="1:12" ht="15" thickBot="1"/>
    <row r="44" spans="1:12" ht="64.95" customHeight="1">
      <c r="A44" s="176" t="s">
        <v>686</v>
      </c>
      <c r="B44" s="177" t="e">
        <f>'I.RANGE ANALYSIS'!K24</f>
        <v>#N/A</v>
      </c>
      <c r="C44" s="178" t="e">
        <f>'I.RANGE ANALYSIS'!K32</f>
        <v>#N/A</v>
      </c>
      <c r="D44" s="354" t="e">
        <f>IF(AND(L6&gt;=8,$H$3&gt;=6),"Merasa harus bersikap sosial, harus mentaati norma-norma sosial, harus melakukan sesuatu bagi lingkungan sosial.", "-----")</f>
        <v>#N/A</v>
      </c>
      <c r="E44" s="355"/>
      <c r="F44" s="355"/>
      <c r="G44" s="355"/>
      <c r="H44" s="355"/>
      <c r="I44" s="355"/>
      <c r="J44" s="355"/>
      <c r="K44" s="355"/>
      <c r="L44" s="356"/>
    </row>
    <row r="45" spans="1:12" ht="64.95" customHeight="1">
      <c r="A45" s="179"/>
      <c r="B45" s="160"/>
      <c r="C45" s="180"/>
      <c r="D45" s="357" t="e">
        <f>IF(AND(L6&gt;=8,$H$3&lt;=2),"Mengikuti suatu peratuan secara harafiah dan tidak melihat inti/ hakikinya.", "-----")</f>
        <v>#N/A</v>
      </c>
      <c r="E45" s="343"/>
      <c r="F45" s="343"/>
      <c r="G45" s="343"/>
      <c r="H45" s="343"/>
      <c r="I45" s="343"/>
      <c r="J45" s="343"/>
      <c r="K45" s="343"/>
      <c r="L45" s="358"/>
    </row>
    <row r="46" spans="1:12" ht="64.95" customHeight="1">
      <c r="A46" s="179"/>
      <c r="B46" s="160"/>
      <c r="C46" s="180"/>
      <c r="D46" s="357" t="e">
        <f>IF(AND(L6&lt;=3,$H$3&lt;=2),"XXXXX", "-----")</f>
        <v>#N/A</v>
      </c>
      <c r="E46" s="343"/>
      <c r="F46" s="343"/>
      <c r="G46" s="343"/>
      <c r="H46" s="343"/>
      <c r="I46" s="343"/>
      <c r="J46" s="343"/>
      <c r="K46" s="343"/>
      <c r="L46" s="358"/>
    </row>
    <row r="47" spans="1:12" ht="64.95" customHeight="1" thickBot="1">
      <c r="A47" s="181"/>
      <c r="B47" s="182"/>
      <c r="C47" s="183"/>
      <c r="D47" s="359" t="e">
        <f>IF(AND(L6&lt;=3,$H$3&gt;=6),"Suka bergaul tapi tidak mau diikat/tunduk pada peraturan.", "-----")</f>
        <v>#N/A</v>
      </c>
      <c r="E47" s="360"/>
      <c r="F47" s="360"/>
      <c r="G47" s="360"/>
      <c r="H47" s="360"/>
      <c r="I47" s="360"/>
      <c r="J47" s="360"/>
      <c r="K47" s="360"/>
      <c r="L47" s="361"/>
    </row>
    <row r="48" spans="1:12" ht="15" thickBot="1"/>
    <row r="49" spans="1:12" ht="64.95" customHeight="1">
      <c r="A49" s="176" t="s">
        <v>687</v>
      </c>
      <c r="B49" s="177" t="e">
        <f>'I.RANGE ANALYSIS'!K19</f>
        <v>#N/A</v>
      </c>
      <c r="C49" s="178" t="e">
        <f>'I.RANGE ANALYSIS'!K32</f>
        <v>#N/A</v>
      </c>
      <c r="D49" s="354" t="e">
        <f>IF(AND(F3&gt;=8,$H$3&gt;=6),"Bicara dengan cepat", "-----")</f>
        <v>#N/A</v>
      </c>
      <c r="E49" s="355"/>
      <c r="F49" s="355"/>
      <c r="G49" s="355"/>
      <c r="H49" s="355"/>
      <c r="I49" s="355"/>
      <c r="J49" s="355"/>
      <c r="K49" s="355"/>
      <c r="L49" s="356"/>
    </row>
    <row r="50" spans="1:12" ht="64.95" customHeight="1">
      <c r="A50" s="179"/>
      <c r="B50" s="160"/>
      <c r="C50" s="180"/>
      <c r="D50" s="357" t="e">
        <f>IF(AND(F3&gt;=8,$H$3&lt;=2),"XXXXX", "-----")</f>
        <v>#N/A</v>
      </c>
      <c r="E50" s="343"/>
      <c r="F50" s="343"/>
      <c r="G50" s="343"/>
      <c r="H50" s="343"/>
      <c r="I50" s="343"/>
      <c r="J50" s="343"/>
      <c r="K50" s="343"/>
      <c r="L50" s="358"/>
    </row>
    <row r="51" spans="1:12" ht="64.95" customHeight="1">
      <c r="A51" s="179"/>
      <c r="B51" s="160"/>
      <c r="C51" s="180"/>
      <c r="D51" s="357" t="e">
        <f>IF(AND(F3&lt;=3,$H$3&lt;=2),"XXXXX", "-----")</f>
        <v>#N/A</v>
      </c>
      <c r="E51" s="343"/>
      <c r="F51" s="343"/>
      <c r="G51" s="343"/>
      <c r="H51" s="343"/>
      <c r="I51" s="343"/>
      <c r="J51" s="343"/>
      <c r="K51" s="343"/>
      <c r="L51" s="358"/>
    </row>
    <row r="52" spans="1:12" ht="64.95" customHeight="1" thickBot="1">
      <c r="A52" s="181"/>
      <c r="B52" s="182"/>
      <c r="C52" s="183"/>
      <c r="D52" s="359" t="e">
        <f>IF(AND(F3&lt;=3,$H$3&gt;=6),"Bicara dengan santai", "-----")</f>
        <v>#N/A</v>
      </c>
      <c r="E52" s="360"/>
      <c r="F52" s="360"/>
      <c r="G52" s="360"/>
      <c r="H52" s="360"/>
      <c r="I52" s="360"/>
      <c r="J52" s="360"/>
      <c r="K52" s="360"/>
      <c r="L52" s="361"/>
    </row>
    <row r="53" spans="1:12" ht="15" thickBot="1"/>
    <row r="54" spans="1:12" ht="64.95" customHeight="1">
      <c r="A54" s="176" t="s">
        <v>688</v>
      </c>
      <c r="B54" s="177" t="e">
        <f>'I.RANGE ANALYSIS'!K20</f>
        <v>#N/A</v>
      </c>
      <c r="C54" s="178" t="e">
        <f>'I.RANGE ANALYSIS'!K32</f>
        <v>#N/A</v>
      </c>
      <c r="D54" s="354" t="e">
        <f>IF(AND(G3&gt;=7,$H$3&gt;=6),"XXXXX", "-----")</f>
        <v>#N/A</v>
      </c>
      <c r="E54" s="355"/>
      <c r="F54" s="355"/>
      <c r="G54" s="355"/>
      <c r="H54" s="355"/>
      <c r="I54" s="355"/>
      <c r="J54" s="355"/>
      <c r="K54" s="355"/>
      <c r="L54" s="356"/>
    </row>
    <row r="55" spans="1:12" ht="64.95" customHeight="1">
      <c r="A55" s="179"/>
      <c r="B55" s="160"/>
      <c r="C55" s="180"/>
      <c r="D55" s="357" t="e">
        <f>IF(AND(G3&gt;=7,$H$3&lt;=2),"XXXXX", "-----")</f>
        <v>#N/A</v>
      </c>
      <c r="E55" s="343"/>
      <c r="F55" s="343"/>
      <c r="G55" s="343"/>
      <c r="H55" s="343"/>
      <c r="I55" s="343"/>
      <c r="J55" s="343"/>
      <c r="K55" s="343"/>
      <c r="L55" s="358"/>
    </row>
    <row r="56" spans="1:12" ht="64.95" customHeight="1">
      <c r="A56" s="179"/>
      <c r="B56" s="160"/>
      <c r="C56" s="180"/>
      <c r="D56" s="357" t="e">
        <f>IF(AND(G3&lt;=2,$H$3&lt;=2),"XXXXX", "-----")</f>
        <v>#N/A</v>
      </c>
      <c r="E56" s="343"/>
      <c r="F56" s="343"/>
      <c r="G56" s="343"/>
      <c r="H56" s="343"/>
      <c r="I56" s="343"/>
      <c r="J56" s="343"/>
      <c r="K56" s="343"/>
      <c r="L56" s="358"/>
    </row>
    <row r="57" spans="1:12" ht="64.95" customHeight="1" thickBot="1">
      <c r="A57" s="181"/>
      <c r="B57" s="182"/>
      <c r="C57" s="183"/>
      <c r="D57" s="359" t="e">
        <f>IF(AND(G3&lt;=2,$H$3&gt;=6),"XXXXX", "-----")</f>
        <v>#N/A</v>
      </c>
      <c r="E57" s="360"/>
      <c r="F57" s="360"/>
      <c r="G57" s="360"/>
      <c r="H57" s="360"/>
      <c r="I57" s="360"/>
      <c r="J57" s="360"/>
      <c r="K57" s="360"/>
      <c r="L57" s="361"/>
    </row>
    <row r="58" spans="1:12" ht="15" thickBot="1"/>
    <row r="59" spans="1:12" ht="64.95" customHeight="1">
      <c r="A59" s="176" t="s">
        <v>689</v>
      </c>
      <c r="B59" s="177" t="e">
        <f>'I.RANGE ANALYSIS'!K27</f>
        <v>#N/A</v>
      </c>
      <c r="C59" s="178" t="e">
        <f>'I.RANGE ANALYSIS'!K32</f>
        <v>#N/A</v>
      </c>
      <c r="D59" s="354" t="e">
        <f>IF(AND(D3&gt;=8,$H$3&gt;=6),"Luwes bergaul dapat menutupi arogansi dirinya untuk status kepemimpinan; Percaya diri dan hangat, jika berbicara dengan orang lain; Sikap tenang memudahkan memulai suatu hubungan sosial.", "-----")</f>
        <v>#N/A</v>
      </c>
      <c r="E59" s="355"/>
      <c r="F59" s="355"/>
      <c r="G59" s="355"/>
      <c r="H59" s="355"/>
      <c r="I59" s="355"/>
      <c r="J59" s="355"/>
      <c r="K59" s="355"/>
      <c r="L59" s="356"/>
    </row>
    <row r="60" spans="1:12" ht="64.95" customHeight="1">
      <c r="A60" s="179"/>
      <c r="B60" s="160"/>
      <c r="C60" s="180"/>
      <c r="D60" s="357" t="e">
        <f>IF(AND(D3&gt;=8,$H$3&lt;=2),"Kreatif (sebagian)", "-----")</f>
        <v>#N/A</v>
      </c>
      <c r="E60" s="343"/>
      <c r="F60" s="343"/>
      <c r="G60" s="343"/>
      <c r="H60" s="343"/>
      <c r="I60" s="343"/>
      <c r="J60" s="343"/>
      <c r="K60" s="343"/>
      <c r="L60" s="358"/>
    </row>
    <row r="61" spans="1:12" ht="64.95" customHeight="1">
      <c r="A61" s="179"/>
      <c r="B61" s="160"/>
      <c r="C61" s="180"/>
      <c r="D61" s="357" t="e">
        <f>IF(AND(D3&lt;=1,$H$3&lt;=2),"Merasa tidak layak bergaul; lebih baik bekerja dengan mesin.", "-----")</f>
        <v>#N/A</v>
      </c>
      <c r="E61" s="343"/>
      <c r="F61" s="343"/>
      <c r="G61" s="343"/>
      <c r="H61" s="343"/>
      <c r="I61" s="343"/>
      <c r="J61" s="343"/>
      <c r="K61" s="343"/>
      <c r="L61" s="358"/>
    </row>
    <row r="62" spans="1:12" ht="64.95" customHeight="1" thickBot="1">
      <c r="A62" s="181"/>
      <c r="B62" s="182"/>
      <c r="C62" s="183"/>
      <c r="D62" s="359" t="e">
        <f>IF(AND(D3&lt;=2,$H$3&gt;=6),"Sangat tergantung pada lingkungan sosial.", "-----")</f>
        <v>#N/A</v>
      </c>
      <c r="E62" s="360"/>
      <c r="F62" s="360"/>
      <c r="G62" s="360"/>
      <c r="H62" s="360"/>
      <c r="I62" s="360"/>
      <c r="J62" s="360"/>
      <c r="K62" s="360"/>
      <c r="L62" s="361"/>
    </row>
    <row r="63" spans="1:12" ht="15" thickBot="1"/>
    <row r="64" spans="1:12" ht="64.95" customHeight="1">
      <c r="A64" s="176" t="s">
        <v>690</v>
      </c>
      <c r="B64" s="177" t="e">
        <f>'I.RANGE ANALYSIS'!K28</f>
        <v>#N/A</v>
      </c>
      <c r="C64" s="178" t="e">
        <f>'I.RANGE ANALYSIS'!K32</f>
        <v>#N/A</v>
      </c>
      <c r="D64" s="354" t="e">
        <f>IF(AND(E6&gt;=8,$H$3&gt;=6),"Ramah tamah dalam menerapkan kekuasaannya; Mempunyai cara-cara yang mengesankan dalam mempengaruhi orang lain; Mengontrol dengan cara-cara yang hangat.", "-----")</f>
        <v>#N/A</v>
      </c>
      <c r="E64" s="355"/>
      <c r="F64" s="355"/>
      <c r="G64" s="355"/>
      <c r="H64" s="355"/>
      <c r="I64" s="355"/>
      <c r="J64" s="355"/>
      <c r="K64" s="355"/>
      <c r="L64" s="356"/>
    </row>
    <row r="65" spans="1:12" ht="64.95" customHeight="1">
      <c r="A65" s="179"/>
      <c r="B65" s="160"/>
      <c r="C65" s="180"/>
      <c r="D65" s="357" t="e">
        <f>IF(AND(E6&gt;=8,$H$3&lt;=1),"Terlalu langsung dan terus terang dalam berkomunikasi dengan orang lain; Bukan tipe diplomatis; lebih memaksa daripada memimpin, sehingga dapat menimbulkan kebencian; mendominasi dan posesif.", "-----")</f>
        <v>#N/A</v>
      </c>
      <c r="E65" s="343"/>
      <c r="F65" s="343"/>
      <c r="G65" s="343"/>
      <c r="H65" s="343"/>
      <c r="I65" s="343"/>
      <c r="J65" s="343"/>
      <c r="K65" s="343"/>
      <c r="L65" s="358"/>
    </row>
    <row r="66" spans="1:12" ht="64.95" customHeight="1">
      <c r="A66" s="179"/>
      <c r="B66" s="160"/>
      <c r="C66" s="180"/>
      <c r="D66" s="357" t="e">
        <f>IF(AND(E6&lt;=1,$H$3&lt;=1),"Berorientasi pada diri sendiri", "-----")</f>
        <v>#N/A</v>
      </c>
      <c r="E66" s="343"/>
      <c r="F66" s="343"/>
      <c r="G66" s="343"/>
      <c r="H66" s="343"/>
      <c r="I66" s="343"/>
      <c r="J66" s="343"/>
      <c r="K66" s="343"/>
      <c r="L66" s="358"/>
    </row>
    <row r="67" spans="1:12" ht="64.95" customHeight="1" thickBot="1">
      <c r="A67" s="181"/>
      <c r="B67" s="182"/>
      <c r="C67" s="183"/>
      <c r="D67" s="359" t="e">
        <f>IF(AND(E6&lt;=1,$H$3&gt;=7),"Bicara dengan semua orang seolah-olah mereka sejajar dengan dirinya, tanpa perlakukan khusus.", "-----")</f>
        <v>#N/A</v>
      </c>
      <c r="E67" s="360"/>
      <c r="F67" s="360"/>
      <c r="G67" s="360"/>
      <c r="H67" s="360"/>
      <c r="I67" s="360"/>
      <c r="J67" s="360"/>
      <c r="K67" s="360"/>
      <c r="L67" s="361"/>
    </row>
    <row r="68" spans="1:12" ht="15" thickBot="1"/>
    <row r="69" spans="1:12" ht="64.95" customHeight="1">
      <c r="A69" s="176" t="s">
        <v>691</v>
      </c>
      <c r="B69" s="177" t="e">
        <f>'I.RANGE ANALYSIS'!K29</f>
        <v>#N/A</v>
      </c>
      <c r="C69" s="178" t="e">
        <f>'I.RANGE ANALYSIS'!K32</f>
        <v>#N/A</v>
      </c>
      <c r="D69" s="354" t="e">
        <f>IF(AND(E3&gt;=8,$H$3&gt;=6),"Riang, cerewet, suka ngobrol.", "-----")</f>
        <v>#N/A</v>
      </c>
      <c r="E69" s="355"/>
      <c r="F69" s="355"/>
      <c r="G69" s="355"/>
      <c r="H69" s="355"/>
      <c r="I69" s="355"/>
      <c r="J69" s="355"/>
      <c r="K69" s="355"/>
      <c r="L69" s="356"/>
    </row>
    <row r="70" spans="1:12" ht="64.95" customHeight="1">
      <c r="A70" s="179"/>
      <c r="B70" s="160"/>
      <c r="C70" s="180"/>
      <c r="D70" s="357" t="e">
        <f>IF(AND(E3&gt;=8,$H$3&lt;=2),"Terlalu tajam, terus terang, tidak diplomatis dalam bicara.", "-----")</f>
        <v>#N/A</v>
      </c>
      <c r="E70" s="343"/>
      <c r="F70" s="343"/>
      <c r="G70" s="343"/>
      <c r="H70" s="343"/>
      <c r="I70" s="343"/>
      <c r="J70" s="343"/>
      <c r="K70" s="343"/>
      <c r="L70" s="358"/>
    </row>
    <row r="71" spans="1:12" ht="64.95" customHeight="1">
      <c r="A71" s="179"/>
      <c r="B71" s="160"/>
      <c r="C71" s="180"/>
      <c r="D71" s="357" t="e">
        <f>IF(AND(E3&lt;=2,$H$3&lt;=2),"Tertutup dan berahasia", "-----")</f>
        <v>#N/A</v>
      </c>
      <c r="E71" s="343"/>
      <c r="F71" s="343"/>
      <c r="G71" s="343"/>
      <c r="H71" s="343"/>
      <c r="I71" s="343"/>
      <c r="J71" s="343"/>
      <c r="K71" s="343"/>
      <c r="L71" s="358"/>
    </row>
    <row r="72" spans="1:12" ht="64.95" customHeight="1" thickBot="1">
      <c r="A72" s="181"/>
      <c r="B72" s="182"/>
      <c r="C72" s="183"/>
      <c r="D72" s="359" t="e">
        <f>IF(AND(E3&lt;=2,$H$3&gt;=6),"Dalam berbicara akan secara hati-hati memilih kata-kata yang akan diucapkan.", "-----")</f>
        <v>#N/A</v>
      </c>
      <c r="E72" s="360"/>
      <c r="F72" s="360"/>
      <c r="G72" s="360"/>
      <c r="H72" s="360"/>
      <c r="I72" s="360"/>
      <c r="J72" s="360"/>
      <c r="K72" s="360"/>
      <c r="L72" s="361"/>
    </row>
    <row r="73" spans="1:12" ht="15" thickBot="1"/>
    <row r="74" spans="1:12" ht="64.95" customHeight="1">
      <c r="A74" s="176" t="s">
        <v>692</v>
      </c>
      <c r="B74" s="177" t="e">
        <f>'I.RANGE ANALYSIS'!K35</f>
        <v>#N/A</v>
      </c>
      <c r="C74" s="178" t="e">
        <f>'I.RANGE ANALYSIS'!K32</f>
        <v>#N/A</v>
      </c>
      <c r="D74" s="354" t="e">
        <f>IF(AND(F6&gt;=6,$H$3&gt;=6),"Dalam berbicara akan secara hati-hati memilih kata-kata yang akan diucapkan.", "-----")</f>
        <v>#N/A</v>
      </c>
      <c r="E74" s="355"/>
      <c r="F74" s="355"/>
      <c r="G74" s="355"/>
      <c r="H74" s="355"/>
      <c r="I74" s="355"/>
      <c r="J74" s="355"/>
      <c r="K74" s="355"/>
      <c r="L74" s="356"/>
    </row>
    <row r="75" spans="1:12" ht="64.95" customHeight="1">
      <c r="A75" s="179"/>
      <c r="B75" s="160"/>
      <c r="C75" s="180"/>
      <c r="D75" s="357" t="e">
        <f>IF(AND(F6&gt;=6,$H$3&lt;=2),"Mendapatkan perhatian lingkungan melalui keasliannya; Tampil tapi kikuk dalam interaksi social; Kurang bijak dalam bergaul; Suka pamer; dapat bertingkah laku buruk; Dapat menjadi lebih kreatif bila mendapat pengakuan.", "-----")</f>
        <v>#N/A</v>
      </c>
      <c r="E75" s="343"/>
      <c r="F75" s="343"/>
      <c r="G75" s="343"/>
      <c r="H75" s="343"/>
      <c r="I75" s="343"/>
      <c r="J75" s="343"/>
      <c r="K75" s="343"/>
      <c r="L75" s="358"/>
    </row>
    <row r="76" spans="1:12" ht="64.95" customHeight="1">
      <c r="A76" s="179"/>
      <c r="B76" s="160"/>
      <c r="C76" s="180"/>
      <c r="D76" s="357" t="e">
        <f>IF(AND(F6&lt;=1,$H$3&lt;=2),"Tidak peduli terhadap orang lain, sibuk dengan pekerjaan dan hal-hal lain; Diam, menarik diri, tidak akan berinisiatif untuk menemui orang lain.", "-----")</f>
        <v>#N/A</v>
      </c>
      <c r="E76" s="343"/>
      <c r="F76" s="343"/>
      <c r="G76" s="343"/>
      <c r="H76" s="343"/>
      <c r="I76" s="343"/>
      <c r="J76" s="343"/>
      <c r="K76" s="343"/>
      <c r="L76" s="358"/>
    </row>
    <row r="77" spans="1:12" ht="64.95" customHeight="1" thickBot="1">
      <c r="A77" s="181"/>
      <c r="B77" s="182"/>
      <c r="C77" s="183"/>
      <c r="D77" s="359" t="e">
        <f>IF(AND(F6&lt;=1,$H$3&gt;=6),"Anggota kelompok yang ramah, tulus, menyenangkan.", "-----")</f>
        <v>#N/A</v>
      </c>
      <c r="E77" s="360"/>
      <c r="F77" s="360"/>
      <c r="G77" s="360"/>
      <c r="H77" s="360"/>
      <c r="I77" s="360"/>
      <c r="J77" s="360"/>
      <c r="K77" s="360"/>
      <c r="L77" s="361"/>
    </row>
    <row r="78" spans="1:12" ht="15" thickBot="1"/>
    <row r="79" spans="1:12" ht="64.95" customHeight="1">
      <c r="A79" s="184" t="s">
        <v>693</v>
      </c>
      <c r="B79" s="177" t="e">
        <f>'I.RANGE ANALYSIS'!K33</f>
        <v>#N/A</v>
      </c>
      <c r="C79" s="185" t="e">
        <f>'I.RANGE ANALYSIS'!K32</f>
        <v>#N/A</v>
      </c>
      <c r="D79" s="354" t="e">
        <f>IF(AND(G6&gt;=6,$H$3&gt;=6),"Secara naluriah menyukai orang lain; Ingin menjadi anggota kelompok dan sangat tanggap terhadap kebutuhan kelompok; Senang berkumpul dan mengobrol; senang mengamati orang lain; ","-----")</f>
        <v>#N/A</v>
      </c>
      <c r="E79" s="355"/>
      <c r="F79" s="355"/>
      <c r="G79" s="355"/>
      <c r="H79" s="355"/>
      <c r="I79" s="355"/>
      <c r="J79" s="355"/>
      <c r="K79" s="355"/>
      <c r="L79" s="356"/>
    </row>
    <row r="80" spans="1:12" ht="64.95" customHeight="1">
      <c r="A80" s="179"/>
      <c r="B80" s="160"/>
      <c r="C80" s="186"/>
      <c r="D80" s="357" t="e">
        <f>IF(AND(G6&gt;=6,$H$3&lt;=2),"Anggota kelompok yang pendiam  tapi antusias dan sangat dipangaruhi kelompok; Tidak mampu mengendalikan situasi sosial dan karenanya mudah terpangaruh; Berdiam diri dalam situasi social, jarang berinisiatif untuk menemui atau berbicara dengan orang lain.", "-----")</f>
        <v>#N/A</v>
      </c>
      <c r="E80" s="343"/>
      <c r="F80" s="343"/>
      <c r="G80" s="343"/>
      <c r="H80" s="343"/>
      <c r="I80" s="343"/>
      <c r="J80" s="343"/>
      <c r="K80" s="343"/>
      <c r="L80" s="358"/>
    </row>
    <row r="81" spans="1:12" ht="64.95" customHeight="1">
      <c r="A81" s="179"/>
      <c r="B81" s="160"/>
      <c r="C81" s="180"/>
      <c r="D81" s="357" t="e">
        <f>IF(AND(G6&lt;=2,$H$3&lt;=2),"Mengasingkan diri dari kontak dengan orang lain; dengan O-low akan merasa nyaman terisolasi.", "-----")</f>
        <v>#N/A</v>
      </c>
      <c r="E81" s="343"/>
      <c r="F81" s="343"/>
      <c r="G81" s="343"/>
      <c r="H81" s="343"/>
      <c r="I81" s="343"/>
      <c r="J81" s="343"/>
      <c r="K81" s="343"/>
      <c r="L81" s="358"/>
    </row>
    <row r="82" spans="1:12" ht="64.95" customHeight="1" thickBot="1">
      <c r="A82" s="181"/>
      <c r="B82" s="182"/>
      <c r="C82" s="183"/>
      <c r="D82" s="359" t="e">
        <f>IF(AND(G6&lt;=2,$H$3&gt;=6),"Lebih suka berinteraksi dengan individu daripada dengan kelompok.", "-----")</f>
        <v>#N/A</v>
      </c>
      <c r="E82" s="360"/>
      <c r="F82" s="360"/>
      <c r="G82" s="360"/>
      <c r="H82" s="360"/>
      <c r="I82" s="360"/>
      <c r="J82" s="360"/>
      <c r="K82" s="360"/>
      <c r="L82" s="361"/>
    </row>
    <row r="83" spans="1:12" ht="15" thickBot="1"/>
    <row r="84" spans="1:12" ht="64.95" customHeight="1">
      <c r="A84" s="184" t="s">
        <v>694</v>
      </c>
      <c r="B84" s="177" t="e">
        <f>'I.RANGE ANALYSIS'!K34</f>
        <v>#N/A</v>
      </c>
      <c r="C84" s="178" t="e">
        <f>'I.RANGE ANALYSIS'!K32</f>
        <v>#N/A</v>
      </c>
      <c r="D84" s="354" t="e">
        <f>IF(AND(H6&gt;=6,$H$3&gt;=6),"Lebih suka berinteraksi dengan individu daripada dengan kelompok.", "-----")</f>
        <v>#N/A</v>
      </c>
      <c r="E84" s="355"/>
      <c r="F84" s="355"/>
      <c r="G84" s="355"/>
      <c r="H84" s="355"/>
      <c r="I84" s="355"/>
      <c r="J84" s="355"/>
      <c r="K84" s="355"/>
      <c r="L84" s="356"/>
    </row>
    <row r="85" spans="1:12" ht="64.95" customHeight="1">
      <c r="A85" s="179"/>
      <c r="B85" s="160"/>
      <c r="C85" s="180"/>
      <c r="D85" s="357" t="e">
        <f>IF(AND(H6&gt;=6,$H$3&lt;=2),"Tidak memiliki kemampuan sosial yang memadai;Dapat dimanipulasi karena ia sangat melibatkan diri  dalam hubungan persahabatannya; Ia hanya mengenal satu persahabatan yaitu yang sangat mendalam.", "-----")</f>
        <v>#N/A</v>
      </c>
      <c r="E85" s="343"/>
      <c r="F85" s="343"/>
      <c r="G85" s="343"/>
      <c r="H85" s="343"/>
      <c r="I85" s="343"/>
      <c r="J85" s="343"/>
      <c r="K85" s="343"/>
      <c r="L85" s="358"/>
    </row>
    <row r="86" spans="1:12" ht="64.95" customHeight="1">
      <c r="A86" s="179"/>
      <c r="B86" s="160"/>
      <c r="C86" s="180"/>
      <c r="D86" s="357" t="e">
        <f>IF(AND(H6&lt;=2,$H$3&lt;=2),"Tertutup dan dingin, tidak peduli akan hubungan sosial.", "-----")</f>
        <v>#N/A</v>
      </c>
      <c r="E86" s="343"/>
      <c r="F86" s="343"/>
      <c r="G86" s="343"/>
      <c r="H86" s="343"/>
      <c r="I86" s="343"/>
      <c r="J86" s="343"/>
      <c r="K86" s="343"/>
      <c r="L86" s="358"/>
    </row>
    <row r="87" spans="1:12" ht="64.95" customHeight="1" thickBot="1">
      <c r="A87" s="181"/>
      <c r="B87" s="182"/>
      <c r="C87" s="183"/>
      <c r="D87" s="359" t="e">
        <f>IF(AND(H6&lt;=2,$H$3&gt;=6),"Terbuka tapi dingin; manipulator; lancar berbicara, seringkali tidak tulus; menjalin hubungan tapi sifatnya formal.", "-----")</f>
        <v>#N/A</v>
      </c>
      <c r="E87" s="360"/>
      <c r="F87" s="360"/>
      <c r="G87" s="360"/>
      <c r="H87" s="360"/>
      <c r="I87" s="360"/>
      <c r="J87" s="360"/>
      <c r="K87" s="360"/>
      <c r="L87" s="361"/>
    </row>
    <row r="88" spans="1:12" ht="15" thickBot="1"/>
    <row r="89" spans="1:12" ht="64.95" customHeight="1">
      <c r="A89" s="176" t="s">
        <v>695</v>
      </c>
      <c r="B89" s="177" t="e">
        <f>'I.RANGE ANALYSIS'!K40</f>
        <v>#N/A</v>
      </c>
      <c r="C89" s="178" t="e">
        <f>'I.RANGE ANALYSIS'!K32</f>
        <v>#N/A</v>
      </c>
      <c r="D89" s="354" t="e">
        <f>IF(AND(I6&gt;=8,$H$3&gt;=6),"Mencari teman-teman baru; Bosan bergaul dengan orang yang sama setiap hari.", "-----")</f>
        <v>#N/A</v>
      </c>
      <c r="E89" s="355"/>
      <c r="F89" s="355"/>
      <c r="G89" s="355"/>
      <c r="H89" s="355"/>
      <c r="I89" s="355"/>
      <c r="J89" s="355"/>
      <c r="K89" s="355"/>
      <c r="L89" s="356"/>
    </row>
    <row r="90" spans="1:12" ht="64.95" customHeight="1">
      <c r="A90" s="179"/>
      <c r="B90" s="160"/>
      <c r="C90" s="180"/>
      <c r="D90" s="357" t="e">
        <f>IF(AND(I6&gt;=8,$H$3&lt;=2),"XXXXX", "-----")</f>
        <v>#N/A</v>
      </c>
      <c r="E90" s="343"/>
      <c r="F90" s="343"/>
      <c r="G90" s="343"/>
      <c r="H90" s="343"/>
      <c r="I90" s="343"/>
      <c r="J90" s="343"/>
      <c r="K90" s="343"/>
      <c r="L90" s="358"/>
    </row>
    <row r="91" spans="1:12" ht="64.95" customHeight="1">
      <c r="A91" s="179"/>
      <c r="B91" s="160"/>
      <c r="C91" s="180"/>
      <c r="D91" s="357" t="e">
        <f>IF(AND(I6&lt;=2,$H$3&lt;=2),"XXXXX", "-----")</f>
        <v>#N/A</v>
      </c>
      <c r="E91" s="343"/>
      <c r="F91" s="343"/>
      <c r="G91" s="343"/>
      <c r="H91" s="343"/>
      <c r="I91" s="343"/>
      <c r="J91" s="343"/>
      <c r="K91" s="343"/>
      <c r="L91" s="358"/>
    </row>
    <row r="92" spans="1:12" ht="64.95" customHeight="1" thickBot="1">
      <c r="A92" s="181"/>
      <c r="B92" s="182"/>
      <c r="C92" s="183"/>
      <c r="D92" s="359" t="e">
        <f>IF(AND(I6&lt;=2,$H$3&gt;=6),"Menjalin persahabatan yang kekal.", "-----")</f>
        <v>#N/A</v>
      </c>
      <c r="E92" s="360"/>
      <c r="F92" s="360"/>
      <c r="G92" s="360"/>
      <c r="H92" s="360"/>
      <c r="I92" s="360"/>
      <c r="J92" s="360"/>
      <c r="K92" s="360"/>
      <c r="L92" s="361"/>
    </row>
    <row r="93" spans="1:12" ht="15" thickBot="1"/>
    <row r="94" spans="1:12" ht="64.95" customHeight="1">
      <c r="A94" s="176" t="s">
        <v>696</v>
      </c>
      <c r="B94" s="177" t="e">
        <f>'I.RANGE ANALYSIS'!K38</f>
        <v>#N/A</v>
      </c>
      <c r="C94" s="178" t="e">
        <f>'I.RANGE ANALYSIS'!K32</f>
        <v>#N/A</v>
      </c>
      <c r="D94" s="354" t="e">
        <f>IF(AND(L3&gt;=7,$H$3&gt;=6),"Menyenangkan dan mendukung orang lain secara konsisten.", "-----")</f>
        <v>#N/A</v>
      </c>
      <c r="E94" s="355"/>
      <c r="F94" s="355"/>
      <c r="G94" s="355"/>
      <c r="H94" s="355"/>
      <c r="I94" s="355"/>
      <c r="J94" s="355"/>
      <c r="K94" s="355"/>
      <c r="L94" s="356"/>
    </row>
    <row r="95" spans="1:12" ht="64.95" customHeight="1">
      <c r="A95" s="179"/>
      <c r="B95" s="160"/>
      <c r="C95" s="180"/>
      <c r="D95" s="357" t="e">
        <f>IF(AND(L3&gt;=7,$H$3&lt;=2),"Pemikir; Tertutup baik dari segi sosial maupun emosi.", "-----")</f>
        <v>#N/A</v>
      </c>
      <c r="E95" s="343"/>
      <c r="F95" s="343"/>
      <c r="G95" s="343"/>
      <c r="H95" s="343"/>
      <c r="I95" s="343"/>
      <c r="J95" s="343"/>
      <c r="K95" s="343"/>
      <c r="L95" s="358"/>
    </row>
    <row r="96" spans="1:12" ht="64.95" customHeight="1">
      <c r="A96" s="179"/>
      <c r="B96" s="160"/>
      <c r="C96" s="180"/>
      <c r="D96" s="357" t="e">
        <f>IF(AND(L3&lt;=1,$H$3&lt;=2),"Menjengkelkan, lekas marah, stress dalam dirinya mempengaruhi hubungan sosial.", "-----")</f>
        <v>#N/A</v>
      </c>
      <c r="E96" s="343"/>
      <c r="F96" s="343"/>
      <c r="G96" s="343"/>
      <c r="H96" s="343"/>
      <c r="I96" s="343"/>
      <c r="J96" s="343"/>
      <c r="K96" s="343"/>
      <c r="L96" s="358"/>
    </row>
    <row r="97" spans="1:12" ht="64.95" customHeight="1" thickBot="1">
      <c r="A97" s="181"/>
      <c r="B97" s="182"/>
      <c r="C97" s="183"/>
      <c r="D97" s="359" t="e">
        <f>IF(AND(L3&lt;=1,$H$3&gt;=6),"Mudah didekati", "-----")</f>
        <v>#N/A</v>
      </c>
      <c r="E97" s="360"/>
      <c r="F97" s="360"/>
      <c r="G97" s="360"/>
      <c r="H97" s="360"/>
      <c r="I97" s="360"/>
      <c r="J97" s="360"/>
      <c r="K97" s="360"/>
      <c r="L97" s="361"/>
    </row>
    <row r="98" spans="1:12" ht="15" thickBot="1"/>
    <row r="99" spans="1:12" ht="64.95" customHeight="1">
      <c r="A99" s="176" t="s">
        <v>697</v>
      </c>
      <c r="B99" s="177" t="e">
        <f>'I.RANGE ANALYSIS'!K39</f>
        <v>#N/A</v>
      </c>
      <c r="C99" s="178" t="e">
        <f>'I.RANGE ANALYSIS'!K32</f>
        <v>#N/A</v>
      </c>
      <c r="D99" s="354" t="e">
        <f>IF(AND(J6&gt;=8,$H$3&gt;=6),"Akan menyerang orang lain, tapi ingin terlihat sebagai orang yang ramah; Konflik interpersonal; Orang biasanya tidak terlalu sakit hati dan menganggapnya sebagai orang yang pada dasarnya baik hati.", "-----")</f>
        <v>#N/A</v>
      </c>
      <c r="E99" s="355"/>
      <c r="F99" s="355"/>
      <c r="G99" s="355"/>
      <c r="H99" s="355"/>
      <c r="I99" s="355"/>
      <c r="J99" s="355"/>
      <c r="K99" s="355"/>
      <c r="L99" s="356"/>
    </row>
    <row r="100" spans="1:12" ht="64.95" customHeight="1">
      <c r="A100" s="179"/>
      <c r="B100" s="160"/>
      <c r="C100" s="180"/>
      <c r="D100" s="357" t="e">
        <f>IF(AND(J6&gt;=8,$H$3&lt;=2),"Bersikap agresif dan antisosial, sangat tidak menyenangkan.", "-----")</f>
        <v>#N/A</v>
      </c>
      <c r="E100" s="343"/>
      <c r="F100" s="343"/>
      <c r="G100" s="343"/>
      <c r="H100" s="343"/>
      <c r="I100" s="343"/>
      <c r="J100" s="343"/>
      <c r="K100" s="343"/>
      <c r="L100" s="358"/>
    </row>
    <row r="101" spans="1:12" ht="64.95" customHeight="1">
      <c r="A101" s="179"/>
      <c r="B101" s="160"/>
      <c r="C101" s="180"/>
      <c r="D101" s="357" t="e">
        <f>IF(AND(J6&lt;=2,$H$3&lt;=2),"Tidak ingin menyakiti orang lain, tapi seringkali melakukannya;Tidak antusias dalam interaksi.", "-----")</f>
        <v>#N/A</v>
      </c>
      <c r="E101" s="343"/>
      <c r="F101" s="343"/>
      <c r="G101" s="343"/>
      <c r="H101" s="343"/>
      <c r="I101" s="343"/>
      <c r="J101" s="343"/>
      <c r="K101" s="343"/>
      <c r="L101" s="358"/>
    </row>
    <row r="102" spans="1:12" ht="64.95" customHeight="1" thickBot="1">
      <c r="A102" s="181"/>
      <c r="B102" s="182"/>
      <c r="C102" s="183"/>
      <c r="D102" s="359" t="e">
        <f>IF(AND(J6&lt;=2,$H$3&gt;=6),"Mencoba untuk menjaga situasi kerja yang harmonis.", "-----")</f>
        <v>#N/A</v>
      </c>
      <c r="E102" s="360"/>
      <c r="F102" s="360"/>
      <c r="G102" s="360"/>
      <c r="H102" s="360"/>
      <c r="I102" s="360"/>
      <c r="J102" s="360"/>
      <c r="K102" s="360"/>
      <c r="L102" s="361"/>
    </row>
  </sheetData>
  <mergeCells count="77">
    <mergeCell ref="D96:L96"/>
    <mergeCell ref="D97:L97"/>
    <mergeCell ref="D99:L99"/>
    <mergeCell ref="D100:L100"/>
    <mergeCell ref="D102:L102"/>
    <mergeCell ref="D101:L101"/>
    <mergeCell ref="D90:L90"/>
    <mergeCell ref="D91:L91"/>
    <mergeCell ref="D92:L92"/>
    <mergeCell ref="D94:L94"/>
    <mergeCell ref="D95:L95"/>
    <mergeCell ref="D84:L84"/>
    <mergeCell ref="D85:L85"/>
    <mergeCell ref="D86:L86"/>
    <mergeCell ref="D87:L87"/>
    <mergeCell ref="D89:L89"/>
    <mergeCell ref="D76:L76"/>
    <mergeCell ref="D77:L77"/>
    <mergeCell ref="D79:L79"/>
    <mergeCell ref="D81:L81"/>
    <mergeCell ref="D82:L82"/>
    <mergeCell ref="D69:L69"/>
    <mergeCell ref="D70:L70"/>
    <mergeCell ref="D71:L71"/>
    <mergeCell ref="D72:L72"/>
    <mergeCell ref="D74:L74"/>
    <mergeCell ref="D62:L62"/>
    <mergeCell ref="D64:L64"/>
    <mergeCell ref="D65:L65"/>
    <mergeCell ref="D66:L66"/>
    <mergeCell ref="D67:L67"/>
    <mergeCell ref="D56:L56"/>
    <mergeCell ref="D57:L57"/>
    <mergeCell ref="D59:L59"/>
    <mergeCell ref="D60:L60"/>
    <mergeCell ref="D61:L61"/>
    <mergeCell ref="D50:L50"/>
    <mergeCell ref="D51:L51"/>
    <mergeCell ref="D52:L52"/>
    <mergeCell ref="D54:L54"/>
    <mergeCell ref="D55:L55"/>
    <mergeCell ref="D41:L41"/>
    <mergeCell ref="D19:L19"/>
    <mergeCell ref="D20:L20"/>
    <mergeCell ref="D21:L21"/>
    <mergeCell ref="D22:L22"/>
    <mergeCell ref="D24:L24"/>
    <mergeCell ref="D25:L25"/>
    <mergeCell ref="D26:L26"/>
    <mergeCell ref="D27:L27"/>
    <mergeCell ref="D29:L29"/>
    <mergeCell ref="D30:L30"/>
    <mergeCell ref="D31:L31"/>
    <mergeCell ref="D32:L32"/>
    <mergeCell ref="D34:L34"/>
    <mergeCell ref="D35:L35"/>
    <mergeCell ref="D14:L14"/>
    <mergeCell ref="D15:L15"/>
    <mergeCell ref="D16:L16"/>
    <mergeCell ref="D17:L17"/>
    <mergeCell ref="D80:L80"/>
    <mergeCell ref="D75:L75"/>
    <mergeCell ref="D36:L36"/>
    <mergeCell ref="D37:L37"/>
    <mergeCell ref="D39:L39"/>
    <mergeCell ref="D40:L40"/>
    <mergeCell ref="D42:L42"/>
    <mergeCell ref="D44:L44"/>
    <mergeCell ref="D45:L45"/>
    <mergeCell ref="D46:L46"/>
    <mergeCell ref="D47:L47"/>
    <mergeCell ref="D49:L49"/>
    <mergeCell ref="D8:L8"/>
    <mergeCell ref="D9:L9"/>
    <mergeCell ref="D10:L10"/>
    <mergeCell ref="D11:L11"/>
    <mergeCell ref="D12:L12"/>
  </mergeCells>
  <pageMargins left="0.7" right="0.7" top="0.75" bottom="0.75" header="0.3" footer="0.3"/>
  <pageSetup scale="62" orientation="portrait" horizontalDpi="4294967295" verticalDpi="4294967295" r:id="rId1"/>
  <rowBreaks count="4" manualBreakCount="4">
    <brk id="23" max="15" man="1"/>
    <brk id="38" max="15" man="1"/>
    <brk id="57" max="15" man="1"/>
    <brk id="68" max="15" man="1"/>
  </rowBreaks>
  <colBreaks count="1" manualBreakCount="1">
    <brk id="16" max="10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1. NAMA PESERTA</vt:lpstr>
      <vt:lpstr>2. Petunjuk</vt:lpstr>
      <vt:lpstr>3. SOAL</vt:lpstr>
      <vt:lpstr>HITUNG</vt:lpstr>
      <vt:lpstr>LINGKARAN</vt:lpstr>
      <vt:lpstr>PSIKOGRAM</vt:lpstr>
      <vt:lpstr>I.RANGE ANALYSIS</vt:lpstr>
      <vt:lpstr>II. ADJACENT &amp; OPPOSITE</vt:lpstr>
      <vt:lpstr>III. S EKSTRIM &amp; FAKTOR EKSTRIM</vt:lpstr>
      <vt:lpstr>IV. LINKAGE ANALYSIS</vt:lpstr>
      <vt:lpstr>Deskriptif</vt:lpstr>
      <vt:lpstr>INTERPRETASI SKOR (2)</vt:lpstr>
      <vt:lpstr>Sheet1</vt:lpstr>
      <vt:lpstr>'I.RANGE ANALYSIS'!Print_Area</vt:lpstr>
      <vt:lpstr>'II. ADJACENT &amp; OPPOSITE'!Print_Area</vt:lpstr>
      <vt:lpstr>'III. S EKSTRIM &amp; FAKTOR EKSTRIM'!Print_Area</vt:lpstr>
      <vt:lpstr>'IV. LINKAGE ANALYSIS'!Print_Area</vt:lpstr>
      <vt:lpstr>LINGKARAN!Print_Area</vt:lpstr>
      <vt:lpstr>PSIKOGRAM!Print_Area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MARKUS</dc:creator>
  <cp:lastModifiedBy>eg_freak</cp:lastModifiedBy>
  <cp:lastPrinted>2018-04-25T05:23:26Z</cp:lastPrinted>
  <dcterms:created xsi:type="dcterms:W3CDTF">2015-03-06T21:45:40Z</dcterms:created>
  <dcterms:modified xsi:type="dcterms:W3CDTF">2023-07-26T03:38:47Z</dcterms:modified>
</cp:coreProperties>
</file>